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21840" windowHeight="12540"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state="hidden" r:id="rId24"/>
    <sheet name="比较法-商业" sheetId="33" r:id="rId25"/>
    <sheet name="收益法 (元)" sheetId="67" r:id="rId26"/>
    <sheet name="收益法（汇总）" sheetId="70" state="hidden" r:id="rId27"/>
    <sheet name="酒店收入计算" sheetId="66"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地价" sheetId="7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4"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5" i="31" l="1"/>
  <c r="B26" i="31"/>
  <c r="B24" i="31"/>
  <c r="A25" i="31"/>
  <c r="A26" i="31"/>
  <c r="A24" i="31"/>
  <c r="E104" i="33"/>
  <c r="F104" i="33" s="1"/>
  <c r="G104" i="33" s="1"/>
  <c r="H104" i="33" s="1"/>
  <c r="I104" i="33" s="1"/>
  <c r="J104" i="33" s="1"/>
  <c r="D104" i="33"/>
  <c r="I47" i="33"/>
  <c r="G47" i="33"/>
  <c r="E47" i="33"/>
  <c r="C33" i="33"/>
  <c r="A20" i="3"/>
  <c r="A21" i="3" s="1"/>
  <c r="N6" i="1"/>
  <c r="F19" i="6"/>
  <c r="B7" i="4"/>
  <c r="K42" i="33" l="1"/>
  <c r="K35" i="33"/>
  <c r="K23" i="33" l="1"/>
  <c r="K21" i="33"/>
  <c r="K19" i="33"/>
  <c r="K17" i="33"/>
  <c r="T7" i="31"/>
  <c r="T5"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24" i="31"/>
  <c r="G105" i="34"/>
  <c r="H105" i="34" s="1"/>
  <c r="F105" i="34"/>
  <c r="F4" i="31" s="1"/>
  <c r="D4" i="31"/>
  <c r="E4" i="31"/>
  <c r="G4" i="31"/>
  <c r="C4" i="31"/>
  <c r="K3" i="31"/>
  <c r="I48" i="34"/>
  <c r="G48" i="34"/>
  <c r="E48" i="34"/>
  <c r="I105" i="34" l="1"/>
  <c r="H4" i="31"/>
  <c r="D3" i="4"/>
  <c r="I4" i="31" l="1"/>
  <c r="J105" i="34"/>
  <c r="K105" i="34" l="1"/>
  <c r="J4" i="31"/>
  <c r="K4" i="31" l="1"/>
  <c r="D91" i="21" l="1"/>
  <c r="E91" i="21" s="1"/>
  <c r="E104" i="21" l="1"/>
  <c r="F104" i="21" s="1"/>
  <c r="G104" i="21" s="1"/>
  <c r="D104" i="21"/>
  <c r="C37" i="34" l="1"/>
  <c r="E37" i="34" s="1"/>
  <c r="G37" i="34" s="1"/>
  <c r="I37" i="34" s="1"/>
  <c r="I526" i="31"/>
  <c r="K526" i="31"/>
  <c r="M526" i="31"/>
  <c r="O526" i="31"/>
  <c r="Q526" i="31"/>
  <c r="I527" i="31"/>
  <c r="K527" i="31"/>
  <c r="M527" i="31"/>
  <c r="O527" i="31"/>
  <c r="Q527" i="31"/>
  <c r="I528" i="31"/>
  <c r="K528" i="31"/>
  <c r="M528" i="31"/>
  <c r="O528" i="31"/>
  <c r="Q528" i="31"/>
  <c r="I529" i="31"/>
  <c r="K529" i="31"/>
  <c r="M529" i="31"/>
  <c r="O529" i="31"/>
  <c r="Q529" i="31"/>
  <c r="I530" i="31"/>
  <c r="K530" i="31"/>
  <c r="M530" i="31"/>
  <c r="O530" i="31"/>
  <c r="Q530" i="31"/>
  <c r="I531" i="31"/>
  <c r="K531" i="31"/>
  <c r="M531" i="31"/>
  <c r="O531" i="31"/>
  <c r="Q531" i="31"/>
  <c r="I532" i="31"/>
  <c r="K532" i="31"/>
  <c r="M532" i="31"/>
  <c r="O532" i="31"/>
  <c r="Q532" i="31"/>
  <c r="I533" i="31"/>
  <c r="K533" i="31"/>
  <c r="M533" i="31"/>
  <c r="O533" i="31"/>
  <c r="Q533" i="31"/>
  <c r="I534" i="31"/>
  <c r="K534" i="31"/>
  <c r="M534" i="31"/>
  <c r="O534" i="31"/>
  <c r="Q534" i="31"/>
  <c r="I535" i="31"/>
  <c r="K535" i="31"/>
  <c r="M535" i="31"/>
  <c r="O535" i="31"/>
  <c r="Q535" i="31"/>
  <c r="I536" i="31"/>
  <c r="K536" i="31"/>
  <c r="M536" i="31"/>
  <c r="O536" i="31"/>
  <c r="Q536" i="31"/>
  <c r="I537" i="31"/>
  <c r="K537" i="31"/>
  <c r="M537" i="31"/>
  <c r="O537" i="31"/>
  <c r="Q537" i="31"/>
  <c r="I538" i="31"/>
  <c r="K538" i="31"/>
  <c r="M538" i="31"/>
  <c r="O538" i="31"/>
  <c r="Q538" i="31"/>
  <c r="I539" i="31"/>
  <c r="K539" i="31"/>
  <c r="M539" i="31"/>
  <c r="O539" i="31"/>
  <c r="Q539" i="31"/>
  <c r="I540" i="31"/>
  <c r="K540" i="31"/>
  <c r="M540" i="31"/>
  <c r="O540" i="31"/>
  <c r="Q540" i="31"/>
  <c r="I541" i="31"/>
  <c r="K541" i="31"/>
  <c r="M541" i="31"/>
  <c r="O541" i="31"/>
  <c r="Q541" i="31"/>
  <c r="I542" i="31"/>
  <c r="K542" i="31"/>
  <c r="M542" i="31"/>
  <c r="O542" i="31"/>
  <c r="Q542" i="31"/>
  <c r="I543" i="31"/>
  <c r="K543" i="31"/>
  <c r="M543" i="31"/>
  <c r="O543" i="31"/>
  <c r="Q543" i="31"/>
  <c r="I544" i="31"/>
  <c r="K544" i="31"/>
  <c r="M544" i="31"/>
  <c r="O544" i="31"/>
  <c r="Q544" i="31"/>
  <c r="I545" i="31"/>
  <c r="K545" i="31"/>
  <c r="M545" i="31"/>
  <c r="O545" i="31"/>
  <c r="Q545" i="31"/>
  <c r="I546" i="31"/>
  <c r="K546" i="31"/>
  <c r="M546" i="31"/>
  <c r="O546" i="31"/>
  <c r="Q546" i="31"/>
  <c r="I547" i="31"/>
  <c r="K547" i="31"/>
  <c r="M547" i="31"/>
  <c r="O547" i="31"/>
  <c r="Q547" i="31"/>
  <c r="I548" i="31"/>
  <c r="K548" i="31"/>
  <c r="M548" i="31"/>
  <c r="O548" i="31"/>
  <c r="Q548" i="31"/>
  <c r="I549" i="31"/>
  <c r="K549" i="31"/>
  <c r="M549" i="31"/>
  <c r="O549" i="31"/>
  <c r="Q549" i="31"/>
  <c r="I550" i="31"/>
  <c r="K550" i="31"/>
  <c r="M550" i="31"/>
  <c r="O550" i="31"/>
  <c r="Q550" i="31"/>
  <c r="I551" i="31"/>
  <c r="K551" i="31"/>
  <c r="M551" i="31"/>
  <c r="O551" i="31"/>
  <c r="Q551" i="31"/>
  <c r="I552" i="31"/>
  <c r="K552" i="31"/>
  <c r="M552" i="31"/>
  <c r="O552" i="31"/>
  <c r="Q552" i="31"/>
  <c r="I553" i="31"/>
  <c r="K553" i="31"/>
  <c r="M553" i="31"/>
  <c r="O553" i="31"/>
  <c r="Q553" i="31"/>
  <c r="I554" i="31"/>
  <c r="K554" i="31"/>
  <c r="M554" i="31"/>
  <c r="O554" i="31"/>
  <c r="Q554" i="31"/>
  <c r="I555" i="31"/>
  <c r="K555" i="31"/>
  <c r="M555" i="31"/>
  <c r="O555" i="31"/>
  <c r="Q555" i="31"/>
  <c r="I556" i="31"/>
  <c r="K556" i="31"/>
  <c r="M556" i="31"/>
  <c r="O556" i="31"/>
  <c r="Q556" i="31"/>
  <c r="I557" i="31"/>
  <c r="K557" i="31"/>
  <c r="M557" i="31"/>
  <c r="O557" i="31"/>
  <c r="Q557" i="31"/>
  <c r="I558" i="31"/>
  <c r="K558" i="31"/>
  <c r="M558" i="31"/>
  <c r="O558" i="31"/>
  <c r="Q558" i="31"/>
  <c r="I559" i="31"/>
  <c r="K559" i="31"/>
  <c r="M559" i="31"/>
  <c r="O559" i="31"/>
  <c r="Q559" i="31"/>
  <c r="I560" i="31"/>
  <c r="K560" i="31"/>
  <c r="M560" i="31"/>
  <c r="O560" i="31"/>
  <c r="Q560" i="31"/>
  <c r="I561" i="31"/>
  <c r="K561" i="31"/>
  <c r="M561" i="31"/>
  <c r="O561" i="31"/>
  <c r="Q561" i="31"/>
  <c r="I562" i="31"/>
  <c r="K562" i="31"/>
  <c r="M562" i="31"/>
  <c r="O562" i="31"/>
  <c r="Q562" i="31"/>
  <c r="I563" i="31"/>
  <c r="K563" i="31"/>
  <c r="M563" i="31"/>
  <c r="O563" i="31"/>
  <c r="Q563" i="31"/>
  <c r="I564" i="31"/>
  <c r="K564" i="31"/>
  <c r="M564" i="31"/>
  <c r="O564" i="31"/>
  <c r="Q564" i="31"/>
  <c r="I565" i="31"/>
  <c r="K565" i="31"/>
  <c r="M565" i="31"/>
  <c r="O565" i="31"/>
  <c r="Q565" i="31"/>
  <c r="I566" i="31"/>
  <c r="K566" i="31"/>
  <c r="M566" i="31"/>
  <c r="O566" i="31"/>
  <c r="Q566" i="31"/>
  <c r="I567" i="31"/>
  <c r="K567" i="31"/>
  <c r="M567" i="31"/>
  <c r="O567" i="31"/>
  <c r="Q567" i="31"/>
  <c r="I568" i="31"/>
  <c r="K568" i="31"/>
  <c r="M568" i="31"/>
  <c r="O568" i="31"/>
  <c r="Q568" i="31"/>
  <c r="I569" i="31"/>
  <c r="K569" i="31"/>
  <c r="M569" i="31"/>
  <c r="O569" i="31"/>
  <c r="Q569" i="31"/>
  <c r="I570" i="31"/>
  <c r="K570" i="31"/>
  <c r="M570" i="31"/>
  <c r="O570" i="31"/>
  <c r="Q570" i="31"/>
  <c r="I571" i="31"/>
  <c r="K571" i="31"/>
  <c r="M571" i="31"/>
  <c r="O571" i="31"/>
  <c r="Q571" i="31"/>
  <c r="I572" i="31"/>
  <c r="K572" i="31"/>
  <c r="M572" i="31"/>
  <c r="O572" i="31"/>
  <c r="Q572" i="31"/>
  <c r="I573" i="31"/>
  <c r="K573" i="31"/>
  <c r="M573" i="31"/>
  <c r="O573" i="31"/>
  <c r="Q573" i="31"/>
  <c r="I574" i="31"/>
  <c r="K574" i="31"/>
  <c r="M574" i="31"/>
  <c r="O574" i="31"/>
  <c r="Q574" i="31"/>
  <c r="I575" i="31"/>
  <c r="K575" i="31"/>
  <c r="M575" i="31"/>
  <c r="O575" i="31"/>
  <c r="Q575" i="31"/>
  <c r="I576" i="31"/>
  <c r="K576" i="31"/>
  <c r="M576" i="31"/>
  <c r="O576" i="31"/>
  <c r="Q576" i="31"/>
  <c r="I577" i="31"/>
  <c r="K577" i="31"/>
  <c r="M577" i="31"/>
  <c r="O577" i="31"/>
  <c r="Q577" i="31"/>
  <c r="I578" i="31"/>
  <c r="K578" i="31"/>
  <c r="M578" i="31"/>
  <c r="O578" i="31"/>
  <c r="Q578" i="31"/>
  <c r="I579" i="31"/>
  <c r="K579" i="31"/>
  <c r="M579" i="31"/>
  <c r="O579" i="31"/>
  <c r="Q579" i="31"/>
  <c r="I580" i="31"/>
  <c r="K580" i="31"/>
  <c r="M580" i="31"/>
  <c r="O580" i="31"/>
  <c r="Q580" i="31"/>
  <c r="I581" i="31"/>
  <c r="K581" i="31"/>
  <c r="M581" i="31"/>
  <c r="O581" i="31"/>
  <c r="Q581" i="31"/>
  <c r="I582" i="31"/>
  <c r="K582" i="31"/>
  <c r="M582" i="31"/>
  <c r="O582" i="31"/>
  <c r="Q582" i="31"/>
  <c r="I583" i="31"/>
  <c r="K583" i="31"/>
  <c r="M583" i="31"/>
  <c r="O583" i="31"/>
  <c r="Q583" i="31"/>
  <c r="I584" i="31"/>
  <c r="K584" i="31"/>
  <c r="M584" i="31"/>
  <c r="O584" i="31"/>
  <c r="Q584" i="31"/>
  <c r="I585" i="31"/>
  <c r="K585" i="31"/>
  <c r="M585" i="31"/>
  <c r="O585" i="31"/>
  <c r="Q585" i="31"/>
  <c r="I586" i="31"/>
  <c r="K586" i="31"/>
  <c r="M586" i="31"/>
  <c r="O586" i="31"/>
  <c r="Q586" i="31"/>
  <c r="I587" i="31"/>
  <c r="K587" i="31"/>
  <c r="M587" i="31"/>
  <c r="O587" i="31"/>
  <c r="Q587" i="31"/>
  <c r="I588" i="31"/>
  <c r="K588" i="31"/>
  <c r="M588" i="31"/>
  <c r="O588" i="31"/>
  <c r="Q588" i="31"/>
  <c r="I589" i="31"/>
  <c r="K589" i="31"/>
  <c r="M589" i="31"/>
  <c r="O589" i="31"/>
  <c r="Q589" i="31"/>
  <c r="I590" i="31"/>
  <c r="K590" i="31"/>
  <c r="M590" i="31"/>
  <c r="O590" i="31"/>
  <c r="Q590" i="31"/>
  <c r="I591" i="31"/>
  <c r="K591" i="31"/>
  <c r="M591" i="31"/>
  <c r="O591" i="31"/>
  <c r="Q591" i="31"/>
  <c r="I592" i="31"/>
  <c r="K592" i="31"/>
  <c r="M592" i="31"/>
  <c r="O592" i="31"/>
  <c r="Q592" i="31"/>
  <c r="I593" i="31"/>
  <c r="K593" i="31"/>
  <c r="M593" i="31"/>
  <c r="O593" i="31"/>
  <c r="Q593" i="31"/>
  <c r="I594" i="31"/>
  <c r="K594" i="31"/>
  <c r="M594" i="31"/>
  <c r="O594" i="31"/>
  <c r="Q594" i="31"/>
  <c r="I595" i="31"/>
  <c r="K595" i="31"/>
  <c r="M595" i="31"/>
  <c r="O595" i="31"/>
  <c r="Q595" i="31"/>
  <c r="I596" i="31"/>
  <c r="K596" i="31"/>
  <c r="M596" i="31"/>
  <c r="O596" i="31"/>
  <c r="Q596" i="31"/>
  <c r="I597" i="31"/>
  <c r="K597" i="31"/>
  <c r="M597" i="31"/>
  <c r="O597" i="31"/>
  <c r="Q597" i="31"/>
  <c r="I598" i="31"/>
  <c r="K598" i="31"/>
  <c r="M598" i="31"/>
  <c r="O598" i="31"/>
  <c r="Q598" i="31"/>
  <c r="I599" i="31"/>
  <c r="K599" i="31"/>
  <c r="M599" i="31"/>
  <c r="O599" i="31"/>
  <c r="Q599" i="31"/>
  <c r="I600" i="31"/>
  <c r="K600" i="31"/>
  <c r="M600" i="31"/>
  <c r="O600" i="31"/>
  <c r="Q600" i="31"/>
  <c r="I601" i="31"/>
  <c r="K601" i="31"/>
  <c r="M601" i="31"/>
  <c r="O601" i="31"/>
  <c r="Q601" i="31"/>
  <c r="I602" i="31"/>
  <c r="K602" i="31"/>
  <c r="M602" i="31"/>
  <c r="O602" i="31"/>
  <c r="Q602" i="31"/>
  <c r="I603" i="31"/>
  <c r="K603" i="31"/>
  <c r="M603" i="31"/>
  <c r="O603" i="31"/>
  <c r="Q603" i="31"/>
  <c r="I604" i="31"/>
  <c r="K604" i="31"/>
  <c r="M604" i="31"/>
  <c r="O604" i="31"/>
  <c r="Q604" i="31"/>
  <c r="I605" i="31"/>
  <c r="K605" i="31"/>
  <c r="M605" i="31"/>
  <c r="O605" i="31"/>
  <c r="Q605" i="31"/>
  <c r="I606" i="31"/>
  <c r="K606" i="31"/>
  <c r="M606" i="31"/>
  <c r="O606" i="31"/>
  <c r="Q606" i="31"/>
  <c r="I607" i="31"/>
  <c r="K607" i="31"/>
  <c r="M607" i="31"/>
  <c r="O607" i="31"/>
  <c r="Q607" i="31"/>
  <c r="I608" i="31"/>
  <c r="K608" i="31"/>
  <c r="M608" i="31"/>
  <c r="O608" i="31"/>
  <c r="Q608" i="31"/>
  <c r="I609" i="31"/>
  <c r="K609" i="31"/>
  <c r="M609" i="31"/>
  <c r="O609" i="31"/>
  <c r="Q609" i="31"/>
  <c r="I610" i="31"/>
  <c r="K610" i="31"/>
  <c r="M610" i="31"/>
  <c r="O610" i="31"/>
  <c r="Q610" i="31"/>
  <c r="I611" i="31"/>
  <c r="K611" i="31"/>
  <c r="M611" i="31"/>
  <c r="O611" i="31"/>
  <c r="Q611" i="31"/>
  <c r="I612" i="31"/>
  <c r="K612" i="31"/>
  <c r="M612" i="31"/>
  <c r="O612" i="31"/>
  <c r="Q612" i="31"/>
  <c r="I613" i="31"/>
  <c r="K613" i="31"/>
  <c r="M613" i="31"/>
  <c r="O613" i="31"/>
  <c r="Q613" i="31"/>
  <c r="I614" i="31"/>
  <c r="K614" i="31"/>
  <c r="M614" i="31"/>
  <c r="O614" i="31"/>
  <c r="Q614" i="31"/>
  <c r="I615" i="31"/>
  <c r="K615" i="31"/>
  <c r="M615" i="31"/>
  <c r="O615" i="31"/>
  <c r="Q615" i="31"/>
  <c r="I616" i="31"/>
  <c r="K616" i="31"/>
  <c r="M616" i="31"/>
  <c r="O616" i="31"/>
  <c r="Q616" i="31"/>
  <c r="I617" i="31"/>
  <c r="K617" i="31"/>
  <c r="M617" i="31"/>
  <c r="O617" i="31"/>
  <c r="Q617" i="31"/>
  <c r="I618" i="31"/>
  <c r="K618" i="31"/>
  <c r="M618" i="31"/>
  <c r="O618" i="31"/>
  <c r="Q618" i="31"/>
  <c r="I619" i="31"/>
  <c r="K619" i="31"/>
  <c r="M619" i="31"/>
  <c r="O619" i="31"/>
  <c r="Q619" i="31"/>
  <c r="I620" i="31"/>
  <c r="K620" i="31"/>
  <c r="M620" i="31"/>
  <c r="O620" i="31"/>
  <c r="Q620" i="31"/>
  <c r="I621" i="31"/>
  <c r="K621" i="31"/>
  <c r="M621" i="31"/>
  <c r="O621" i="31"/>
  <c r="Q621" i="31"/>
  <c r="I622" i="31"/>
  <c r="K622" i="31"/>
  <c r="M622" i="31"/>
  <c r="O622" i="31"/>
  <c r="Q622" i="31"/>
  <c r="I623" i="31"/>
  <c r="K623" i="31"/>
  <c r="M623" i="31"/>
  <c r="O623" i="31"/>
  <c r="Q623" i="31"/>
  <c r="I624" i="31"/>
  <c r="K624" i="31"/>
  <c r="M624" i="31"/>
  <c r="O624" i="31"/>
  <c r="Q624" i="31"/>
  <c r="I625" i="31"/>
  <c r="K625" i="31"/>
  <c r="M625" i="31"/>
  <c r="O625" i="31"/>
  <c r="Q625" i="31"/>
  <c r="I626" i="31"/>
  <c r="K626" i="31"/>
  <c r="M626" i="31"/>
  <c r="O626" i="31"/>
  <c r="Q626" i="31"/>
  <c r="I627" i="31"/>
  <c r="K627" i="31"/>
  <c r="M627" i="31"/>
  <c r="O627" i="31"/>
  <c r="Q627" i="31"/>
  <c r="I628" i="31"/>
  <c r="K628" i="31"/>
  <c r="M628" i="31"/>
  <c r="O628" i="31"/>
  <c r="Q628" i="31"/>
  <c r="I629" i="31"/>
  <c r="K629" i="31"/>
  <c r="M629" i="31"/>
  <c r="O629" i="31"/>
  <c r="Q629" i="31"/>
  <c r="I630" i="31"/>
  <c r="K630" i="31"/>
  <c r="M630" i="31"/>
  <c r="O630" i="31"/>
  <c r="Q630" i="31"/>
  <c r="I631" i="31"/>
  <c r="K631" i="31"/>
  <c r="M631" i="31"/>
  <c r="O631" i="31"/>
  <c r="Q631" i="31"/>
  <c r="I632" i="31"/>
  <c r="K632" i="31"/>
  <c r="M632" i="31"/>
  <c r="O632" i="31"/>
  <c r="Q632" i="31"/>
  <c r="I633" i="31"/>
  <c r="K633" i="31"/>
  <c r="M633" i="31"/>
  <c r="O633" i="31"/>
  <c r="Q633" i="31"/>
  <c r="I634" i="31"/>
  <c r="K634" i="31"/>
  <c r="M634" i="31"/>
  <c r="O634" i="31"/>
  <c r="Q634" i="31"/>
  <c r="I635" i="31"/>
  <c r="K635" i="31"/>
  <c r="M635" i="31"/>
  <c r="O635" i="31"/>
  <c r="Q635" i="31"/>
  <c r="I636" i="31"/>
  <c r="K636" i="31"/>
  <c r="M636" i="31"/>
  <c r="O636" i="31"/>
  <c r="Q636" i="31"/>
  <c r="I637" i="31"/>
  <c r="K637" i="31"/>
  <c r="M637" i="31"/>
  <c r="O637" i="31"/>
  <c r="Q637" i="31"/>
  <c r="I638" i="31"/>
  <c r="K638" i="31"/>
  <c r="M638" i="31"/>
  <c r="O638" i="31"/>
  <c r="Q638" i="31"/>
  <c r="I639" i="31"/>
  <c r="K639" i="31"/>
  <c r="M639" i="31"/>
  <c r="O639" i="31"/>
  <c r="Q639" i="31"/>
  <c r="I640" i="31"/>
  <c r="K640" i="31"/>
  <c r="M640" i="31"/>
  <c r="O640" i="31"/>
  <c r="Q640" i="31"/>
  <c r="I641" i="31"/>
  <c r="K641" i="31"/>
  <c r="M641" i="31"/>
  <c r="O641" i="31"/>
  <c r="Q641" i="31"/>
  <c r="I642" i="31"/>
  <c r="K642" i="31"/>
  <c r="M642" i="31"/>
  <c r="O642" i="31"/>
  <c r="Q642" i="31"/>
  <c r="I643" i="31"/>
  <c r="K643" i="31"/>
  <c r="M643" i="31"/>
  <c r="O643" i="31"/>
  <c r="Q643" i="31"/>
  <c r="I644" i="31"/>
  <c r="K644" i="31"/>
  <c r="M644" i="31"/>
  <c r="O644" i="31"/>
  <c r="Q644" i="31"/>
  <c r="I645" i="31"/>
  <c r="K645" i="31"/>
  <c r="M645" i="31"/>
  <c r="O645" i="31"/>
  <c r="Q645" i="31"/>
  <c r="I646" i="31"/>
  <c r="K646" i="31"/>
  <c r="M646" i="31"/>
  <c r="O646" i="31"/>
  <c r="Q646" i="31"/>
  <c r="I647" i="31"/>
  <c r="K647" i="31"/>
  <c r="M647" i="31"/>
  <c r="O647" i="31"/>
  <c r="Q647" i="31"/>
  <c r="I648" i="31"/>
  <c r="K648" i="31"/>
  <c r="M648" i="31"/>
  <c r="O648" i="31"/>
  <c r="Q648" i="31"/>
  <c r="I649" i="31"/>
  <c r="K649" i="31"/>
  <c r="M649" i="31"/>
  <c r="O649" i="31"/>
  <c r="Q649" i="31"/>
  <c r="I650" i="31"/>
  <c r="K650" i="31"/>
  <c r="M650" i="31"/>
  <c r="O650" i="31"/>
  <c r="Q650" i="31"/>
  <c r="I651" i="31"/>
  <c r="K651" i="31"/>
  <c r="M651" i="31"/>
  <c r="O651" i="31"/>
  <c r="Q651" i="31"/>
  <c r="I652" i="31"/>
  <c r="K652" i="31"/>
  <c r="M652" i="31"/>
  <c r="O652" i="31"/>
  <c r="Q652" i="31"/>
  <c r="I653" i="31"/>
  <c r="K653" i="31"/>
  <c r="M653" i="31"/>
  <c r="O653" i="31"/>
  <c r="Q653" i="31"/>
  <c r="I654" i="31"/>
  <c r="K654" i="31"/>
  <c r="M654" i="31"/>
  <c r="O654" i="31"/>
  <c r="Q654" i="31"/>
  <c r="I655" i="31"/>
  <c r="K655" i="31"/>
  <c r="M655" i="31"/>
  <c r="O655" i="31"/>
  <c r="Q655" i="31"/>
  <c r="I656" i="31"/>
  <c r="K656" i="31"/>
  <c r="M656" i="31"/>
  <c r="O656" i="31"/>
  <c r="Q656" i="31"/>
  <c r="I657" i="31"/>
  <c r="K657" i="31"/>
  <c r="M657" i="31"/>
  <c r="O657" i="31"/>
  <c r="Q657" i="31"/>
  <c r="I658" i="31"/>
  <c r="K658" i="31"/>
  <c r="M658" i="31"/>
  <c r="O658" i="31"/>
  <c r="Q658" i="31"/>
  <c r="I659" i="31"/>
  <c r="K659" i="31"/>
  <c r="M659" i="31"/>
  <c r="O659" i="31"/>
  <c r="Q659" i="31"/>
  <c r="I660" i="31"/>
  <c r="K660" i="31"/>
  <c r="M660" i="31"/>
  <c r="O660" i="31"/>
  <c r="Q660" i="31"/>
  <c r="I661" i="31"/>
  <c r="K661" i="31"/>
  <c r="M661" i="31"/>
  <c r="O661" i="31"/>
  <c r="Q661" i="31"/>
  <c r="I662" i="31"/>
  <c r="K662" i="31"/>
  <c r="M662" i="31"/>
  <c r="O662" i="31"/>
  <c r="Q662" i="31"/>
  <c r="I663" i="31"/>
  <c r="K663" i="31"/>
  <c r="M663" i="31"/>
  <c r="O663" i="31"/>
  <c r="Q663" i="31"/>
  <c r="I664" i="31"/>
  <c r="K664" i="31"/>
  <c r="M664" i="31"/>
  <c r="O664" i="31"/>
  <c r="Q664" i="31"/>
  <c r="I665" i="31"/>
  <c r="K665" i="31"/>
  <c r="M665" i="31"/>
  <c r="O665" i="31"/>
  <c r="Q665" i="31"/>
  <c r="I666" i="31"/>
  <c r="K666" i="31"/>
  <c r="M666" i="31"/>
  <c r="O666" i="31"/>
  <c r="Q666" i="31"/>
  <c r="I667" i="31"/>
  <c r="K667" i="31"/>
  <c r="M667" i="31"/>
  <c r="O667" i="31"/>
  <c r="Q667" i="31"/>
  <c r="I668" i="31"/>
  <c r="K668" i="31"/>
  <c r="M668" i="31"/>
  <c r="O668" i="31"/>
  <c r="Q668" i="31"/>
  <c r="I669" i="31"/>
  <c r="K669" i="31"/>
  <c r="M669" i="31"/>
  <c r="O669" i="31"/>
  <c r="Q669" i="31"/>
  <c r="I670" i="31"/>
  <c r="K670" i="31"/>
  <c r="M670" i="31"/>
  <c r="O670" i="31"/>
  <c r="Q670" i="31"/>
  <c r="I671" i="31"/>
  <c r="K671" i="31"/>
  <c r="M671" i="31"/>
  <c r="O671" i="31"/>
  <c r="Q671" i="31"/>
  <c r="I672" i="31"/>
  <c r="K672" i="31"/>
  <c r="M672" i="31"/>
  <c r="O672" i="31"/>
  <c r="Q672" i="31"/>
  <c r="I673" i="31"/>
  <c r="K673" i="31"/>
  <c r="M673" i="31"/>
  <c r="O673" i="31"/>
  <c r="Q673" i="31"/>
  <c r="I674" i="31"/>
  <c r="K674" i="31"/>
  <c r="M674" i="31"/>
  <c r="O674" i="31"/>
  <c r="Q674" i="31"/>
  <c r="I675" i="31"/>
  <c r="K675" i="31"/>
  <c r="M675" i="31"/>
  <c r="O675" i="31"/>
  <c r="Q675" i="31"/>
  <c r="I676" i="31"/>
  <c r="K676" i="31"/>
  <c r="M676" i="31"/>
  <c r="O676" i="31"/>
  <c r="Q676" i="31"/>
  <c r="I677" i="31"/>
  <c r="K677" i="31"/>
  <c r="M677" i="31"/>
  <c r="O677" i="31"/>
  <c r="Q677" i="31"/>
  <c r="I678" i="31"/>
  <c r="K678" i="31"/>
  <c r="M678" i="31"/>
  <c r="O678" i="31"/>
  <c r="Q678" i="31"/>
  <c r="I679" i="31"/>
  <c r="K679" i="31"/>
  <c r="M679" i="31"/>
  <c r="O679" i="31"/>
  <c r="Q679" i="31"/>
  <c r="I680" i="31"/>
  <c r="K680" i="31"/>
  <c r="M680" i="31"/>
  <c r="O680" i="31"/>
  <c r="Q680" i="31"/>
  <c r="I681" i="31"/>
  <c r="K681" i="31"/>
  <c r="M681" i="31"/>
  <c r="O681" i="31"/>
  <c r="Q681" i="31"/>
  <c r="I682" i="31"/>
  <c r="K682" i="31"/>
  <c r="M682" i="31"/>
  <c r="O682" i="31"/>
  <c r="Q682" i="31"/>
  <c r="I683" i="31"/>
  <c r="K683" i="31"/>
  <c r="M683" i="31"/>
  <c r="O683" i="31"/>
  <c r="Q683" i="31"/>
  <c r="I684" i="31"/>
  <c r="K684" i="31"/>
  <c r="M684" i="31"/>
  <c r="O684" i="31"/>
  <c r="Q684" i="31"/>
  <c r="I685" i="31"/>
  <c r="K685" i="31"/>
  <c r="M685" i="31"/>
  <c r="O685" i="31"/>
  <c r="Q685" i="31"/>
  <c r="I686" i="31"/>
  <c r="K686" i="31"/>
  <c r="M686" i="31"/>
  <c r="O686" i="31"/>
  <c r="Q686" i="31"/>
  <c r="I687" i="31"/>
  <c r="K687" i="31"/>
  <c r="M687" i="31"/>
  <c r="O687" i="31"/>
  <c r="Q687" i="31"/>
  <c r="I688" i="31"/>
  <c r="K688" i="31"/>
  <c r="M688" i="31"/>
  <c r="O688" i="31"/>
  <c r="Q688" i="31"/>
  <c r="I689" i="31"/>
  <c r="K689" i="31"/>
  <c r="M689" i="31"/>
  <c r="O689" i="31"/>
  <c r="Q689" i="31"/>
  <c r="I690" i="31"/>
  <c r="K690" i="31"/>
  <c r="M690" i="31"/>
  <c r="O690" i="31"/>
  <c r="Q690" i="31"/>
  <c r="I691" i="31"/>
  <c r="K691" i="31"/>
  <c r="M691" i="31"/>
  <c r="O691" i="31"/>
  <c r="Q691" i="31"/>
  <c r="I692" i="31"/>
  <c r="K692" i="31"/>
  <c r="M692" i="31"/>
  <c r="O692" i="31"/>
  <c r="Q692" i="31"/>
  <c r="I693" i="31"/>
  <c r="K693" i="31"/>
  <c r="M693" i="31"/>
  <c r="O693" i="31"/>
  <c r="Q693" i="31"/>
  <c r="I694" i="31"/>
  <c r="K694" i="31"/>
  <c r="M694" i="31"/>
  <c r="O694" i="31"/>
  <c r="Q694" i="31"/>
  <c r="I695" i="31"/>
  <c r="K695" i="31"/>
  <c r="M695" i="31"/>
  <c r="O695" i="31"/>
  <c r="Q695" i="31"/>
  <c r="I696" i="31"/>
  <c r="K696" i="31"/>
  <c r="M696" i="31"/>
  <c r="O696" i="31"/>
  <c r="Q696" i="31"/>
  <c r="I697" i="31"/>
  <c r="K697" i="31"/>
  <c r="M697" i="31"/>
  <c r="O697" i="31"/>
  <c r="Q697" i="31"/>
  <c r="I698" i="31"/>
  <c r="K698" i="31"/>
  <c r="M698" i="31"/>
  <c r="O698" i="31"/>
  <c r="Q698" i="31"/>
  <c r="I699" i="31"/>
  <c r="K699" i="31"/>
  <c r="M699" i="31"/>
  <c r="O699" i="31"/>
  <c r="Q699" i="31"/>
  <c r="I700" i="31"/>
  <c r="K700" i="31"/>
  <c r="M700" i="31"/>
  <c r="O700" i="31"/>
  <c r="Q700" i="31"/>
  <c r="I701" i="31"/>
  <c r="K701" i="31"/>
  <c r="M701" i="31"/>
  <c r="O701" i="31"/>
  <c r="Q701" i="31"/>
  <c r="I702" i="31"/>
  <c r="K702" i="31"/>
  <c r="M702" i="31"/>
  <c r="O702" i="31"/>
  <c r="Q702" i="31"/>
  <c r="I703" i="31"/>
  <c r="K703" i="31"/>
  <c r="M703" i="31"/>
  <c r="O703" i="31"/>
  <c r="Q703" i="31"/>
  <c r="I704" i="31"/>
  <c r="K704" i="31"/>
  <c r="M704" i="31"/>
  <c r="O704" i="31"/>
  <c r="Q704" i="31"/>
  <c r="I705" i="31"/>
  <c r="K705" i="31"/>
  <c r="M705" i="31"/>
  <c r="O705" i="31"/>
  <c r="Q705" i="31"/>
  <c r="I706" i="31"/>
  <c r="K706" i="31"/>
  <c r="M706" i="31"/>
  <c r="O706" i="31"/>
  <c r="Q706" i="31"/>
  <c r="I707" i="31"/>
  <c r="K707" i="31"/>
  <c r="M707" i="31"/>
  <c r="O707" i="31"/>
  <c r="Q707" i="31"/>
  <c r="I708" i="31"/>
  <c r="K708" i="31"/>
  <c r="M708" i="31"/>
  <c r="O708" i="31"/>
  <c r="Q708" i="31"/>
  <c r="I709" i="31"/>
  <c r="K709" i="31"/>
  <c r="M709" i="31"/>
  <c r="O709" i="31"/>
  <c r="Q709" i="31"/>
  <c r="I710" i="31"/>
  <c r="K710" i="31"/>
  <c r="M710" i="31"/>
  <c r="O710" i="31"/>
  <c r="Q710" i="31"/>
  <c r="I711" i="31"/>
  <c r="K711" i="31"/>
  <c r="M711" i="31"/>
  <c r="O711" i="31"/>
  <c r="Q711" i="31"/>
  <c r="I712" i="31"/>
  <c r="K712" i="31"/>
  <c r="M712" i="31"/>
  <c r="O712" i="31"/>
  <c r="Q712" i="31"/>
  <c r="I713" i="31"/>
  <c r="K713" i="31"/>
  <c r="M713" i="31"/>
  <c r="O713" i="31"/>
  <c r="Q713" i="31"/>
  <c r="I714" i="31"/>
  <c r="K714" i="31"/>
  <c r="M714" i="31"/>
  <c r="O714" i="31"/>
  <c r="Q714" i="31"/>
  <c r="I715" i="31"/>
  <c r="K715" i="31"/>
  <c r="M715" i="31"/>
  <c r="O715" i="31"/>
  <c r="Q715" i="31"/>
  <c r="I716" i="31"/>
  <c r="K716" i="31"/>
  <c r="M716" i="31"/>
  <c r="O716" i="31"/>
  <c r="Q716" i="31"/>
  <c r="I717" i="31"/>
  <c r="K717" i="31"/>
  <c r="M717" i="31"/>
  <c r="O717" i="31"/>
  <c r="Q717" i="31"/>
  <c r="I718" i="31"/>
  <c r="K718" i="31"/>
  <c r="M718" i="31"/>
  <c r="O718" i="31"/>
  <c r="Q718" i="31"/>
  <c r="I719" i="31"/>
  <c r="K719" i="31"/>
  <c r="M719" i="31"/>
  <c r="O719" i="31"/>
  <c r="Q719" i="31"/>
  <c r="I720" i="31"/>
  <c r="K720" i="31"/>
  <c r="M720" i="31"/>
  <c r="O720" i="31"/>
  <c r="Q720" i="31"/>
  <c r="I721" i="31"/>
  <c r="K721" i="31"/>
  <c r="M721" i="31"/>
  <c r="O721" i="31"/>
  <c r="Q721" i="31"/>
  <c r="I722" i="31"/>
  <c r="K722" i="31"/>
  <c r="M722" i="31"/>
  <c r="O722" i="31"/>
  <c r="Q722" i="31"/>
  <c r="I723" i="31"/>
  <c r="K723" i="31"/>
  <c r="M723" i="31"/>
  <c r="O723" i="31"/>
  <c r="Q723" i="31"/>
  <c r="I724" i="31"/>
  <c r="K724" i="31"/>
  <c r="M724" i="31"/>
  <c r="O724" i="31"/>
  <c r="Q724" i="31"/>
  <c r="I725" i="31"/>
  <c r="K725" i="31"/>
  <c r="M725" i="31"/>
  <c r="O725" i="31"/>
  <c r="Q725" i="31"/>
  <c r="I726" i="31"/>
  <c r="K726" i="31"/>
  <c r="M726" i="31"/>
  <c r="O726" i="31"/>
  <c r="Q726" i="31"/>
  <c r="I727" i="31"/>
  <c r="K727" i="31"/>
  <c r="M727" i="31"/>
  <c r="O727" i="31"/>
  <c r="Q727" i="31"/>
  <c r="I728" i="31"/>
  <c r="K728" i="31"/>
  <c r="M728" i="31"/>
  <c r="O728" i="31"/>
  <c r="Q728" i="31"/>
  <c r="I729" i="31"/>
  <c r="K729" i="31"/>
  <c r="M729" i="31"/>
  <c r="O729" i="31"/>
  <c r="Q729" i="31"/>
  <c r="I730" i="31"/>
  <c r="K730" i="31"/>
  <c r="M730" i="31"/>
  <c r="O730" i="31"/>
  <c r="Q730" i="31"/>
  <c r="I731" i="31"/>
  <c r="K731" i="31"/>
  <c r="M731" i="31"/>
  <c r="O731" i="31"/>
  <c r="Q731" i="31"/>
  <c r="I732" i="31"/>
  <c r="K732" i="31"/>
  <c r="M732" i="31"/>
  <c r="O732" i="31"/>
  <c r="Q732" i="31"/>
  <c r="I733" i="31"/>
  <c r="K733" i="31"/>
  <c r="M733" i="31"/>
  <c r="O733" i="31"/>
  <c r="Q733" i="31"/>
  <c r="I734" i="31"/>
  <c r="K734" i="31"/>
  <c r="M734" i="31"/>
  <c r="O734" i="31"/>
  <c r="Q734" i="31"/>
  <c r="I735" i="31"/>
  <c r="K735" i="31"/>
  <c r="M735" i="31"/>
  <c r="O735" i="31"/>
  <c r="Q735" i="31"/>
  <c r="I736" i="31"/>
  <c r="K736" i="31"/>
  <c r="M736" i="31"/>
  <c r="O736" i="31"/>
  <c r="Q736" i="31"/>
  <c r="I737" i="31"/>
  <c r="K737" i="31"/>
  <c r="M737" i="31"/>
  <c r="O737" i="31"/>
  <c r="Q737" i="31"/>
  <c r="I738" i="31"/>
  <c r="K738" i="31"/>
  <c r="M738" i="31"/>
  <c r="O738" i="31"/>
  <c r="Q738" i="31"/>
  <c r="I739" i="31"/>
  <c r="K739" i="31"/>
  <c r="M739" i="31"/>
  <c r="O739" i="31"/>
  <c r="Q739" i="31"/>
  <c r="I740" i="31"/>
  <c r="K740" i="31"/>
  <c r="M740" i="31"/>
  <c r="O740" i="31"/>
  <c r="Q740" i="31"/>
  <c r="I741" i="31"/>
  <c r="K741" i="31"/>
  <c r="M741" i="31"/>
  <c r="O741" i="31"/>
  <c r="Q741" i="31"/>
  <c r="I742" i="31"/>
  <c r="K742" i="31"/>
  <c r="M742" i="31"/>
  <c r="O742" i="31"/>
  <c r="Q742" i="31"/>
  <c r="I743" i="31"/>
  <c r="K743" i="31"/>
  <c r="M743" i="31"/>
  <c r="O743" i="31"/>
  <c r="Q743" i="31"/>
  <c r="I744" i="31"/>
  <c r="K744" i="31"/>
  <c r="M744" i="31"/>
  <c r="O744" i="31"/>
  <c r="Q744" i="31"/>
  <c r="I745" i="31"/>
  <c r="K745" i="31"/>
  <c r="M745" i="31"/>
  <c r="O745" i="31"/>
  <c r="Q745" i="31"/>
  <c r="I746" i="31"/>
  <c r="K746" i="31"/>
  <c r="M746" i="31"/>
  <c r="O746" i="31"/>
  <c r="Q746" i="31"/>
  <c r="I747" i="31"/>
  <c r="K747" i="31"/>
  <c r="M747" i="31"/>
  <c r="O747" i="31"/>
  <c r="Q747" i="31"/>
  <c r="I748" i="31"/>
  <c r="K748" i="31"/>
  <c r="M748" i="31"/>
  <c r="O748" i="31"/>
  <c r="Q748" i="31"/>
  <c r="I749" i="31"/>
  <c r="K749" i="31"/>
  <c r="M749" i="31"/>
  <c r="O749" i="31"/>
  <c r="Q749" i="31"/>
  <c r="I750" i="31"/>
  <c r="K750" i="31"/>
  <c r="M750" i="31"/>
  <c r="O750" i="31"/>
  <c r="Q750" i="31"/>
  <c r="I751" i="31"/>
  <c r="K751" i="31"/>
  <c r="M751" i="31"/>
  <c r="O751" i="31"/>
  <c r="Q751" i="31"/>
  <c r="I752" i="31"/>
  <c r="K752" i="31"/>
  <c r="M752" i="31"/>
  <c r="O752" i="31"/>
  <c r="Q752" i="31"/>
  <c r="I753" i="31"/>
  <c r="K753" i="31"/>
  <c r="M753" i="31"/>
  <c r="O753" i="31"/>
  <c r="Q753" i="31"/>
  <c r="I754" i="31"/>
  <c r="K754" i="31"/>
  <c r="M754" i="31"/>
  <c r="O754" i="31"/>
  <c r="Q754" i="31"/>
  <c r="I755" i="31"/>
  <c r="K755" i="31"/>
  <c r="M755" i="31"/>
  <c r="O755" i="31"/>
  <c r="Q755" i="31"/>
  <c r="I756" i="31"/>
  <c r="K756" i="31"/>
  <c r="M756" i="31"/>
  <c r="O756" i="31"/>
  <c r="Q756" i="31"/>
  <c r="I757" i="31"/>
  <c r="K757" i="31"/>
  <c r="M757" i="31"/>
  <c r="O757" i="31"/>
  <c r="Q757" i="31"/>
  <c r="I758" i="31"/>
  <c r="K758" i="31"/>
  <c r="M758" i="31"/>
  <c r="O758" i="31"/>
  <c r="Q758" i="31"/>
  <c r="I759" i="31"/>
  <c r="K759" i="31"/>
  <c r="M759" i="31"/>
  <c r="O759" i="31"/>
  <c r="Q759" i="31"/>
  <c r="I760" i="31"/>
  <c r="K760" i="31"/>
  <c r="M760" i="31"/>
  <c r="O760" i="31"/>
  <c r="Q760" i="31"/>
  <c r="I761" i="31"/>
  <c r="K761" i="31"/>
  <c r="M761" i="31"/>
  <c r="O761" i="31"/>
  <c r="Q761" i="31"/>
  <c r="I762" i="31"/>
  <c r="K762" i="31"/>
  <c r="M762" i="31"/>
  <c r="O762" i="31"/>
  <c r="Q762" i="31"/>
  <c r="I763" i="31"/>
  <c r="K763" i="31"/>
  <c r="M763" i="31"/>
  <c r="O763" i="31"/>
  <c r="Q763" i="31"/>
  <c r="I764" i="31"/>
  <c r="K764" i="31"/>
  <c r="M764" i="31"/>
  <c r="O764" i="31"/>
  <c r="Q764" i="31"/>
  <c r="C765" i="31"/>
  <c r="I765" i="31"/>
  <c r="K765" i="31"/>
  <c r="M765" i="31"/>
  <c r="O765" i="31"/>
  <c r="Q765" i="31"/>
  <c r="C766" i="31"/>
  <c r="I766" i="31"/>
  <c r="K766" i="31"/>
  <c r="M766" i="31"/>
  <c r="O766" i="31"/>
  <c r="Q766" i="31"/>
  <c r="C767" i="31"/>
  <c r="I767" i="31"/>
  <c r="K767" i="31"/>
  <c r="M767" i="31"/>
  <c r="O767" i="31"/>
  <c r="Q767" i="31"/>
  <c r="C768" i="31"/>
  <c r="I768" i="31"/>
  <c r="K768" i="31"/>
  <c r="M768" i="31"/>
  <c r="O768" i="31"/>
  <c r="Q768" i="31"/>
  <c r="C769" i="31"/>
  <c r="I769" i="31"/>
  <c r="K769" i="31"/>
  <c r="M769" i="31"/>
  <c r="O769" i="31"/>
  <c r="Q769" i="31"/>
  <c r="R769" i="31"/>
  <c r="S769" i="31" s="1"/>
  <c r="C770" i="31"/>
  <c r="I770" i="31"/>
  <c r="K770" i="31"/>
  <c r="M770" i="31"/>
  <c r="O770" i="31"/>
  <c r="Q770" i="31"/>
  <c r="R770" i="31"/>
  <c r="S770" i="31" s="1"/>
  <c r="C771" i="31"/>
  <c r="I771" i="31"/>
  <c r="K771" i="31"/>
  <c r="M771" i="31"/>
  <c r="O771" i="31"/>
  <c r="Q771" i="31"/>
  <c r="R771" i="31"/>
  <c r="S771" i="31" s="1"/>
  <c r="C772" i="31"/>
  <c r="I772" i="31"/>
  <c r="K772" i="31"/>
  <c r="M772" i="31"/>
  <c r="O772" i="31"/>
  <c r="Q772" i="31"/>
  <c r="R772" i="31"/>
  <c r="S772" i="31" s="1"/>
  <c r="C773" i="31"/>
  <c r="I773" i="31"/>
  <c r="K773" i="31"/>
  <c r="M773" i="31"/>
  <c r="O773" i="31"/>
  <c r="Q773" i="31"/>
  <c r="R773" i="31"/>
  <c r="S773" i="31" s="1"/>
  <c r="C774" i="31"/>
  <c r="I774" i="31"/>
  <c r="K774" i="31"/>
  <c r="M774" i="31"/>
  <c r="O774" i="31"/>
  <c r="Q774" i="31"/>
  <c r="R774" i="31"/>
  <c r="S774" i="31" s="1"/>
  <c r="C775" i="31"/>
  <c r="I775" i="31"/>
  <c r="K775" i="31"/>
  <c r="M775" i="31"/>
  <c r="O775" i="31"/>
  <c r="Q775" i="31"/>
  <c r="R775" i="31"/>
  <c r="S775" i="31" s="1"/>
  <c r="C776" i="31"/>
  <c r="I776" i="31"/>
  <c r="K776" i="31"/>
  <c r="M776" i="31"/>
  <c r="O776" i="31"/>
  <c r="Q776" i="31"/>
  <c r="R776" i="31"/>
  <c r="S776" i="31" s="1"/>
  <c r="C777" i="31"/>
  <c r="I777" i="31"/>
  <c r="K777" i="31"/>
  <c r="M777" i="31"/>
  <c r="O777" i="31"/>
  <c r="Q777" i="31"/>
  <c r="R777" i="31"/>
  <c r="S777" i="31" s="1"/>
  <c r="C778" i="31"/>
  <c r="I778" i="31"/>
  <c r="K778" i="31"/>
  <c r="M778" i="31"/>
  <c r="O778" i="31"/>
  <c r="Q778" i="31"/>
  <c r="R778" i="31"/>
  <c r="S778" i="31" s="1"/>
  <c r="C779" i="31"/>
  <c r="I779" i="31"/>
  <c r="K779" i="31"/>
  <c r="M779" i="31"/>
  <c r="O779" i="31"/>
  <c r="Q779" i="31"/>
  <c r="R779" i="31"/>
  <c r="S779" i="31" s="1"/>
  <c r="C780" i="31"/>
  <c r="I780" i="31"/>
  <c r="K780" i="31"/>
  <c r="M780" i="31"/>
  <c r="O780" i="31"/>
  <c r="Q780" i="31"/>
  <c r="R780" i="31"/>
  <c r="S780" i="31" s="1"/>
  <c r="C781" i="31"/>
  <c r="I781" i="31"/>
  <c r="K781" i="31"/>
  <c r="M781" i="31"/>
  <c r="O781" i="31"/>
  <c r="Q781" i="31"/>
  <c r="R781" i="31"/>
  <c r="S781" i="31" s="1"/>
  <c r="C782" i="31"/>
  <c r="I782" i="31"/>
  <c r="K782" i="31"/>
  <c r="M782" i="31"/>
  <c r="O782" i="31"/>
  <c r="Q782" i="31"/>
  <c r="R782" i="31"/>
  <c r="S782" i="31" s="1"/>
  <c r="C783" i="31"/>
  <c r="I783" i="31"/>
  <c r="K783" i="31"/>
  <c r="M783" i="31"/>
  <c r="O783" i="31"/>
  <c r="Q783" i="31"/>
  <c r="R783" i="31"/>
  <c r="S783" i="31" s="1"/>
  <c r="C784" i="31"/>
  <c r="I784" i="31"/>
  <c r="K784" i="31"/>
  <c r="M784" i="31"/>
  <c r="O784" i="31"/>
  <c r="Q784" i="31"/>
  <c r="R784" i="31"/>
  <c r="S784" i="31" s="1"/>
  <c r="C785" i="31"/>
  <c r="I785" i="31"/>
  <c r="K785" i="31"/>
  <c r="M785" i="31"/>
  <c r="O785" i="31"/>
  <c r="Q785" i="31"/>
  <c r="R785" i="31"/>
  <c r="S785" i="31" s="1"/>
  <c r="C786" i="31"/>
  <c r="I786" i="31"/>
  <c r="K786" i="31"/>
  <c r="M786" i="31"/>
  <c r="O786" i="31"/>
  <c r="Q786" i="31"/>
  <c r="R786" i="31"/>
  <c r="S786" i="31" s="1"/>
  <c r="C787" i="31"/>
  <c r="I787" i="31"/>
  <c r="K787" i="31"/>
  <c r="M787" i="31"/>
  <c r="O787" i="31"/>
  <c r="Q787" i="31"/>
  <c r="R787" i="31"/>
  <c r="S787" i="31" s="1"/>
  <c r="C788" i="31"/>
  <c r="I788" i="31"/>
  <c r="K788" i="31"/>
  <c r="M788" i="31"/>
  <c r="O788" i="31"/>
  <c r="Q788" i="31"/>
  <c r="R788" i="31"/>
  <c r="S788" i="31" s="1"/>
  <c r="C789" i="31"/>
  <c r="I789" i="31"/>
  <c r="K789" i="31"/>
  <c r="M789" i="31"/>
  <c r="O789" i="31"/>
  <c r="Q789" i="31"/>
  <c r="R789" i="31"/>
  <c r="S789" i="31" s="1"/>
  <c r="C790" i="31"/>
  <c r="I790" i="31"/>
  <c r="K790" i="31"/>
  <c r="M790" i="31"/>
  <c r="O790" i="31"/>
  <c r="Q790" i="31"/>
  <c r="R790" i="31"/>
  <c r="S790" i="31" s="1"/>
  <c r="C791" i="31"/>
  <c r="I791" i="31"/>
  <c r="K791" i="31"/>
  <c r="M791" i="31"/>
  <c r="O791" i="31"/>
  <c r="Q791" i="31"/>
  <c r="R791" i="31"/>
  <c r="S791" i="31" s="1"/>
  <c r="C792" i="31"/>
  <c r="I792" i="31"/>
  <c r="K792" i="31"/>
  <c r="M792" i="31"/>
  <c r="O792" i="31"/>
  <c r="Q792" i="31"/>
  <c r="R792" i="31"/>
  <c r="S792" i="31" s="1"/>
  <c r="C793" i="31"/>
  <c r="I793" i="31"/>
  <c r="K793" i="31"/>
  <c r="M793" i="31"/>
  <c r="O793" i="31"/>
  <c r="Q793" i="31"/>
  <c r="R793" i="31"/>
  <c r="S793" i="31" s="1"/>
  <c r="C794" i="31"/>
  <c r="I794" i="31"/>
  <c r="K794" i="31"/>
  <c r="M794" i="31"/>
  <c r="O794" i="31"/>
  <c r="Q794" i="31"/>
  <c r="R794" i="31"/>
  <c r="S794" i="31" s="1"/>
  <c r="C795" i="31"/>
  <c r="I795" i="31"/>
  <c r="K795" i="31"/>
  <c r="M795" i="31"/>
  <c r="O795" i="31"/>
  <c r="Q795" i="31"/>
  <c r="R795" i="31"/>
  <c r="S795" i="31" s="1"/>
  <c r="C796" i="31"/>
  <c r="I796" i="31"/>
  <c r="K796" i="31"/>
  <c r="M796" i="31"/>
  <c r="O796" i="31"/>
  <c r="Q796" i="31"/>
  <c r="R796" i="31"/>
  <c r="S796" i="31" s="1"/>
  <c r="C797" i="31"/>
  <c r="I797" i="31"/>
  <c r="K797" i="31"/>
  <c r="M797" i="31"/>
  <c r="O797" i="31"/>
  <c r="Q797" i="31"/>
  <c r="R797" i="31"/>
  <c r="S797" i="31" s="1"/>
  <c r="C798" i="31"/>
  <c r="I798" i="31"/>
  <c r="K798" i="31"/>
  <c r="M798" i="31"/>
  <c r="O798" i="31"/>
  <c r="Q798" i="31"/>
  <c r="R798" i="31"/>
  <c r="S798" i="31" s="1"/>
  <c r="C799" i="31"/>
  <c r="I799" i="31"/>
  <c r="K799" i="31"/>
  <c r="M799" i="31"/>
  <c r="O799" i="31"/>
  <c r="Q799" i="31"/>
  <c r="R799" i="31"/>
  <c r="S799" i="31" s="1"/>
  <c r="C800" i="31"/>
  <c r="I800" i="31"/>
  <c r="K800" i="31"/>
  <c r="M800" i="31"/>
  <c r="O800" i="31"/>
  <c r="Q800" i="31"/>
  <c r="R800" i="31"/>
  <c r="S800" i="31" s="1"/>
  <c r="C801" i="31"/>
  <c r="I801" i="31"/>
  <c r="K801" i="31"/>
  <c r="M801" i="31"/>
  <c r="O801" i="31"/>
  <c r="Q801" i="31"/>
  <c r="R801" i="31"/>
  <c r="S801" i="31" s="1"/>
  <c r="C802" i="31"/>
  <c r="I802" i="31"/>
  <c r="K802" i="31"/>
  <c r="M802" i="31"/>
  <c r="O802" i="31"/>
  <c r="Q802" i="31"/>
  <c r="R802" i="31"/>
  <c r="S802" i="31" s="1"/>
  <c r="C803" i="31"/>
  <c r="I803" i="31"/>
  <c r="K803" i="31"/>
  <c r="M803" i="31"/>
  <c r="O803" i="31"/>
  <c r="Q803" i="31"/>
  <c r="R803" i="31"/>
  <c r="S803" i="31" s="1"/>
  <c r="C804" i="31"/>
  <c r="I804" i="31"/>
  <c r="K804" i="31"/>
  <c r="M804" i="31"/>
  <c r="O804" i="31"/>
  <c r="Q804" i="31"/>
  <c r="R804" i="31"/>
  <c r="S804" i="31" s="1"/>
  <c r="C805" i="31"/>
  <c r="I805" i="31"/>
  <c r="K805" i="31"/>
  <c r="M805" i="31"/>
  <c r="O805" i="31"/>
  <c r="Q805" i="31"/>
  <c r="R805" i="31"/>
  <c r="S805" i="31" s="1"/>
  <c r="C806" i="31"/>
  <c r="I806" i="31"/>
  <c r="K806" i="31"/>
  <c r="M806" i="31"/>
  <c r="O806" i="31"/>
  <c r="Q806" i="31"/>
  <c r="R806" i="31"/>
  <c r="S806" i="31" s="1"/>
  <c r="C807" i="31"/>
  <c r="I807" i="31"/>
  <c r="K807" i="31"/>
  <c r="M807" i="31"/>
  <c r="O807" i="31"/>
  <c r="Q807" i="31"/>
  <c r="R807" i="31"/>
  <c r="S807" i="31" s="1"/>
  <c r="C808" i="31"/>
  <c r="I808" i="31"/>
  <c r="K808" i="31"/>
  <c r="M808" i="31"/>
  <c r="O808" i="31"/>
  <c r="Q808" i="31"/>
  <c r="R808" i="31"/>
  <c r="S808" i="31" s="1"/>
  <c r="C809" i="31"/>
  <c r="I809" i="31"/>
  <c r="K809" i="31"/>
  <c r="M809" i="31"/>
  <c r="O809" i="31"/>
  <c r="Q809" i="31"/>
  <c r="R809" i="31"/>
  <c r="S809" i="31" s="1"/>
  <c r="C810" i="31"/>
  <c r="I810" i="31"/>
  <c r="K810" i="31"/>
  <c r="M810" i="31"/>
  <c r="O810" i="31"/>
  <c r="Q810" i="31"/>
  <c r="R810" i="31"/>
  <c r="S810" i="31" s="1"/>
  <c r="C811" i="31"/>
  <c r="I811" i="31"/>
  <c r="K811" i="31"/>
  <c r="M811" i="31"/>
  <c r="O811" i="31"/>
  <c r="Q811" i="31"/>
  <c r="R811" i="31"/>
  <c r="S811" i="31" s="1"/>
  <c r="C812" i="31"/>
  <c r="I812" i="31"/>
  <c r="K812" i="31"/>
  <c r="M812" i="31"/>
  <c r="O812" i="31"/>
  <c r="Q812" i="31"/>
  <c r="R812" i="31"/>
  <c r="S812" i="31" s="1"/>
  <c r="C813" i="31"/>
  <c r="I813" i="31"/>
  <c r="K813" i="31"/>
  <c r="M813" i="31"/>
  <c r="O813" i="31"/>
  <c r="Q813" i="31"/>
  <c r="R813" i="31"/>
  <c r="S813" i="31" s="1"/>
  <c r="C814" i="31"/>
  <c r="I814" i="31"/>
  <c r="K814" i="31"/>
  <c r="M814" i="31"/>
  <c r="O814" i="31"/>
  <c r="Q814" i="31"/>
  <c r="R814" i="31"/>
  <c r="S814" i="31" s="1"/>
  <c r="C815" i="31"/>
  <c r="I815" i="31"/>
  <c r="K815" i="31"/>
  <c r="M815" i="31"/>
  <c r="O815" i="31"/>
  <c r="Q815" i="31"/>
  <c r="R815" i="31"/>
  <c r="S815" i="31" s="1"/>
  <c r="C816" i="31"/>
  <c r="I816" i="31"/>
  <c r="K816" i="31"/>
  <c r="M816" i="31"/>
  <c r="O816" i="31"/>
  <c r="Q816" i="31"/>
  <c r="R816" i="31"/>
  <c r="S816" i="31" s="1"/>
  <c r="C817" i="31"/>
  <c r="I817" i="31"/>
  <c r="K817" i="31"/>
  <c r="M817" i="31"/>
  <c r="O817" i="31"/>
  <c r="Q817" i="31"/>
  <c r="R817" i="31"/>
  <c r="S817" i="31" s="1"/>
  <c r="C818" i="31"/>
  <c r="I818" i="31"/>
  <c r="K818" i="31"/>
  <c r="M818" i="31"/>
  <c r="O818" i="31"/>
  <c r="Q818" i="31"/>
  <c r="R818" i="31"/>
  <c r="S818" i="31" s="1"/>
  <c r="C819" i="31"/>
  <c r="I819" i="31"/>
  <c r="K819" i="31"/>
  <c r="M819" i="31"/>
  <c r="O819" i="31"/>
  <c r="Q819" i="31"/>
  <c r="R819" i="31"/>
  <c r="S819" i="31" s="1"/>
  <c r="C820" i="31"/>
  <c r="I820" i="31"/>
  <c r="K820" i="31"/>
  <c r="M820" i="31"/>
  <c r="O820" i="31"/>
  <c r="Q820" i="31"/>
  <c r="R820" i="31"/>
  <c r="S820" i="31" s="1"/>
  <c r="C821" i="31"/>
  <c r="I821" i="31"/>
  <c r="K821" i="31"/>
  <c r="M821" i="31"/>
  <c r="O821" i="31"/>
  <c r="Q821" i="31"/>
  <c r="R821" i="31"/>
  <c r="S821" i="31" s="1"/>
  <c r="C822" i="31"/>
  <c r="I822" i="31"/>
  <c r="K822" i="31"/>
  <c r="M822" i="31"/>
  <c r="O822" i="31"/>
  <c r="Q822" i="31"/>
  <c r="R822" i="31"/>
  <c r="S822" i="31" s="1"/>
  <c r="C823" i="31"/>
  <c r="I823" i="31"/>
  <c r="K823" i="31"/>
  <c r="M823" i="31"/>
  <c r="O823" i="31"/>
  <c r="Q823" i="31"/>
  <c r="R823" i="31"/>
  <c r="S823" i="31" s="1"/>
  <c r="C824" i="31"/>
  <c r="I824" i="31"/>
  <c r="K824" i="31"/>
  <c r="M824" i="31"/>
  <c r="O824" i="31"/>
  <c r="Q824" i="31"/>
  <c r="R824" i="31"/>
  <c r="S824" i="31" s="1"/>
  <c r="C825" i="31"/>
  <c r="I825" i="31"/>
  <c r="K825" i="31"/>
  <c r="M825" i="31"/>
  <c r="O825" i="31"/>
  <c r="Q825" i="31"/>
  <c r="R825" i="31"/>
  <c r="S825" i="31" s="1"/>
  <c r="C826" i="31"/>
  <c r="I826" i="31"/>
  <c r="K826" i="31"/>
  <c r="M826" i="31"/>
  <c r="O826" i="31"/>
  <c r="Q826" i="31"/>
  <c r="R826" i="31"/>
  <c r="S826" i="31" s="1"/>
  <c r="C827" i="31"/>
  <c r="I827" i="31"/>
  <c r="K827" i="31"/>
  <c r="M827" i="31"/>
  <c r="O827" i="31"/>
  <c r="Q827" i="31"/>
  <c r="R827" i="31"/>
  <c r="S827" i="31" s="1"/>
  <c r="C828" i="31"/>
  <c r="I828" i="31"/>
  <c r="K828" i="31"/>
  <c r="M828" i="31"/>
  <c r="O828" i="31"/>
  <c r="Q828" i="31"/>
  <c r="R828" i="31"/>
  <c r="S828" i="31" s="1"/>
  <c r="C829" i="31"/>
  <c r="I829" i="31"/>
  <c r="K829" i="31"/>
  <c r="M829" i="31"/>
  <c r="O829" i="31"/>
  <c r="Q829" i="31"/>
  <c r="R829" i="31"/>
  <c r="S829" i="31" s="1"/>
  <c r="C830" i="31"/>
  <c r="I830" i="31"/>
  <c r="K830" i="31"/>
  <c r="M830" i="31"/>
  <c r="O830" i="31"/>
  <c r="Q830" i="31"/>
  <c r="R830" i="31"/>
  <c r="S830" i="31" s="1"/>
  <c r="C831" i="31"/>
  <c r="I831" i="31"/>
  <c r="K831" i="31"/>
  <c r="M831" i="31"/>
  <c r="O831" i="31"/>
  <c r="Q831" i="31"/>
  <c r="R831" i="31"/>
  <c r="S831" i="31" s="1"/>
  <c r="C832" i="31"/>
  <c r="I832" i="31"/>
  <c r="K832" i="31"/>
  <c r="M832" i="31"/>
  <c r="O832" i="31"/>
  <c r="Q832" i="31"/>
  <c r="R832" i="31"/>
  <c r="S832" i="31" s="1"/>
  <c r="C833" i="31"/>
  <c r="I833" i="31"/>
  <c r="K833" i="31"/>
  <c r="M833" i="31"/>
  <c r="O833" i="31"/>
  <c r="Q833" i="31"/>
  <c r="R833" i="31"/>
  <c r="S833" i="31" s="1"/>
  <c r="C834" i="31"/>
  <c r="I834" i="31"/>
  <c r="K834" i="31"/>
  <c r="M834" i="31"/>
  <c r="O834" i="31"/>
  <c r="Q834" i="31"/>
  <c r="R834" i="31"/>
  <c r="S834" i="31" s="1"/>
  <c r="C835" i="31"/>
  <c r="I835" i="31"/>
  <c r="K835" i="31"/>
  <c r="M835" i="31"/>
  <c r="O835" i="31"/>
  <c r="Q835" i="31"/>
  <c r="R835" i="31"/>
  <c r="S835" i="31" s="1"/>
  <c r="C836" i="31"/>
  <c r="I836" i="31"/>
  <c r="K836" i="31"/>
  <c r="M836" i="31"/>
  <c r="O836" i="31"/>
  <c r="Q836" i="31"/>
  <c r="R836" i="31"/>
  <c r="S836" i="31" s="1"/>
  <c r="C837" i="31"/>
  <c r="I837" i="31"/>
  <c r="K837" i="31"/>
  <c r="M837" i="31"/>
  <c r="O837" i="31"/>
  <c r="Q837" i="31"/>
  <c r="R837" i="31"/>
  <c r="S837" i="31" s="1"/>
  <c r="C838" i="31"/>
  <c r="I838" i="31"/>
  <c r="K838" i="31"/>
  <c r="M838" i="31"/>
  <c r="O838" i="31"/>
  <c r="Q838" i="31"/>
  <c r="R838" i="31"/>
  <c r="S838" i="31" s="1"/>
  <c r="C839" i="31"/>
  <c r="I839" i="31"/>
  <c r="K839" i="31"/>
  <c r="M839" i="31"/>
  <c r="O839" i="31"/>
  <c r="Q839" i="31"/>
  <c r="R839" i="31"/>
  <c r="S839" i="31" s="1"/>
  <c r="C840" i="31"/>
  <c r="I840" i="31"/>
  <c r="K840" i="31"/>
  <c r="M840" i="31"/>
  <c r="O840" i="31"/>
  <c r="Q840" i="31"/>
  <c r="R840" i="31"/>
  <c r="S840" i="31" s="1"/>
  <c r="C841" i="31"/>
  <c r="I841" i="31"/>
  <c r="K841" i="31"/>
  <c r="M841" i="31"/>
  <c r="O841" i="31"/>
  <c r="Q841" i="31"/>
  <c r="R841" i="31"/>
  <c r="S841" i="31" s="1"/>
  <c r="C842" i="31"/>
  <c r="I842" i="31"/>
  <c r="K842" i="31"/>
  <c r="M842" i="31"/>
  <c r="O842" i="31"/>
  <c r="Q842" i="31"/>
  <c r="R842" i="31"/>
  <c r="S842" i="31" s="1"/>
  <c r="C843" i="31"/>
  <c r="I843" i="31"/>
  <c r="K843" i="31"/>
  <c r="M843" i="31"/>
  <c r="O843" i="31"/>
  <c r="Q843" i="31"/>
  <c r="R843" i="31"/>
  <c r="S843" i="31" s="1"/>
  <c r="C844" i="31"/>
  <c r="I844" i="31"/>
  <c r="K844" i="31"/>
  <c r="M844" i="31"/>
  <c r="O844" i="31"/>
  <c r="Q844" i="31"/>
  <c r="R844" i="31"/>
  <c r="S844" i="31" s="1"/>
  <c r="C845" i="31"/>
  <c r="I845" i="31"/>
  <c r="K845" i="31"/>
  <c r="M845" i="31"/>
  <c r="O845" i="31"/>
  <c r="Q845" i="31"/>
  <c r="R845" i="31"/>
  <c r="S845" i="31" s="1"/>
  <c r="C846" i="31"/>
  <c r="I846" i="31"/>
  <c r="K846" i="31"/>
  <c r="M846" i="31"/>
  <c r="O846" i="31"/>
  <c r="Q846" i="31"/>
  <c r="R846" i="31"/>
  <c r="S846" i="31" s="1"/>
  <c r="C847" i="31"/>
  <c r="I847" i="31"/>
  <c r="K847" i="31"/>
  <c r="M847" i="31"/>
  <c r="O847" i="31"/>
  <c r="Q847" i="31"/>
  <c r="R847" i="31"/>
  <c r="S847" i="31" s="1"/>
  <c r="C848" i="31"/>
  <c r="I848" i="31"/>
  <c r="K848" i="31"/>
  <c r="M848" i="31"/>
  <c r="O848" i="31"/>
  <c r="Q848" i="31"/>
  <c r="R848" i="31"/>
  <c r="S848" i="31" s="1"/>
  <c r="C849" i="31"/>
  <c r="I849" i="31"/>
  <c r="K849" i="31"/>
  <c r="M849" i="31"/>
  <c r="O849" i="31"/>
  <c r="Q849" i="31"/>
  <c r="R849" i="31"/>
  <c r="S849" i="31" s="1"/>
  <c r="C850" i="31"/>
  <c r="I850" i="31"/>
  <c r="K850" i="31"/>
  <c r="M850" i="31"/>
  <c r="O850" i="31"/>
  <c r="Q850" i="31"/>
  <c r="R850" i="31"/>
  <c r="S850" i="31" s="1"/>
  <c r="C851" i="31"/>
  <c r="I851" i="31"/>
  <c r="K851" i="31"/>
  <c r="M851" i="31"/>
  <c r="O851" i="31"/>
  <c r="Q851" i="31"/>
  <c r="R851" i="31"/>
  <c r="S851" i="31" s="1"/>
  <c r="C852" i="31"/>
  <c r="I852" i="31"/>
  <c r="K852" i="31"/>
  <c r="M852" i="31"/>
  <c r="O852" i="31"/>
  <c r="Q852" i="31"/>
  <c r="R852" i="31"/>
  <c r="S852" i="31" s="1"/>
  <c r="C853" i="31"/>
  <c r="I853" i="31"/>
  <c r="K853" i="31"/>
  <c r="M853" i="31"/>
  <c r="O853" i="31"/>
  <c r="Q853" i="31"/>
  <c r="R853" i="31"/>
  <c r="S853" i="31" s="1"/>
  <c r="C854" i="31"/>
  <c r="I854" i="31"/>
  <c r="K854" i="31"/>
  <c r="M854" i="31"/>
  <c r="O854" i="31"/>
  <c r="Q854" i="31"/>
  <c r="R854" i="31"/>
  <c r="S854" i="31" s="1"/>
  <c r="C855" i="31"/>
  <c r="I855" i="31"/>
  <c r="K855" i="31"/>
  <c r="M855" i="31"/>
  <c r="O855" i="31"/>
  <c r="Q855" i="31"/>
  <c r="R855" i="31"/>
  <c r="S855" i="31" s="1"/>
  <c r="C856" i="31"/>
  <c r="I856" i="31"/>
  <c r="K856" i="31"/>
  <c r="M856" i="31"/>
  <c r="O856" i="31"/>
  <c r="Q856" i="31"/>
  <c r="R856" i="31"/>
  <c r="S856" i="31" s="1"/>
  <c r="C857" i="31"/>
  <c r="I857" i="31"/>
  <c r="K857" i="31"/>
  <c r="M857" i="31"/>
  <c r="O857" i="31"/>
  <c r="Q857" i="31"/>
  <c r="R857" i="31"/>
  <c r="S857" i="31" s="1"/>
  <c r="C858" i="31"/>
  <c r="I858" i="31"/>
  <c r="K858" i="31"/>
  <c r="M858" i="31"/>
  <c r="O858" i="31"/>
  <c r="Q858" i="31"/>
  <c r="R858" i="31"/>
  <c r="S858" i="31" s="1"/>
  <c r="C859" i="31"/>
  <c r="I859" i="31"/>
  <c r="K859" i="31"/>
  <c r="M859" i="31"/>
  <c r="O859" i="31"/>
  <c r="Q859" i="31"/>
  <c r="R859" i="31"/>
  <c r="S859" i="31" s="1"/>
  <c r="C860" i="31"/>
  <c r="I860" i="31"/>
  <c r="K860" i="31"/>
  <c r="M860" i="31"/>
  <c r="O860" i="31"/>
  <c r="Q860" i="31"/>
  <c r="R860" i="31"/>
  <c r="S860" i="31" s="1"/>
  <c r="C861" i="31"/>
  <c r="I861" i="31"/>
  <c r="K861" i="31"/>
  <c r="M861" i="31"/>
  <c r="O861" i="31"/>
  <c r="Q861" i="31"/>
  <c r="R861" i="31"/>
  <c r="S861" i="31" s="1"/>
  <c r="C862" i="31"/>
  <c r="I862" i="31"/>
  <c r="K862" i="31"/>
  <c r="M862" i="31"/>
  <c r="O862" i="31"/>
  <c r="Q862" i="31"/>
  <c r="R862" i="31"/>
  <c r="S862" i="31" s="1"/>
  <c r="C863" i="31"/>
  <c r="I863" i="31"/>
  <c r="K863" i="31"/>
  <c r="M863" i="31"/>
  <c r="O863" i="31"/>
  <c r="Q863" i="31"/>
  <c r="R863" i="31"/>
  <c r="S863" i="31" s="1"/>
  <c r="C864" i="31"/>
  <c r="I864" i="31"/>
  <c r="K864" i="31"/>
  <c r="M864" i="31"/>
  <c r="O864" i="31"/>
  <c r="Q864" i="31"/>
  <c r="R864" i="31"/>
  <c r="S864" i="31" s="1"/>
  <c r="C865" i="31"/>
  <c r="I865" i="31"/>
  <c r="K865" i="31"/>
  <c r="M865" i="31"/>
  <c r="O865" i="31"/>
  <c r="Q865" i="31"/>
  <c r="R865" i="31"/>
  <c r="S865" i="31" s="1"/>
  <c r="C866" i="31"/>
  <c r="I866" i="31"/>
  <c r="K866" i="31"/>
  <c r="M866" i="31"/>
  <c r="O866" i="31"/>
  <c r="Q866" i="31"/>
  <c r="R866" i="31"/>
  <c r="S866" i="31" s="1"/>
  <c r="C867" i="31"/>
  <c r="I867" i="31"/>
  <c r="K867" i="31"/>
  <c r="M867" i="31"/>
  <c r="O867" i="31"/>
  <c r="Q867" i="31"/>
  <c r="R867" i="31"/>
  <c r="S867" i="31" s="1"/>
  <c r="C868" i="31"/>
  <c r="I868" i="31"/>
  <c r="K868" i="31"/>
  <c r="M868" i="31"/>
  <c r="O868" i="31"/>
  <c r="Q868" i="31"/>
  <c r="R868" i="31"/>
  <c r="S868" i="31" s="1"/>
  <c r="C869" i="31"/>
  <c r="I869" i="31"/>
  <c r="K869" i="31"/>
  <c r="M869" i="31"/>
  <c r="O869" i="31"/>
  <c r="Q869" i="31"/>
  <c r="R869" i="31"/>
  <c r="S869" i="31" s="1"/>
  <c r="C870" i="31"/>
  <c r="I870" i="31"/>
  <c r="K870" i="31"/>
  <c r="M870" i="31"/>
  <c r="O870" i="31"/>
  <c r="Q870" i="31"/>
  <c r="R870" i="31"/>
  <c r="S870" i="31" s="1"/>
  <c r="C871" i="31"/>
  <c r="I871" i="31"/>
  <c r="K871" i="31"/>
  <c r="M871" i="31"/>
  <c r="O871" i="31"/>
  <c r="Q871" i="31"/>
  <c r="R871" i="31"/>
  <c r="S871" i="31" s="1"/>
  <c r="C872" i="31"/>
  <c r="I872" i="31"/>
  <c r="K872" i="31"/>
  <c r="M872" i="31"/>
  <c r="O872" i="31"/>
  <c r="Q872" i="31"/>
  <c r="R872" i="31"/>
  <c r="S872" i="31" s="1"/>
  <c r="C873" i="31"/>
  <c r="I873" i="31"/>
  <c r="K873" i="31"/>
  <c r="M873" i="31"/>
  <c r="O873" i="31"/>
  <c r="Q873" i="31"/>
  <c r="R873" i="31"/>
  <c r="S873" i="31" s="1"/>
  <c r="C874" i="31"/>
  <c r="I874" i="31"/>
  <c r="K874" i="31"/>
  <c r="M874" i="31"/>
  <c r="O874" i="31"/>
  <c r="Q874" i="31"/>
  <c r="R874" i="31"/>
  <c r="S874" i="31" s="1"/>
  <c r="C875" i="31"/>
  <c r="I875" i="31"/>
  <c r="K875" i="31"/>
  <c r="M875" i="31"/>
  <c r="O875" i="31"/>
  <c r="Q875" i="31"/>
  <c r="R875" i="31"/>
  <c r="S875" i="31" s="1"/>
  <c r="C876" i="31"/>
  <c r="I876" i="31"/>
  <c r="K876" i="31"/>
  <c r="M876" i="31"/>
  <c r="O876" i="31"/>
  <c r="Q876" i="31"/>
  <c r="R876" i="31"/>
  <c r="S876" i="31" s="1"/>
  <c r="C877" i="31"/>
  <c r="I877" i="31"/>
  <c r="K877" i="31"/>
  <c r="M877" i="31"/>
  <c r="O877" i="31"/>
  <c r="Q877" i="31"/>
  <c r="R877" i="31"/>
  <c r="S877" i="31" s="1"/>
  <c r="C878" i="31"/>
  <c r="I878" i="31"/>
  <c r="K878" i="31"/>
  <c r="M878" i="31"/>
  <c r="O878" i="31"/>
  <c r="Q878" i="31"/>
  <c r="R878" i="31"/>
  <c r="S878" i="31" s="1"/>
  <c r="C879" i="31"/>
  <c r="I879" i="31"/>
  <c r="K879" i="31"/>
  <c r="M879" i="31"/>
  <c r="O879" i="31"/>
  <c r="Q879" i="31"/>
  <c r="R879" i="31"/>
  <c r="S879" i="31" s="1"/>
  <c r="C880" i="31"/>
  <c r="I880" i="31"/>
  <c r="K880" i="31"/>
  <c r="M880" i="31"/>
  <c r="O880" i="31"/>
  <c r="Q880" i="31"/>
  <c r="R880" i="31"/>
  <c r="S880" i="31" s="1"/>
  <c r="C881" i="31"/>
  <c r="I881" i="31"/>
  <c r="K881" i="31"/>
  <c r="M881" i="31"/>
  <c r="O881" i="31"/>
  <c r="Q881" i="31"/>
  <c r="R881" i="31"/>
  <c r="S881" i="31" s="1"/>
  <c r="C882" i="31"/>
  <c r="I882" i="31"/>
  <c r="K882" i="31"/>
  <c r="M882" i="31"/>
  <c r="O882" i="31"/>
  <c r="Q882" i="31"/>
  <c r="R882" i="31"/>
  <c r="S882" i="31" s="1"/>
  <c r="C883" i="31"/>
  <c r="I883" i="31"/>
  <c r="K883" i="31"/>
  <c r="M883" i="31"/>
  <c r="O883" i="31"/>
  <c r="Q883" i="31"/>
  <c r="R883" i="31"/>
  <c r="S883" i="31" s="1"/>
  <c r="C884" i="31"/>
  <c r="I884" i="31"/>
  <c r="K884" i="31"/>
  <c r="M884" i="31"/>
  <c r="O884" i="31"/>
  <c r="Q884" i="31"/>
  <c r="R884" i="31"/>
  <c r="S884" i="31" s="1"/>
  <c r="C885" i="31"/>
  <c r="I885" i="31"/>
  <c r="K885" i="31"/>
  <c r="M885" i="31"/>
  <c r="O885" i="31"/>
  <c r="Q885" i="31"/>
  <c r="R885" i="31"/>
  <c r="S885" i="31" s="1"/>
  <c r="C886" i="31"/>
  <c r="I886" i="31"/>
  <c r="K886" i="31"/>
  <c r="M886" i="31"/>
  <c r="O886" i="31"/>
  <c r="Q886" i="31"/>
  <c r="R886" i="31"/>
  <c r="S886" i="31" s="1"/>
  <c r="C887" i="31"/>
  <c r="I887" i="31"/>
  <c r="K887" i="31"/>
  <c r="M887" i="31"/>
  <c r="O887" i="31"/>
  <c r="Q887" i="31"/>
  <c r="R887" i="31"/>
  <c r="S887" i="31" s="1"/>
  <c r="C888" i="31"/>
  <c r="I888" i="31"/>
  <c r="K888" i="31"/>
  <c r="M888" i="31"/>
  <c r="O888" i="31"/>
  <c r="Q888" i="31"/>
  <c r="R888" i="31"/>
  <c r="S888" i="31" s="1"/>
  <c r="C889" i="31"/>
  <c r="I889" i="31"/>
  <c r="K889" i="31"/>
  <c r="M889" i="31"/>
  <c r="O889" i="31"/>
  <c r="Q889" i="31"/>
  <c r="R889" i="31"/>
  <c r="S889" i="31" s="1"/>
  <c r="C890" i="31"/>
  <c r="I890" i="31"/>
  <c r="K890" i="31"/>
  <c r="M890" i="31"/>
  <c r="O890" i="31"/>
  <c r="Q890" i="31"/>
  <c r="R890" i="31"/>
  <c r="S890" i="31" s="1"/>
  <c r="C891" i="31"/>
  <c r="I891" i="31"/>
  <c r="K891" i="31"/>
  <c r="M891" i="31"/>
  <c r="O891" i="31"/>
  <c r="Q891" i="31"/>
  <c r="R891" i="31"/>
  <c r="S891" i="31" s="1"/>
  <c r="C892" i="31"/>
  <c r="I892" i="31"/>
  <c r="K892" i="31"/>
  <c r="M892" i="31"/>
  <c r="O892" i="31"/>
  <c r="Q892" i="31"/>
  <c r="R892" i="31"/>
  <c r="S892" i="31" s="1"/>
  <c r="C893" i="31"/>
  <c r="I893" i="31"/>
  <c r="K893" i="31"/>
  <c r="M893" i="31"/>
  <c r="O893" i="31"/>
  <c r="Q893" i="31"/>
  <c r="R893" i="31"/>
  <c r="S893" i="31" s="1"/>
  <c r="C894" i="31"/>
  <c r="I894" i="31"/>
  <c r="K894" i="31"/>
  <c r="M894" i="31"/>
  <c r="O894" i="31"/>
  <c r="Q894" i="31"/>
  <c r="R894" i="31"/>
  <c r="S894" i="31" s="1"/>
  <c r="C895" i="31"/>
  <c r="I895" i="31"/>
  <c r="K895" i="31"/>
  <c r="M895" i="31"/>
  <c r="O895" i="31"/>
  <c r="Q895" i="31"/>
  <c r="R895" i="31"/>
  <c r="S895" i="31" s="1"/>
  <c r="C896" i="31"/>
  <c r="I896" i="31"/>
  <c r="K896" i="31"/>
  <c r="M896" i="31"/>
  <c r="O896" i="31"/>
  <c r="Q896" i="31"/>
  <c r="R896" i="31"/>
  <c r="S896" i="31" s="1"/>
  <c r="C897" i="31"/>
  <c r="I897" i="31"/>
  <c r="K897" i="31"/>
  <c r="M897" i="31"/>
  <c r="O897" i="31"/>
  <c r="Q897" i="31"/>
  <c r="R897" i="31"/>
  <c r="S897" i="31" s="1"/>
  <c r="C898" i="31"/>
  <c r="I898" i="31"/>
  <c r="K898" i="31"/>
  <c r="M898" i="31"/>
  <c r="O898" i="31"/>
  <c r="Q898" i="31"/>
  <c r="R898" i="31"/>
  <c r="S898" i="31" s="1"/>
  <c r="C899" i="31"/>
  <c r="I899" i="31"/>
  <c r="K899" i="31"/>
  <c r="M899" i="31"/>
  <c r="O899" i="31"/>
  <c r="Q899" i="31"/>
  <c r="R899" i="31"/>
  <c r="S899" i="31" s="1"/>
  <c r="C900" i="31"/>
  <c r="I900" i="31"/>
  <c r="K900" i="31"/>
  <c r="M900" i="31"/>
  <c r="O900" i="31"/>
  <c r="Q900" i="31"/>
  <c r="R900" i="31"/>
  <c r="S900" i="31" s="1"/>
  <c r="C901" i="31"/>
  <c r="I901" i="31"/>
  <c r="K901" i="31"/>
  <c r="M901" i="31"/>
  <c r="O901" i="31"/>
  <c r="Q901" i="31"/>
  <c r="R901" i="31"/>
  <c r="S901" i="31" s="1"/>
  <c r="C902" i="31"/>
  <c r="I902" i="31"/>
  <c r="K902" i="31"/>
  <c r="M902" i="31"/>
  <c r="O902" i="31"/>
  <c r="Q902" i="31"/>
  <c r="R902" i="31"/>
  <c r="S902" i="31" s="1"/>
  <c r="C903" i="31"/>
  <c r="I903" i="31"/>
  <c r="K903" i="31"/>
  <c r="M903" i="31"/>
  <c r="O903" i="31"/>
  <c r="Q903" i="31"/>
  <c r="R903" i="31"/>
  <c r="S903" i="31" s="1"/>
  <c r="C904" i="31"/>
  <c r="I904" i="31"/>
  <c r="K904" i="31"/>
  <c r="M904" i="31"/>
  <c r="O904" i="31"/>
  <c r="Q904" i="31"/>
  <c r="R904" i="31"/>
  <c r="S904" i="31" s="1"/>
  <c r="C905" i="31"/>
  <c r="I905" i="31"/>
  <c r="K905" i="31"/>
  <c r="M905" i="31"/>
  <c r="O905" i="31"/>
  <c r="Q905" i="31"/>
  <c r="R905" i="31"/>
  <c r="S905" i="31" s="1"/>
  <c r="C906" i="31"/>
  <c r="I906" i="31"/>
  <c r="K906" i="31"/>
  <c r="M906" i="31"/>
  <c r="O906" i="31"/>
  <c r="Q906" i="31"/>
  <c r="R906" i="31"/>
  <c r="S906" i="31" s="1"/>
  <c r="C907" i="31"/>
  <c r="I907" i="31"/>
  <c r="K907" i="31"/>
  <c r="M907" i="31"/>
  <c r="O907" i="31"/>
  <c r="Q907" i="31"/>
  <c r="R907" i="31"/>
  <c r="S907" i="31" s="1"/>
  <c r="C908" i="31"/>
  <c r="I908" i="31"/>
  <c r="K908" i="31"/>
  <c r="M908" i="31"/>
  <c r="O908" i="31"/>
  <c r="Q908" i="31"/>
  <c r="R908" i="31"/>
  <c r="S908" i="31" s="1"/>
  <c r="C909" i="31"/>
  <c r="I909" i="31"/>
  <c r="K909" i="31"/>
  <c r="M909" i="31"/>
  <c r="O909" i="31"/>
  <c r="Q909" i="31"/>
  <c r="R909" i="31"/>
  <c r="S909" i="31" s="1"/>
  <c r="C910" i="31"/>
  <c r="I910" i="31"/>
  <c r="K910" i="31"/>
  <c r="M910" i="31"/>
  <c r="O910" i="31"/>
  <c r="Q910" i="31"/>
  <c r="R910" i="31"/>
  <c r="S910" i="31" s="1"/>
  <c r="C911" i="31"/>
  <c r="I911" i="31"/>
  <c r="K911" i="31"/>
  <c r="M911" i="31"/>
  <c r="O911" i="31"/>
  <c r="Q911" i="31"/>
  <c r="R911" i="31"/>
  <c r="S911" i="31" s="1"/>
  <c r="C912" i="31"/>
  <c r="I912" i="31"/>
  <c r="K912" i="31"/>
  <c r="M912" i="31"/>
  <c r="O912" i="31"/>
  <c r="Q912" i="31"/>
  <c r="R912" i="31"/>
  <c r="S912" i="31" s="1"/>
  <c r="C913" i="31"/>
  <c r="I913" i="31"/>
  <c r="K913" i="31"/>
  <c r="M913" i="31"/>
  <c r="O913" i="31"/>
  <c r="Q913" i="31"/>
  <c r="R913" i="31"/>
  <c r="S913" i="31" s="1"/>
  <c r="C914" i="31"/>
  <c r="I914" i="31"/>
  <c r="K914" i="31"/>
  <c r="M914" i="31"/>
  <c r="O914" i="31"/>
  <c r="Q914" i="31"/>
  <c r="R914" i="31"/>
  <c r="S914" i="31" s="1"/>
  <c r="C915" i="31"/>
  <c r="I915" i="31"/>
  <c r="K915" i="31"/>
  <c r="M915" i="31"/>
  <c r="O915" i="31"/>
  <c r="Q915" i="31"/>
  <c r="R915" i="31"/>
  <c r="S915" i="31" s="1"/>
  <c r="C916" i="31"/>
  <c r="I916" i="31"/>
  <c r="K916" i="31"/>
  <c r="M916" i="31"/>
  <c r="O916" i="31"/>
  <c r="Q916" i="31"/>
  <c r="R916" i="31"/>
  <c r="S916" i="31" s="1"/>
  <c r="C917" i="31"/>
  <c r="I917" i="31"/>
  <c r="K917" i="31"/>
  <c r="M917" i="31"/>
  <c r="O917" i="31"/>
  <c r="Q917" i="31"/>
  <c r="R917" i="31"/>
  <c r="S917" i="31" s="1"/>
  <c r="C918" i="31"/>
  <c r="I918" i="31"/>
  <c r="K918" i="31"/>
  <c r="M918" i="31"/>
  <c r="O918" i="31"/>
  <c r="Q918" i="31"/>
  <c r="R918" i="31"/>
  <c r="S918" i="31" s="1"/>
  <c r="C919" i="31"/>
  <c r="I919" i="31"/>
  <c r="K919" i="31"/>
  <c r="M919" i="31"/>
  <c r="O919" i="31"/>
  <c r="Q919" i="31"/>
  <c r="R919" i="31"/>
  <c r="S919" i="31" s="1"/>
  <c r="C920" i="31"/>
  <c r="I920" i="31"/>
  <c r="K920" i="31"/>
  <c r="M920" i="31"/>
  <c r="O920" i="31"/>
  <c r="Q920" i="31"/>
  <c r="R920" i="31"/>
  <c r="S920" i="31" s="1"/>
  <c r="C921" i="31"/>
  <c r="I921" i="31"/>
  <c r="K921" i="31"/>
  <c r="M921" i="31"/>
  <c r="O921" i="31"/>
  <c r="Q921" i="31"/>
  <c r="R921" i="31"/>
  <c r="S921" i="31" s="1"/>
  <c r="C922" i="31"/>
  <c r="I922" i="31"/>
  <c r="K922" i="31"/>
  <c r="M922" i="31"/>
  <c r="O922" i="31"/>
  <c r="Q922" i="31"/>
  <c r="R922" i="31"/>
  <c r="S922" i="31" s="1"/>
  <c r="C923" i="31"/>
  <c r="I923" i="31"/>
  <c r="K923" i="31"/>
  <c r="M923" i="31"/>
  <c r="O923" i="31"/>
  <c r="Q923" i="31"/>
  <c r="R923" i="31"/>
  <c r="S923" i="31" s="1"/>
  <c r="C924" i="31"/>
  <c r="I924" i="31"/>
  <c r="K924" i="31"/>
  <c r="M924" i="31"/>
  <c r="O924" i="31"/>
  <c r="Q924" i="31"/>
  <c r="R924" i="31"/>
  <c r="S924" i="31" s="1"/>
  <c r="C925" i="31"/>
  <c r="I925" i="31"/>
  <c r="K925" i="31"/>
  <c r="M925" i="31"/>
  <c r="O925" i="31"/>
  <c r="Q925" i="31"/>
  <c r="R925" i="31"/>
  <c r="S925" i="31" s="1"/>
  <c r="C926" i="31"/>
  <c r="I926" i="31"/>
  <c r="K926" i="31"/>
  <c r="M926" i="31"/>
  <c r="O926" i="31"/>
  <c r="Q926" i="31"/>
  <c r="R926" i="31"/>
  <c r="S926" i="31" s="1"/>
  <c r="C927" i="31"/>
  <c r="I927" i="31"/>
  <c r="K927" i="31"/>
  <c r="M927" i="31"/>
  <c r="O927" i="31"/>
  <c r="Q927" i="31"/>
  <c r="R927" i="31"/>
  <c r="S927" i="31" s="1"/>
  <c r="C928" i="31"/>
  <c r="I928" i="31"/>
  <c r="K928" i="31"/>
  <c r="M928" i="31"/>
  <c r="O928" i="31"/>
  <c r="Q928" i="31"/>
  <c r="R928" i="31"/>
  <c r="S928" i="31" s="1"/>
  <c r="C929" i="31"/>
  <c r="I929" i="31"/>
  <c r="K929" i="31"/>
  <c r="M929" i="31"/>
  <c r="O929" i="31"/>
  <c r="Q929" i="31"/>
  <c r="R929" i="31"/>
  <c r="S929" i="31" s="1"/>
  <c r="C930" i="31"/>
  <c r="I930" i="31"/>
  <c r="K930" i="31"/>
  <c r="M930" i="31"/>
  <c r="O930" i="31"/>
  <c r="Q930" i="31"/>
  <c r="R930" i="31"/>
  <c r="S930" i="31" s="1"/>
  <c r="C931" i="31"/>
  <c r="I931" i="31"/>
  <c r="K931" i="31"/>
  <c r="M931" i="31"/>
  <c r="O931" i="31"/>
  <c r="Q931" i="31"/>
  <c r="R931" i="31"/>
  <c r="S931" i="31" s="1"/>
  <c r="C932" i="31"/>
  <c r="I932" i="31"/>
  <c r="K932" i="31"/>
  <c r="M932" i="31"/>
  <c r="O932" i="31"/>
  <c r="Q932" i="31"/>
  <c r="R932" i="31"/>
  <c r="S932" i="31" s="1"/>
  <c r="C933" i="31"/>
  <c r="I933" i="31"/>
  <c r="K933" i="31"/>
  <c r="M933" i="31"/>
  <c r="O933" i="31"/>
  <c r="Q933" i="31"/>
  <c r="R933" i="31"/>
  <c r="S933" i="31" s="1"/>
  <c r="C934" i="31"/>
  <c r="I934" i="31"/>
  <c r="K934" i="31"/>
  <c r="M934" i="31"/>
  <c r="O934" i="31"/>
  <c r="Q934" i="31"/>
  <c r="R934" i="31"/>
  <c r="S934" i="31" s="1"/>
  <c r="C935" i="31"/>
  <c r="I935" i="31"/>
  <c r="K935" i="31"/>
  <c r="M935" i="31"/>
  <c r="O935" i="31"/>
  <c r="Q935" i="31"/>
  <c r="R935" i="31"/>
  <c r="S935" i="31" s="1"/>
  <c r="C936" i="31"/>
  <c r="I936" i="31"/>
  <c r="K936" i="31"/>
  <c r="M936" i="31"/>
  <c r="O936" i="31"/>
  <c r="Q936" i="31"/>
  <c r="R936" i="31"/>
  <c r="S936" i="31" s="1"/>
  <c r="C937" i="31"/>
  <c r="I937" i="31"/>
  <c r="K937" i="31"/>
  <c r="M937" i="31"/>
  <c r="O937" i="31"/>
  <c r="Q937" i="31"/>
  <c r="R937" i="31"/>
  <c r="S937" i="31" s="1"/>
  <c r="C938" i="31"/>
  <c r="I938" i="31"/>
  <c r="K938" i="31"/>
  <c r="M938" i="31"/>
  <c r="O938" i="31"/>
  <c r="Q938" i="31"/>
  <c r="R938" i="31"/>
  <c r="S938" i="31" s="1"/>
  <c r="C939" i="31"/>
  <c r="I939" i="31"/>
  <c r="K939" i="31"/>
  <c r="M939" i="31"/>
  <c r="O939" i="31"/>
  <c r="Q939" i="31"/>
  <c r="R939" i="31"/>
  <c r="S939" i="31" s="1"/>
  <c r="C940" i="31"/>
  <c r="I940" i="31"/>
  <c r="K940" i="31"/>
  <c r="M940" i="31"/>
  <c r="O940" i="31"/>
  <c r="Q940" i="31"/>
  <c r="R940" i="31"/>
  <c r="S940" i="31" s="1"/>
  <c r="C941" i="31"/>
  <c r="I941" i="31"/>
  <c r="K941" i="31"/>
  <c r="M941" i="31"/>
  <c r="O941" i="31"/>
  <c r="Q941" i="31"/>
  <c r="R941" i="31"/>
  <c r="S941" i="31" s="1"/>
  <c r="C942" i="31"/>
  <c r="I942" i="31"/>
  <c r="K942" i="31"/>
  <c r="M942" i="31"/>
  <c r="O942" i="31"/>
  <c r="Q942" i="31"/>
  <c r="R942" i="31"/>
  <c r="S942" i="31" s="1"/>
  <c r="C943" i="31"/>
  <c r="I943" i="31"/>
  <c r="K943" i="31"/>
  <c r="M943" i="31"/>
  <c r="O943" i="31"/>
  <c r="Q943" i="31"/>
  <c r="R943" i="31"/>
  <c r="S943" i="31" s="1"/>
  <c r="C944" i="31"/>
  <c r="I944" i="31"/>
  <c r="K944" i="31"/>
  <c r="M944" i="31"/>
  <c r="O944" i="31"/>
  <c r="Q944" i="31"/>
  <c r="R944" i="31"/>
  <c r="S944" i="31" s="1"/>
  <c r="C945" i="31"/>
  <c r="I945" i="31"/>
  <c r="K945" i="31"/>
  <c r="M945" i="31"/>
  <c r="O945" i="31"/>
  <c r="Q945" i="31"/>
  <c r="R945" i="31"/>
  <c r="S945" i="31" s="1"/>
  <c r="C946" i="31"/>
  <c r="I946" i="31"/>
  <c r="K946" i="31"/>
  <c r="M946" i="31"/>
  <c r="O946" i="31"/>
  <c r="Q946" i="31"/>
  <c r="R946" i="31"/>
  <c r="S946" i="31" s="1"/>
  <c r="C947" i="31"/>
  <c r="I947" i="31"/>
  <c r="K947" i="31"/>
  <c r="M947" i="31"/>
  <c r="O947" i="31"/>
  <c r="Q947" i="31"/>
  <c r="R947" i="31"/>
  <c r="S947" i="31" s="1"/>
  <c r="C948" i="31"/>
  <c r="I948" i="31"/>
  <c r="K948" i="31"/>
  <c r="M948" i="31"/>
  <c r="O948" i="31"/>
  <c r="Q948" i="31"/>
  <c r="R948" i="31"/>
  <c r="S948" i="31" s="1"/>
  <c r="C949" i="31"/>
  <c r="I949" i="31"/>
  <c r="K949" i="31"/>
  <c r="M949" i="31"/>
  <c r="O949" i="31"/>
  <c r="Q949" i="31"/>
  <c r="R949" i="31"/>
  <c r="S949" i="31" s="1"/>
  <c r="C950" i="31"/>
  <c r="I950" i="31"/>
  <c r="K950" i="31"/>
  <c r="M950" i="31"/>
  <c r="O950" i="31"/>
  <c r="Q950" i="31"/>
  <c r="R950" i="31"/>
  <c r="S950" i="31" s="1"/>
  <c r="C951" i="31"/>
  <c r="I951" i="31"/>
  <c r="K951" i="31"/>
  <c r="M951" i="31"/>
  <c r="O951" i="31"/>
  <c r="Q951" i="31"/>
  <c r="R951" i="31"/>
  <c r="S951" i="31" s="1"/>
  <c r="C952" i="31"/>
  <c r="I952" i="31"/>
  <c r="K952" i="31"/>
  <c r="M952" i="31"/>
  <c r="O952" i="31"/>
  <c r="Q952" i="31"/>
  <c r="R952" i="31"/>
  <c r="S952" i="31" s="1"/>
  <c r="C953" i="31"/>
  <c r="I953" i="31"/>
  <c r="K953" i="31"/>
  <c r="M953" i="31"/>
  <c r="O953" i="31"/>
  <c r="Q953" i="31"/>
  <c r="R953" i="31"/>
  <c r="S953" i="31" s="1"/>
  <c r="C954" i="31"/>
  <c r="I954" i="31"/>
  <c r="K954" i="31"/>
  <c r="M954" i="31"/>
  <c r="O954" i="31"/>
  <c r="Q954" i="31"/>
  <c r="R954" i="31"/>
  <c r="S954" i="31" s="1"/>
  <c r="C955" i="31"/>
  <c r="I955" i="31"/>
  <c r="K955" i="31"/>
  <c r="M955" i="31"/>
  <c r="O955" i="31"/>
  <c r="Q955" i="31"/>
  <c r="R955" i="31"/>
  <c r="S955" i="31" s="1"/>
  <c r="C956" i="31"/>
  <c r="I956" i="31"/>
  <c r="K956" i="31"/>
  <c r="M956" i="31"/>
  <c r="O956" i="31"/>
  <c r="Q956" i="31"/>
  <c r="R956" i="31"/>
  <c r="S956" i="31" s="1"/>
  <c r="C957" i="31"/>
  <c r="I957" i="31"/>
  <c r="K957" i="31"/>
  <c r="M957" i="31"/>
  <c r="O957" i="31"/>
  <c r="Q957" i="31"/>
  <c r="R957" i="31"/>
  <c r="S957" i="31" s="1"/>
  <c r="C958" i="31"/>
  <c r="I958" i="31"/>
  <c r="K958" i="31"/>
  <c r="M958" i="31"/>
  <c r="O958" i="31"/>
  <c r="Q958" i="31"/>
  <c r="R958" i="31"/>
  <c r="S958" i="31" s="1"/>
  <c r="C959" i="31"/>
  <c r="I959" i="31"/>
  <c r="K959" i="31"/>
  <c r="M959" i="31"/>
  <c r="O959" i="31"/>
  <c r="Q959" i="31"/>
  <c r="R959" i="31"/>
  <c r="S959" i="31" s="1"/>
  <c r="C960" i="31"/>
  <c r="I960" i="31"/>
  <c r="K960" i="31"/>
  <c r="M960" i="31"/>
  <c r="O960" i="31"/>
  <c r="Q960" i="31"/>
  <c r="R960" i="31"/>
  <c r="S960" i="31" s="1"/>
  <c r="C961" i="31"/>
  <c r="I961" i="31"/>
  <c r="K961" i="31"/>
  <c r="M961" i="31"/>
  <c r="O961" i="31"/>
  <c r="Q961" i="31"/>
  <c r="R961" i="31"/>
  <c r="S961" i="31" s="1"/>
  <c r="C962" i="31"/>
  <c r="I962" i="31"/>
  <c r="K962" i="31"/>
  <c r="M962" i="31"/>
  <c r="O962" i="31"/>
  <c r="Q962" i="31"/>
  <c r="R962" i="31"/>
  <c r="S962" i="31" s="1"/>
  <c r="C963" i="31"/>
  <c r="I963" i="31"/>
  <c r="K963" i="31"/>
  <c r="M963" i="31"/>
  <c r="O963" i="31"/>
  <c r="Q963" i="31"/>
  <c r="R963" i="31"/>
  <c r="S963" i="31" s="1"/>
  <c r="C964" i="31"/>
  <c r="I964" i="31"/>
  <c r="K964" i="31"/>
  <c r="M964" i="31"/>
  <c r="O964" i="31"/>
  <c r="Q964" i="31"/>
  <c r="R964" i="31"/>
  <c r="S964" i="31" s="1"/>
  <c r="C965" i="31"/>
  <c r="I965" i="31"/>
  <c r="K965" i="31"/>
  <c r="M965" i="31"/>
  <c r="O965" i="31"/>
  <c r="Q965" i="31"/>
  <c r="R965" i="31"/>
  <c r="S965" i="31" s="1"/>
  <c r="C966" i="31"/>
  <c r="I966" i="31"/>
  <c r="K966" i="31"/>
  <c r="M966" i="31"/>
  <c r="O966" i="31"/>
  <c r="Q966" i="31"/>
  <c r="R966" i="31"/>
  <c r="S966" i="31" s="1"/>
  <c r="C967" i="31"/>
  <c r="I967" i="31"/>
  <c r="K967" i="31"/>
  <c r="M967" i="31"/>
  <c r="O967" i="31"/>
  <c r="Q967" i="31"/>
  <c r="R967" i="31"/>
  <c r="S967" i="31" s="1"/>
  <c r="C968" i="31"/>
  <c r="I968" i="31"/>
  <c r="K968" i="31"/>
  <c r="M968" i="31"/>
  <c r="O968" i="31"/>
  <c r="Q968" i="31"/>
  <c r="R968" i="31"/>
  <c r="S968" i="31" s="1"/>
  <c r="C969" i="31"/>
  <c r="I969" i="31"/>
  <c r="K969" i="31"/>
  <c r="M969" i="31"/>
  <c r="O969" i="31"/>
  <c r="Q969" i="31"/>
  <c r="R969" i="31"/>
  <c r="S969" i="31" s="1"/>
  <c r="C970" i="31"/>
  <c r="I970" i="31"/>
  <c r="K970" i="31"/>
  <c r="M970" i="31"/>
  <c r="O970" i="31"/>
  <c r="Q970" i="31"/>
  <c r="R970" i="31"/>
  <c r="S970" i="31" s="1"/>
  <c r="C971" i="31"/>
  <c r="I971" i="31"/>
  <c r="K971" i="31"/>
  <c r="M971" i="31"/>
  <c r="O971" i="31"/>
  <c r="Q971" i="31"/>
  <c r="R971" i="31"/>
  <c r="S971" i="31" s="1"/>
  <c r="C972" i="31"/>
  <c r="I972" i="31"/>
  <c r="K972" i="31"/>
  <c r="M972" i="31"/>
  <c r="O972" i="31"/>
  <c r="Q972" i="31"/>
  <c r="R972" i="31"/>
  <c r="S972" i="31" s="1"/>
  <c r="C973" i="31"/>
  <c r="I973" i="31"/>
  <c r="K973" i="31"/>
  <c r="M973" i="31"/>
  <c r="O973" i="31"/>
  <c r="Q973" i="31"/>
  <c r="R973" i="31"/>
  <c r="S973" i="31" s="1"/>
  <c r="C974" i="31"/>
  <c r="I974" i="31"/>
  <c r="K974" i="31"/>
  <c r="M974" i="31"/>
  <c r="O974" i="31"/>
  <c r="Q974" i="31"/>
  <c r="R974" i="31"/>
  <c r="S974" i="31" s="1"/>
  <c r="C975" i="31"/>
  <c r="I975" i="31"/>
  <c r="K975" i="31"/>
  <c r="M975" i="31"/>
  <c r="O975" i="31"/>
  <c r="Q975" i="31"/>
  <c r="R975" i="31"/>
  <c r="S975" i="31" s="1"/>
  <c r="C976" i="31"/>
  <c r="I976" i="31"/>
  <c r="K976" i="31"/>
  <c r="M976" i="31"/>
  <c r="O976" i="31"/>
  <c r="Q976" i="31"/>
  <c r="R976" i="31"/>
  <c r="S976" i="31" s="1"/>
  <c r="C977" i="31"/>
  <c r="I977" i="31"/>
  <c r="K977" i="31"/>
  <c r="M977" i="31"/>
  <c r="O977" i="31"/>
  <c r="Q977" i="31"/>
  <c r="R977" i="31"/>
  <c r="S977" i="31" s="1"/>
  <c r="C978" i="31"/>
  <c r="I978" i="31"/>
  <c r="K978" i="31"/>
  <c r="M978" i="31"/>
  <c r="O978" i="31"/>
  <c r="Q978" i="31"/>
  <c r="R978" i="31"/>
  <c r="S978" i="31" s="1"/>
  <c r="C979" i="31"/>
  <c r="I979" i="31"/>
  <c r="K979" i="31"/>
  <c r="M979" i="31"/>
  <c r="O979" i="31"/>
  <c r="Q979" i="31"/>
  <c r="R979" i="31"/>
  <c r="S979" i="31" s="1"/>
  <c r="C980" i="31"/>
  <c r="I980" i="31"/>
  <c r="K980" i="31"/>
  <c r="M980" i="31"/>
  <c r="O980" i="31"/>
  <c r="Q980" i="31"/>
  <c r="R980" i="31"/>
  <c r="S980" i="31" s="1"/>
  <c r="C981" i="31"/>
  <c r="I981" i="31"/>
  <c r="K981" i="31"/>
  <c r="M981" i="31"/>
  <c r="O981" i="31"/>
  <c r="Q981" i="31"/>
  <c r="R981" i="31"/>
  <c r="S981" i="31" s="1"/>
  <c r="C982" i="31"/>
  <c r="I982" i="31"/>
  <c r="K982" i="31"/>
  <c r="M982" i="31"/>
  <c r="O982" i="31"/>
  <c r="Q982" i="31"/>
  <c r="R982" i="31"/>
  <c r="S982" i="31" s="1"/>
  <c r="C983" i="31"/>
  <c r="I983" i="31"/>
  <c r="K983" i="31"/>
  <c r="M983" i="31"/>
  <c r="O983" i="31"/>
  <c r="Q983" i="31"/>
  <c r="R983" i="31"/>
  <c r="S983" i="31" s="1"/>
  <c r="C984" i="31"/>
  <c r="I984" i="31"/>
  <c r="K984" i="31"/>
  <c r="M984" i="31"/>
  <c r="O984" i="31"/>
  <c r="Q984" i="31"/>
  <c r="R984" i="31"/>
  <c r="S984" i="31" s="1"/>
  <c r="C985" i="31"/>
  <c r="I985" i="31"/>
  <c r="K985" i="31"/>
  <c r="M985" i="31"/>
  <c r="O985" i="31"/>
  <c r="Q985" i="31"/>
  <c r="R985" i="31"/>
  <c r="S985" i="31" s="1"/>
  <c r="C986" i="31"/>
  <c r="I986" i="31"/>
  <c r="K986" i="31"/>
  <c r="M986" i="31"/>
  <c r="O986" i="31"/>
  <c r="Q986" i="31"/>
  <c r="R986" i="31"/>
  <c r="S986" i="31" s="1"/>
  <c r="C987" i="31"/>
  <c r="I987" i="31"/>
  <c r="K987" i="31"/>
  <c r="M987" i="31"/>
  <c r="O987" i="31"/>
  <c r="Q987" i="31"/>
  <c r="R987" i="31"/>
  <c r="S987" i="31" s="1"/>
  <c r="C988" i="31"/>
  <c r="I988" i="31"/>
  <c r="K988" i="31"/>
  <c r="M988" i="31"/>
  <c r="O988" i="31"/>
  <c r="Q988" i="31"/>
  <c r="R988" i="31"/>
  <c r="S988" i="31" s="1"/>
  <c r="C989" i="31"/>
  <c r="I989" i="31"/>
  <c r="K989" i="31"/>
  <c r="M989" i="31"/>
  <c r="O989" i="31"/>
  <c r="Q989" i="31"/>
  <c r="R989" i="31"/>
  <c r="S989" i="31" s="1"/>
  <c r="C990" i="31"/>
  <c r="I990" i="31"/>
  <c r="K990" i="31"/>
  <c r="M990" i="31"/>
  <c r="O990" i="31"/>
  <c r="Q990" i="31"/>
  <c r="R990" i="31"/>
  <c r="S990" i="31" s="1"/>
  <c r="C991" i="31"/>
  <c r="I991" i="31"/>
  <c r="K991" i="31"/>
  <c r="M991" i="31"/>
  <c r="O991" i="31"/>
  <c r="Q991" i="31"/>
  <c r="R991" i="31"/>
  <c r="S991" i="31" s="1"/>
  <c r="C992" i="31"/>
  <c r="I992" i="31"/>
  <c r="K992" i="31"/>
  <c r="M992" i="31"/>
  <c r="O992" i="31"/>
  <c r="Q992" i="31"/>
  <c r="R992" i="31"/>
  <c r="S992" i="31" s="1"/>
  <c r="C993" i="31"/>
  <c r="I993" i="31"/>
  <c r="K993" i="31"/>
  <c r="M993" i="31"/>
  <c r="O993" i="31"/>
  <c r="Q993" i="31"/>
  <c r="R993" i="31"/>
  <c r="S993" i="31" s="1"/>
  <c r="C994" i="31"/>
  <c r="I994" i="31"/>
  <c r="K994" i="31"/>
  <c r="M994" i="31"/>
  <c r="O994" i="31"/>
  <c r="Q994" i="31"/>
  <c r="R994" i="31"/>
  <c r="S994" i="31" s="1"/>
  <c r="C995" i="31"/>
  <c r="I995" i="31"/>
  <c r="K995" i="31"/>
  <c r="M995" i="31"/>
  <c r="O995" i="31"/>
  <c r="Q995" i="31"/>
  <c r="R995" i="31"/>
  <c r="S995" i="31" s="1"/>
  <c r="C996" i="31"/>
  <c r="I996" i="31"/>
  <c r="K996" i="31"/>
  <c r="M996" i="31"/>
  <c r="O996" i="31"/>
  <c r="Q996" i="31"/>
  <c r="R996" i="31"/>
  <c r="S996" i="31" s="1"/>
  <c r="C997" i="31"/>
  <c r="I997" i="31"/>
  <c r="K997" i="31"/>
  <c r="M997" i="31"/>
  <c r="O997" i="31"/>
  <c r="Q997" i="31"/>
  <c r="R997" i="31"/>
  <c r="S997" i="31" s="1"/>
  <c r="C998" i="31"/>
  <c r="I998" i="31"/>
  <c r="K998" i="31"/>
  <c r="M998" i="31"/>
  <c r="O998" i="31"/>
  <c r="Q998" i="31"/>
  <c r="R998" i="31"/>
  <c r="S998" i="31" s="1"/>
  <c r="C999" i="31"/>
  <c r="I999" i="31"/>
  <c r="K999" i="31"/>
  <c r="M999" i="31"/>
  <c r="O999" i="31"/>
  <c r="Q999" i="31"/>
  <c r="R999" i="31"/>
  <c r="S999" i="31" s="1"/>
  <c r="C1000" i="31"/>
  <c r="I1000" i="31"/>
  <c r="K1000" i="31"/>
  <c r="M1000" i="31"/>
  <c r="O1000" i="31"/>
  <c r="Q1000" i="31"/>
  <c r="R1000" i="31"/>
  <c r="S1000" i="31" s="1"/>
  <c r="C1001" i="31"/>
  <c r="I1001" i="31"/>
  <c r="K1001" i="31"/>
  <c r="M1001" i="31"/>
  <c r="O1001" i="31"/>
  <c r="Q1001" i="31"/>
  <c r="R1001" i="31"/>
  <c r="S1001" i="31" s="1"/>
  <c r="C1002" i="31"/>
  <c r="I1002" i="31"/>
  <c r="K1002" i="31"/>
  <c r="M1002" i="31"/>
  <c r="O1002" i="31"/>
  <c r="Q1002" i="31"/>
  <c r="R1002" i="31"/>
  <c r="S1002" i="31" s="1"/>
  <c r="C1003" i="31"/>
  <c r="I1003" i="31"/>
  <c r="K1003" i="31"/>
  <c r="M1003" i="31"/>
  <c r="O1003" i="31"/>
  <c r="Q1003" i="31"/>
  <c r="R1003" i="31"/>
  <c r="S1003" i="31" s="1"/>
  <c r="C1004" i="31"/>
  <c r="I1004" i="31"/>
  <c r="K1004" i="31"/>
  <c r="M1004" i="31"/>
  <c r="O1004" i="31"/>
  <c r="Q1004" i="31"/>
  <c r="R1004" i="31"/>
  <c r="S1004" i="31" s="1"/>
  <c r="C1005" i="31"/>
  <c r="I1005" i="31"/>
  <c r="K1005" i="31"/>
  <c r="M1005" i="31"/>
  <c r="O1005" i="31"/>
  <c r="Q1005" i="31"/>
  <c r="R1005" i="31"/>
  <c r="S1005" i="31" s="1"/>
  <c r="C1006" i="31"/>
  <c r="I1006" i="31"/>
  <c r="K1006" i="31"/>
  <c r="M1006" i="31"/>
  <c r="O1006" i="31"/>
  <c r="Q1006" i="31"/>
  <c r="R1006" i="31"/>
  <c r="S1006" i="31" s="1"/>
  <c r="C1007" i="31"/>
  <c r="I1007" i="31"/>
  <c r="K1007" i="31"/>
  <c r="M1007" i="31"/>
  <c r="O1007" i="31"/>
  <c r="Q1007" i="31"/>
  <c r="R1007" i="31"/>
  <c r="S1007" i="31" s="1"/>
  <c r="C1008" i="31"/>
  <c r="I1008" i="31"/>
  <c r="K1008" i="31"/>
  <c r="M1008" i="31"/>
  <c r="O1008" i="31"/>
  <c r="Q1008" i="31"/>
  <c r="R1008" i="31"/>
  <c r="S1008" i="31" s="1"/>
  <c r="C1009" i="31"/>
  <c r="I1009" i="31"/>
  <c r="K1009" i="31"/>
  <c r="M1009" i="31"/>
  <c r="O1009" i="31"/>
  <c r="Q1009" i="31"/>
  <c r="R1009" i="31"/>
  <c r="S1009" i="31" s="1"/>
  <c r="C1010" i="31"/>
  <c r="I1010" i="31"/>
  <c r="K1010" i="31"/>
  <c r="M1010" i="31"/>
  <c r="O1010" i="31"/>
  <c r="Q1010" i="31"/>
  <c r="R1010" i="31"/>
  <c r="S1010" i="31" s="1"/>
  <c r="C1011" i="31"/>
  <c r="I1011" i="31"/>
  <c r="K1011" i="31"/>
  <c r="M1011" i="31"/>
  <c r="O1011" i="31"/>
  <c r="Q1011" i="31"/>
  <c r="R1011" i="31"/>
  <c r="S1011" i="31" s="1"/>
  <c r="C1012" i="31"/>
  <c r="I1012" i="31"/>
  <c r="K1012" i="31"/>
  <c r="M1012" i="31"/>
  <c r="O1012" i="31"/>
  <c r="Q1012" i="31"/>
  <c r="R1012" i="31"/>
  <c r="S1012" i="31" s="1"/>
  <c r="C1013" i="31"/>
  <c r="I1013" i="31"/>
  <c r="K1013" i="31"/>
  <c r="M1013" i="31"/>
  <c r="O1013" i="31"/>
  <c r="Q1013" i="31"/>
  <c r="R1013" i="31"/>
  <c r="S1013" i="31" s="1"/>
  <c r="C1014" i="31"/>
  <c r="I1014" i="31"/>
  <c r="K1014" i="31"/>
  <c r="M1014" i="31"/>
  <c r="O1014" i="31"/>
  <c r="Q1014" i="31"/>
  <c r="R1014" i="31"/>
  <c r="S1014" i="31" s="1"/>
  <c r="C1015" i="31"/>
  <c r="I1015" i="31"/>
  <c r="K1015" i="31"/>
  <c r="M1015" i="31"/>
  <c r="O1015" i="31"/>
  <c r="Q1015" i="31"/>
  <c r="R1015" i="31"/>
  <c r="S1015" i="31" s="1"/>
  <c r="C1016" i="31"/>
  <c r="I1016" i="31"/>
  <c r="K1016" i="31"/>
  <c r="M1016" i="31"/>
  <c r="O1016" i="31"/>
  <c r="Q1016" i="31"/>
  <c r="R1016" i="31"/>
  <c r="S1016" i="31" s="1"/>
  <c r="C1017" i="31"/>
  <c r="I1017" i="31"/>
  <c r="K1017" i="31"/>
  <c r="M1017" i="31"/>
  <c r="O1017" i="31"/>
  <c r="Q1017" i="31"/>
  <c r="R1017" i="31"/>
  <c r="S1017" i="31" s="1"/>
  <c r="C1018" i="31"/>
  <c r="I1018" i="31"/>
  <c r="K1018" i="31"/>
  <c r="M1018" i="31"/>
  <c r="O1018" i="31"/>
  <c r="Q1018" i="31"/>
  <c r="R1018" i="31"/>
  <c r="S1018" i="31" s="1"/>
  <c r="C1019" i="31"/>
  <c r="I1019" i="31"/>
  <c r="K1019" i="31"/>
  <c r="M1019" i="31"/>
  <c r="O1019" i="31"/>
  <c r="Q1019" i="31"/>
  <c r="R1019" i="31"/>
  <c r="S1019" i="31" s="1"/>
  <c r="C1020" i="31"/>
  <c r="I1020" i="31"/>
  <c r="K1020" i="31"/>
  <c r="M1020" i="31"/>
  <c r="O1020" i="31"/>
  <c r="Q1020" i="31"/>
  <c r="R1020" i="31"/>
  <c r="S1020" i="31" s="1"/>
  <c r="C1021" i="31"/>
  <c r="I1021" i="31"/>
  <c r="K1021" i="31"/>
  <c r="M1021" i="31"/>
  <c r="O1021" i="31"/>
  <c r="Q1021" i="31"/>
  <c r="R1021" i="31"/>
  <c r="S1021" i="31" s="1"/>
  <c r="C1022" i="31"/>
  <c r="I1022" i="31"/>
  <c r="K1022" i="31"/>
  <c r="M1022" i="31"/>
  <c r="O1022" i="31"/>
  <c r="Q1022" i="31"/>
  <c r="R1022" i="31"/>
  <c r="S1022" i="31" s="1"/>
  <c r="C1023" i="31"/>
  <c r="I1023" i="31"/>
  <c r="K1023" i="31"/>
  <c r="M1023" i="31"/>
  <c r="O1023" i="31"/>
  <c r="Q1023" i="31"/>
  <c r="R1023" i="31"/>
  <c r="S1023" i="31" s="1"/>
  <c r="C1024" i="31"/>
  <c r="I1024" i="31"/>
  <c r="K1024" i="31"/>
  <c r="M1024" i="31"/>
  <c r="O1024" i="31"/>
  <c r="Q1024" i="31"/>
  <c r="R1024" i="31"/>
  <c r="S1024" i="31" s="1"/>
  <c r="C1025" i="31"/>
  <c r="I1025" i="31"/>
  <c r="K1025" i="31"/>
  <c r="M1025" i="31"/>
  <c r="O1025" i="31"/>
  <c r="Q1025" i="31"/>
  <c r="R1025" i="31"/>
  <c r="S1025" i="31" s="1"/>
  <c r="C1026" i="31"/>
  <c r="I1026" i="31"/>
  <c r="K1026" i="31"/>
  <c r="M1026" i="31"/>
  <c r="O1026" i="31"/>
  <c r="Q1026" i="31"/>
  <c r="R1026" i="31"/>
  <c r="S1026" i="31" s="1"/>
  <c r="C1027" i="31"/>
  <c r="I1027" i="31"/>
  <c r="K1027" i="31"/>
  <c r="M1027" i="31"/>
  <c r="O1027" i="31"/>
  <c r="Q1027" i="31"/>
  <c r="R1027" i="31"/>
  <c r="S1027" i="31" s="1"/>
  <c r="C1028" i="31"/>
  <c r="I1028" i="31"/>
  <c r="K1028" i="31"/>
  <c r="M1028" i="31"/>
  <c r="O1028" i="31"/>
  <c r="Q1028" i="31"/>
  <c r="R1028" i="31"/>
  <c r="S1028" i="31" s="1"/>
  <c r="C1029" i="31"/>
  <c r="I1029" i="31"/>
  <c r="K1029" i="31"/>
  <c r="M1029" i="31"/>
  <c r="O1029" i="31"/>
  <c r="Q1029" i="31"/>
  <c r="R1029" i="31"/>
  <c r="S1029" i="31" s="1"/>
  <c r="C1030" i="31"/>
  <c r="I1030" i="31"/>
  <c r="K1030" i="31"/>
  <c r="M1030" i="31"/>
  <c r="O1030" i="31"/>
  <c r="Q1030" i="31"/>
  <c r="R1030" i="31"/>
  <c r="S1030" i="31" s="1"/>
  <c r="C1031" i="31"/>
  <c r="I1031" i="31"/>
  <c r="K1031" i="31"/>
  <c r="M1031" i="31"/>
  <c r="O1031" i="31"/>
  <c r="Q1031" i="31"/>
  <c r="R1031" i="31"/>
  <c r="S1031" i="31" s="1"/>
  <c r="C1032" i="31"/>
  <c r="I1032" i="31"/>
  <c r="K1032" i="31"/>
  <c r="M1032" i="31"/>
  <c r="O1032" i="31"/>
  <c r="Q1032" i="31"/>
  <c r="R1032" i="31"/>
  <c r="S1032" i="31" s="1"/>
  <c r="C1033" i="31"/>
  <c r="I1033" i="31"/>
  <c r="K1033" i="31"/>
  <c r="M1033" i="31"/>
  <c r="O1033" i="31"/>
  <c r="Q1033" i="31"/>
  <c r="R1033" i="31"/>
  <c r="S1033" i="31" s="1"/>
  <c r="C1034" i="31"/>
  <c r="I1034" i="31"/>
  <c r="K1034" i="31"/>
  <c r="M1034" i="31"/>
  <c r="O1034" i="31"/>
  <c r="Q1034" i="31"/>
  <c r="R1034" i="31"/>
  <c r="S1034" i="31" s="1"/>
  <c r="C1035" i="31"/>
  <c r="I1035" i="31"/>
  <c r="K1035" i="31"/>
  <c r="M1035" i="31"/>
  <c r="O1035" i="31"/>
  <c r="Q1035" i="31"/>
  <c r="R1035" i="31"/>
  <c r="S1035" i="31" s="1"/>
  <c r="C1036" i="31"/>
  <c r="I1036" i="31"/>
  <c r="K1036" i="31"/>
  <c r="M1036" i="31"/>
  <c r="O1036" i="31"/>
  <c r="Q1036" i="31"/>
  <c r="R1036" i="31"/>
  <c r="S1036" i="31" s="1"/>
  <c r="C1037" i="31"/>
  <c r="I1037" i="31"/>
  <c r="K1037" i="31"/>
  <c r="M1037" i="31"/>
  <c r="O1037" i="31"/>
  <c r="Q1037" i="31"/>
  <c r="R1037" i="31"/>
  <c r="S1037" i="31" s="1"/>
  <c r="C1038" i="31"/>
  <c r="I1038" i="31"/>
  <c r="K1038" i="31"/>
  <c r="M1038" i="31"/>
  <c r="O1038" i="31"/>
  <c r="Q1038" i="31"/>
  <c r="R1038" i="31"/>
  <c r="S1038" i="31" s="1"/>
  <c r="C1039" i="31"/>
  <c r="I1039" i="31"/>
  <c r="K1039" i="31"/>
  <c r="M1039" i="31"/>
  <c r="O1039" i="31"/>
  <c r="Q1039" i="31"/>
  <c r="R1039" i="31"/>
  <c r="S1039" i="31" s="1"/>
  <c r="C1040" i="31"/>
  <c r="I1040" i="31"/>
  <c r="K1040" i="31"/>
  <c r="M1040" i="31"/>
  <c r="O1040" i="31"/>
  <c r="Q1040" i="31"/>
  <c r="R1040" i="31"/>
  <c r="S1040" i="31" s="1"/>
  <c r="C1041" i="31"/>
  <c r="I1041" i="31"/>
  <c r="K1041" i="31"/>
  <c r="M1041" i="31"/>
  <c r="O1041" i="31"/>
  <c r="Q1041" i="31"/>
  <c r="R1041" i="31"/>
  <c r="S1041" i="31" s="1"/>
  <c r="C1042" i="31"/>
  <c r="I1042" i="31"/>
  <c r="K1042" i="31"/>
  <c r="M1042" i="31"/>
  <c r="O1042" i="31"/>
  <c r="Q1042" i="31"/>
  <c r="R1042" i="31"/>
  <c r="S1042" i="31" s="1"/>
  <c r="C1043" i="31"/>
  <c r="I1043" i="31"/>
  <c r="K1043" i="31"/>
  <c r="M1043" i="31"/>
  <c r="O1043" i="31"/>
  <c r="Q1043" i="31"/>
  <c r="R1043" i="31"/>
  <c r="S1043" i="31" s="1"/>
  <c r="C1044" i="31"/>
  <c r="I1044" i="31"/>
  <c r="K1044" i="31"/>
  <c r="M1044" i="31"/>
  <c r="O1044" i="31"/>
  <c r="Q1044" i="31"/>
  <c r="R1044" i="31"/>
  <c r="S1044" i="31" s="1"/>
  <c r="C1045" i="31"/>
  <c r="I1045" i="31"/>
  <c r="K1045" i="31"/>
  <c r="M1045" i="31"/>
  <c r="O1045" i="31"/>
  <c r="Q1045" i="31"/>
  <c r="R1045" i="31"/>
  <c r="S1045" i="31" s="1"/>
  <c r="C1046" i="31"/>
  <c r="I1046" i="31"/>
  <c r="K1046" i="31"/>
  <c r="M1046" i="31"/>
  <c r="O1046" i="31"/>
  <c r="Q1046" i="31"/>
  <c r="R1046" i="31"/>
  <c r="S1046" i="31" s="1"/>
  <c r="C1047" i="31"/>
  <c r="I1047" i="31"/>
  <c r="K1047" i="31"/>
  <c r="M1047" i="31"/>
  <c r="O1047" i="31"/>
  <c r="Q1047" i="31"/>
  <c r="R1047" i="31"/>
  <c r="S1047" i="31" s="1"/>
  <c r="C1048" i="31"/>
  <c r="I1048" i="31"/>
  <c r="K1048" i="31"/>
  <c r="M1048" i="31"/>
  <c r="O1048" i="31"/>
  <c r="Q1048" i="31"/>
  <c r="R1048" i="31"/>
  <c r="S1048" i="31" s="1"/>
  <c r="C1049" i="31"/>
  <c r="I1049" i="31"/>
  <c r="K1049" i="31"/>
  <c r="M1049" i="31"/>
  <c r="O1049" i="31"/>
  <c r="Q1049" i="31"/>
  <c r="R1049" i="31"/>
  <c r="S1049" i="31" s="1"/>
  <c r="C1050" i="31"/>
  <c r="I1050" i="31"/>
  <c r="K1050" i="31"/>
  <c r="M1050" i="31"/>
  <c r="O1050" i="31"/>
  <c r="Q1050" i="31"/>
  <c r="R1050" i="31"/>
  <c r="S1050" i="31" s="1"/>
  <c r="C1051" i="31"/>
  <c r="I1051" i="31"/>
  <c r="K1051" i="31"/>
  <c r="M1051" i="31"/>
  <c r="O1051" i="31"/>
  <c r="Q1051" i="31"/>
  <c r="R1051" i="31"/>
  <c r="S1051" i="31" s="1"/>
  <c r="C1052" i="31"/>
  <c r="I1052" i="31"/>
  <c r="K1052" i="31"/>
  <c r="M1052" i="31"/>
  <c r="O1052" i="31"/>
  <c r="Q1052" i="31"/>
  <c r="R1052" i="31"/>
  <c r="S1052" i="31" s="1"/>
  <c r="C1053" i="31"/>
  <c r="I1053" i="31"/>
  <c r="K1053" i="31"/>
  <c r="M1053" i="31"/>
  <c r="O1053" i="31"/>
  <c r="Q1053" i="31"/>
  <c r="R1053" i="31"/>
  <c r="S1053" i="31" s="1"/>
  <c r="C1054" i="31"/>
  <c r="I1054" i="31"/>
  <c r="K1054" i="31"/>
  <c r="M1054" i="31"/>
  <c r="O1054" i="31"/>
  <c r="Q1054" i="31"/>
  <c r="R1054" i="31"/>
  <c r="S1054" i="31" s="1"/>
  <c r="C1055" i="31"/>
  <c r="I1055" i="31"/>
  <c r="K1055" i="31"/>
  <c r="M1055" i="31"/>
  <c r="O1055" i="31"/>
  <c r="Q1055" i="31"/>
  <c r="R1055" i="31"/>
  <c r="S1055" i="31" s="1"/>
  <c r="C1056" i="31"/>
  <c r="I1056" i="31"/>
  <c r="K1056" i="31"/>
  <c r="M1056" i="31"/>
  <c r="O1056" i="31"/>
  <c r="Q1056" i="31"/>
  <c r="R1056" i="31"/>
  <c r="S1056" i="31" s="1"/>
  <c r="C1057" i="31"/>
  <c r="I1057" i="31"/>
  <c r="K1057" i="31"/>
  <c r="M1057" i="31"/>
  <c r="O1057" i="31"/>
  <c r="Q1057" i="31"/>
  <c r="R1057" i="31"/>
  <c r="S1057" i="31" s="1"/>
  <c r="C1058" i="31"/>
  <c r="I1058" i="31"/>
  <c r="K1058" i="31"/>
  <c r="M1058" i="31"/>
  <c r="O1058" i="31"/>
  <c r="Q1058" i="31"/>
  <c r="R1058" i="31"/>
  <c r="S1058" i="31" s="1"/>
  <c r="C1059" i="31"/>
  <c r="I1059" i="31"/>
  <c r="K1059" i="31"/>
  <c r="M1059" i="31"/>
  <c r="O1059" i="31"/>
  <c r="Q1059" i="31"/>
  <c r="R1059" i="31"/>
  <c r="S1059" i="31" s="1"/>
  <c r="C1060" i="31"/>
  <c r="I1060" i="31"/>
  <c r="K1060" i="31"/>
  <c r="M1060" i="31"/>
  <c r="O1060" i="31"/>
  <c r="Q1060" i="31"/>
  <c r="R1060" i="31"/>
  <c r="S1060" i="31" s="1"/>
  <c r="C1061" i="31"/>
  <c r="I1061" i="31"/>
  <c r="K1061" i="31"/>
  <c r="M1061" i="31"/>
  <c r="O1061" i="31"/>
  <c r="Q1061" i="31"/>
  <c r="R1061" i="31"/>
  <c r="S1061" i="31" s="1"/>
  <c r="C1062" i="31"/>
  <c r="I1062" i="31"/>
  <c r="K1062" i="31"/>
  <c r="M1062" i="31"/>
  <c r="O1062" i="31"/>
  <c r="Q1062" i="31"/>
  <c r="R1062" i="31"/>
  <c r="S1062" i="31" s="1"/>
  <c r="C1063" i="31"/>
  <c r="I1063" i="31"/>
  <c r="K1063" i="31"/>
  <c r="M1063" i="31"/>
  <c r="O1063" i="31"/>
  <c r="Q1063" i="31"/>
  <c r="R1063" i="31"/>
  <c r="S1063" i="31" s="1"/>
  <c r="C1064" i="31"/>
  <c r="I1064" i="31"/>
  <c r="K1064" i="31"/>
  <c r="M1064" i="31"/>
  <c r="O1064" i="31"/>
  <c r="Q1064" i="31"/>
  <c r="R1064" i="31"/>
  <c r="S1064" i="31" s="1"/>
  <c r="C1065" i="31"/>
  <c r="I1065" i="31"/>
  <c r="K1065" i="31"/>
  <c r="M1065" i="31"/>
  <c r="O1065" i="31"/>
  <c r="Q1065" i="31"/>
  <c r="R1065" i="31"/>
  <c r="S1065" i="31" s="1"/>
  <c r="C1066" i="31"/>
  <c r="I1066" i="31"/>
  <c r="K1066" i="31"/>
  <c r="M1066" i="31"/>
  <c r="O1066" i="31"/>
  <c r="Q1066" i="31"/>
  <c r="R1066" i="31"/>
  <c r="S1066" i="31" s="1"/>
  <c r="C1067" i="31"/>
  <c r="I1067" i="31"/>
  <c r="K1067" i="31"/>
  <c r="M1067" i="31"/>
  <c r="O1067" i="31"/>
  <c r="Q1067" i="31"/>
  <c r="R1067" i="31"/>
  <c r="S1067" i="31" s="1"/>
  <c r="C1068" i="31"/>
  <c r="I1068" i="31"/>
  <c r="K1068" i="31"/>
  <c r="M1068" i="31"/>
  <c r="O1068" i="31"/>
  <c r="Q1068" i="31"/>
  <c r="R1068" i="31"/>
  <c r="S1068" i="31" s="1"/>
  <c r="C1069" i="31"/>
  <c r="I1069" i="31"/>
  <c r="K1069" i="31"/>
  <c r="M1069" i="31"/>
  <c r="O1069" i="31"/>
  <c r="Q1069" i="31"/>
  <c r="R1069" i="31"/>
  <c r="S1069" i="31" s="1"/>
  <c r="C1070" i="31"/>
  <c r="I1070" i="31"/>
  <c r="K1070" i="31"/>
  <c r="M1070" i="31"/>
  <c r="O1070" i="31"/>
  <c r="Q1070" i="31"/>
  <c r="R1070" i="31"/>
  <c r="S1070" i="31" s="1"/>
  <c r="C1071" i="31"/>
  <c r="I1071" i="31"/>
  <c r="K1071" i="31"/>
  <c r="M1071" i="31"/>
  <c r="O1071" i="31"/>
  <c r="Q1071" i="31"/>
  <c r="R1071" i="31"/>
  <c r="S1071" i="31" s="1"/>
  <c r="C1072" i="31"/>
  <c r="I1072" i="31"/>
  <c r="K1072" i="31"/>
  <c r="M1072" i="31"/>
  <c r="O1072" i="31"/>
  <c r="Q1072" i="31"/>
  <c r="R1072" i="31"/>
  <c r="S1072" i="31" s="1"/>
  <c r="C1073" i="31"/>
  <c r="I1073" i="31"/>
  <c r="K1073" i="31"/>
  <c r="M1073" i="31"/>
  <c r="O1073" i="31"/>
  <c r="Q1073" i="31"/>
  <c r="R1073" i="31"/>
  <c r="S1073" i="31" s="1"/>
  <c r="C1074" i="31"/>
  <c r="I1074" i="31"/>
  <c r="K1074" i="31"/>
  <c r="M1074" i="31"/>
  <c r="O1074" i="31"/>
  <c r="Q1074" i="31"/>
  <c r="R1074" i="31"/>
  <c r="S1074" i="31" s="1"/>
  <c r="C1075" i="31"/>
  <c r="I1075" i="31"/>
  <c r="K1075" i="31"/>
  <c r="M1075" i="31"/>
  <c r="O1075" i="31"/>
  <c r="Q1075" i="31"/>
  <c r="R1075" i="31"/>
  <c r="S1075" i="31" s="1"/>
  <c r="C1076" i="31"/>
  <c r="I1076" i="31"/>
  <c r="K1076" i="31"/>
  <c r="M1076" i="31"/>
  <c r="O1076" i="31"/>
  <c r="Q1076" i="31"/>
  <c r="R1076" i="31"/>
  <c r="S1076" i="31" s="1"/>
  <c r="C1077" i="31"/>
  <c r="I1077" i="31"/>
  <c r="K1077" i="31"/>
  <c r="M1077" i="31"/>
  <c r="O1077" i="31"/>
  <c r="Q1077" i="31"/>
  <c r="R1077" i="31"/>
  <c r="S1077" i="31" s="1"/>
  <c r="C1078" i="31"/>
  <c r="I1078" i="31"/>
  <c r="K1078" i="31"/>
  <c r="M1078" i="31"/>
  <c r="O1078" i="31"/>
  <c r="Q1078" i="31"/>
  <c r="R1078" i="31"/>
  <c r="S1078" i="31" s="1"/>
  <c r="C1079" i="31"/>
  <c r="I1079" i="31"/>
  <c r="K1079" i="31"/>
  <c r="M1079" i="31"/>
  <c r="O1079" i="31"/>
  <c r="Q1079" i="31"/>
  <c r="R1079" i="31"/>
  <c r="S1079" i="31" s="1"/>
  <c r="C1080" i="31"/>
  <c r="I1080" i="31"/>
  <c r="K1080" i="31"/>
  <c r="M1080" i="31"/>
  <c r="O1080" i="31"/>
  <c r="Q1080" i="31"/>
  <c r="R1080" i="31"/>
  <c r="S1080" i="31" s="1"/>
  <c r="C1081" i="31"/>
  <c r="I1081" i="31"/>
  <c r="K1081" i="31"/>
  <c r="M1081" i="31"/>
  <c r="O1081" i="31"/>
  <c r="Q1081" i="31"/>
  <c r="R1081" i="31"/>
  <c r="S1081" i="31" s="1"/>
  <c r="C1082" i="31"/>
  <c r="I1082" i="31"/>
  <c r="K1082" i="31"/>
  <c r="M1082" i="31"/>
  <c r="O1082" i="31"/>
  <c r="Q1082" i="31"/>
  <c r="R1082" i="31"/>
  <c r="S1082" i="31" s="1"/>
  <c r="C1083" i="31"/>
  <c r="I1083" i="31"/>
  <c r="K1083" i="31"/>
  <c r="M1083" i="31"/>
  <c r="O1083" i="31"/>
  <c r="Q1083" i="31"/>
  <c r="R1083" i="31"/>
  <c r="S1083" i="31" s="1"/>
  <c r="C1084" i="31"/>
  <c r="I1084" i="31"/>
  <c r="K1084" i="31"/>
  <c r="M1084" i="31"/>
  <c r="O1084" i="31"/>
  <c r="Q1084" i="31"/>
  <c r="R1084" i="31"/>
  <c r="S1084" i="31" s="1"/>
  <c r="C1085" i="31"/>
  <c r="I1085" i="31"/>
  <c r="K1085" i="31"/>
  <c r="M1085" i="31"/>
  <c r="O1085" i="31"/>
  <c r="Q1085" i="31"/>
  <c r="R1085" i="31"/>
  <c r="S1085" i="31" s="1"/>
  <c r="C1086" i="31"/>
  <c r="I1086" i="31"/>
  <c r="K1086" i="31"/>
  <c r="M1086" i="31"/>
  <c r="O1086" i="31"/>
  <c r="Q1086" i="31"/>
  <c r="R1086" i="31"/>
  <c r="S1086" i="31" s="1"/>
  <c r="C1087" i="31"/>
  <c r="I1087" i="31"/>
  <c r="K1087" i="31"/>
  <c r="M1087" i="31"/>
  <c r="O1087" i="31"/>
  <c r="Q1087" i="31"/>
  <c r="R1087" i="31"/>
  <c r="S1087" i="31" s="1"/>
  <c r="C1088" i="31"/>
  <c r="I1088" i="31"/>
  <c r="K1088" i="31"/>
  <c r="M1088" i="31"/>
  <c r="O1088" i="31"/>
  <c r="Q1088" i="31"/>
  <c r="R1088" i="31"/>
  <c r="S1088" i="31" s="1"/>
  <c r="C1089" i="31"/>
  <c r="I1089" i="31"/>
  <c r="K1089" i="31"/>
  <c r="M1089" i="31"/>
  <c r="O1089" i="31"/>
  <c r="Q1089" i="31"/>
  <c r="R1089" i="31"/>
  <c r="S1089" i="31" s="1"/>
  <c r="C1090" i="31"/>
  <c r="I1090" i="31"/>
  <c r="K1090" i="31"/>
  <c r="M1090" i="31"/>
  <c r="O1090" i="31"/>
  <c r="Q1090" i="31"/>
  <c r="R1090" i="31"/>
  <c r="S1090" i="31" s="1"/>
  <c r="C1091" i="31"/>
  <c r="I1091" i="31"/>
  <c r="K1091" i="31"/>
  <c r="M1091" i="31"/>
  <c r="O1091" i="31"/>
  <c r="Q1091" i="31"/>
  <c r="R1091" i="31"/>
  <c r="S1091" i="31" s="1"/>
  <c r="C1092" i="31"/>
  <c r="I1092" i="31"/>
  <c r="K1092" i="31"/>
  <c r="M1092" i="31"/>
  <c r="O1092" i="31"/>
  <c r="Q1092" i="31"/>
  <c r="R1092" i="31"/>
  <c r="S1092" i="31" s="1"/>
  <c r="C1093" i="31"/>
  <c r="I1093" i="31"/>
  <c r="K1093" i="31"/>
  <c r="M1093" i="31"/>
  <c r="O1093" i="31"/>
  <c r="Q1093" i="31"/>
  <c r="R1093" i="31"/>
  <c r="S1093" i="31" s="1"/>
  <c r="C1094" i="31"/>
  <c r="I1094" i="31"/>
  <c r="K1094" i="31"/>
  <c r="M1094" i="31"/>
  <c r="O1094" i="31"/>
  <c r="Q1094" i="31"/>
  <c r="R1094" i="31"/>
  <c r="S1094" i="31" s="1"/>
  <c r="C1095" i="31"/>
  <c r="I1095" i="31"/>
  <c r="K1095" i="31"/>
  <c r="M1095" i="31"/>
  <c r="O1095" i="31"/>
  <c r="Q1095" i="31"/>
  <c r="R1095" i="31"/>
  <c r="S1095" i="31" s="1"/>
  <c r="C1096" i="31"/>
  <c r="I1096" i="31"/>
  <c r="K1096" i="31"/>
  <c r="M1096" i="31"/>
  <c r="O1096" i="31"/>
  <c r="Q1096" i="31"/>
  <c r="R1096" i="31"/>
  <c r="S1096" i="31" s="1"/>
  <c r="C1097" i="31"/>
  <c r="I1097" i="31"/>
  <c r="K1097" i="31"/>
  <c r="M1097" i="31"/>
  <c r="O1097" i="31"/>
  <c r="Q1097" i="31"/>
  <c r="R1097" i="31"/>
  <c r="S1097" i="31" s="1"/>
  <c r="C1098" i="31"/>
  <c r="I1098" i="31"/>
  <c r="K1098" i="31"/>
  <c r="M1098" i="31"/>
  <c r="O1098" i="31"/>
  <c r="Q1098" i="31"/>
  <c r="R1098" i="31"/>
  <c r="S1098" i="31" s="1"/>
  <c r="C1099" i="31"/>
  <c r="I1099" i="31"/>
  <c r="K1099" i="31"/>
  <c r="M1099" i="31"/>
  <c r="O1099" i="31"/>
  <c r="Q1099" i="31"/>
  <c r="R1099" i="31"/>
  <c r="S1099" i="31" s="1"/>
  <c r="C1100" i="31"/>
  <c r="I1100" i="31"/>
  <c r="K1100" i="31"/>
  <c r="M1100" i="31"/>
  <c r="O1100" i="31"/>
  <c r="Q1100" i="31"/>
  <c r="R1100" i="31"/>
  <c r="S1100" i="31" s="1"/>
  <c r="C1101" i="31"/>
  <c r="I1101" i="31"/>
  <c r="K1101" i="31"/>
  <c r="M1101" i="31"/>
  <c r="O1101" i="31"/>
  <c r="Q1101" i="31"/>
  <c r="R1101" i="31"/>
  <c r="S1101" i="31" s="1"/>
  <c r="C1102" i="31"/>
  <c r="I1102" i="31"/>
  <c r="K1102" i="31"/>
  <c r="M1102" i="31"/>
  <c r="O1102" i="31"/>
  <c r="Q1102" i="31"/>
  <c r="R1102" i="31"/>
  <c r="S1102" i="31" s="1"/>
  <c r="C1103" i="31"/>
  <c r="I1103" i="31"/>
  <c r="K1103" i="31"/>
  <c r="M1103" i="31"/>
  <c r="O1103" i="31"/>
  <c r="Q1103" i="31"/>
  <c r="R1103" i="31"/>
  <c r="S1103" i="31" s="1"/>
  <c r="C1104" i="31"/>
  <c r="I1104" i="31"/>
  <c r="K1104" i="31"/>
  <c r="M1104" i="31"/>
  <c r="O1104" i="31"/>
  <c r="Q1104" i="31"/>
  <c r="R1104" i="31"/>
  <c r="S1104" i="31" s="1"/>
  <c r="C1105" i="31"/>
  <c r="I1105" i="31"/>
  <c r="K1105" i="31"/>
  <c r="M1105" i="31"/>
  <c r="O1105" i="31"/>
  <c r="Q1105" i="31"/>
  <c r="R1105" i="31"/>
  <c r="S1105" i="31" s="1"/>
  <c r="C1106" i="31"/>
  <c r="I1106" i="31"/>
  <c r="K1106" i="31"/>
  <c r="M1106" i="31"/>
  <c r="O1106" i="31"/>
  <c r="Q1106" i="31"/>
  <c r="R1106" i="31"/>
  <c r="S1106" i="31" s="1"/>
  <c r="C1107" i="31"/>
  <c r="I1107" i="31"/>
  <c r="K1107" i="31"/>
  <c r="M1107" i="31"/>
  <c r="O1107" i="31"/>
  <c r="Q1107" i="31"/>
  <c r="R1107" i="31"/>
  <c r="S1107" i="31" s="1"/>
  <c r="C1108" i="31"/>
  <c r="I1108" i="31"/>
  <c r="K1108" i="31"/>
  <c r="M1108" i="31"/>
  <c r="O1108" i="31"/>
  <c r="Q1108" i="31"/>
  <c r="R1108" i="31"/>
  <c r="S1108" i="31" s="1"/>
  <c r="C1109" i="31"/>
  <c r="I1109" i="31"/>
  <c r="K1109" i="31"/>
  <c r="M1109" i="31"/>
  <c r="O1109" i="31"/>
  <c r="Q1109" i="31"/>
  <c r="R1109" i="31"/>
  <c r="S1109" i="31" s="1"/>
  <c r="C1110" i="31"/>
  <c r="I1110" i="31"/>
  <c r="K1110" i="31"/>
  <c r="M1110" i="31"/>
  <c r="O1110" i="31"/>
  <c r="Q1110" i="31"/>
  <c r="R1110" i="31"/>
  <c r="S1110" i="31" s="1"/>
  <c r="C1111" i="31"/>
  <c r="I1111" i="31"/>
  <c r="K1111" i="31"/>
  <c r="M1111" i="31"/>
  <c r="O1111" i="31"/>
  <c r="Q1111" i="31"/>
  <c r="R1111" i="31"/>
  <c r="S1111" i="31" s="1"/>
  <c r="C1112" i="31"/>
  <c r="I1112" i="31"/>
  <c r="K1112" i="31"/>
  <c r="M1112" i="31"/>
  <c r="O1112" i="31"/>
  <c r="Q1112" i="31"/>
  <c r="R1112" i="31"/>
  <c r="S1112" i="31" s="1"/>
  <c r="C1113" i="31"/>
  <c r="I1113" i="31"/>
  <c r="K1113" i="31"/>
  <c r="M1113" i="31"/>
  <c r="O1113" i="31"/>
  <c r="Q1113" i="31"/>
  <c r="R1113" i="31"/>
  <c r="S1113" i="31" s="1"/>
  <c r="C1114" i="31"/>
  <c r="I1114" i="31"/>
  <c r="K1114" i="31"/>
  <c r="M1114" i="31"/>
  <c r="O1114" i="31"/>
  <c r="Q1114" i="31"/>
  <c r="R1114" i="31"/>
  <c r="S1114" i="31" s="1"/>
  <c r="C1115" i="31"/>
  <c r="I1115" i="31"/>
  <c r="K1115" i="31"/>
  <c r="M1115" i="31"/>
  <c r="O1115" i="31"/>
  <c r="Q1115" i="31"/>
  <c r="R1115" i="31"/>
  <c r="S1115" i="31" s="1"/>
  <c r="C1116" i="31"/>
  <c r="I1116" i="31"/>
  <c r="K1116" i="31"/>
  <c r="M1116" i="31"/>
  <c r="O1116" i="31"/>
  <c r="Q1116" i="31"/>
  <c r="R1116" i="31"/>
  <c r="S1116" i="31" s="1"/>
  <c r="C1117" i="31"/>
  <c r="I1117" i="31"/>
  <c r="K1117" i="31"/>
  <c r="M1117" i="31"/>
  <c r="O1117" i="31"/>
  <c r="Q1117" i="31"/>
  <c r="R1117" i="31"/>
  <c r="S1117" i="31" s="1"/>
  <c r="C1118" i="31"/>
  <c r="I1118" i="31"/>
  <c r="K1118" i="31"/>
  <c r="M1118" i="31"/>
  <c r="O1118" i="31"/>
  <c r="Q1118" i="31"/>
  <c r="R1118" i="31"/>
  <c r="S1118" i="31" s="1"/>
  <c r="C1119" i="31"/>
  <c r="I1119" i="31"/>
  <c r="K1119" i="31"/>
  <c r="M1119" i="31"/>
  <c r="O1119" i="31"/>
  <c r="Q1119" i="31"/>
  <c r="R1119" i="31"/>
  <c r="S1119" i="31" s="1"/>
  <c r="C1120" i="31"/>
  <c r="I1120" i="31"/>
  <c r="K1120" i="31"/>
  <c r="M1120" i="31"/>
  <c r="O1120" i="31"/>
  <c r="Q1120" i="31"/>
  <c r="R1120" i="31"/>
  <c r="S1120" i="31" s="1"/>
  <c r="C1121" i="31"/>
  <c r="I1121" i="31"/>
  <c r="K1121" i="31"/>
  <c r="M1121" i="31"/>
  <c r="O1121" i="31"/>
  <c r="Q1121" i="31"/>
  <c r="R1121" i="31"/>
  <c r="S1121" i="31" s="1"/>
  <c r="C1122" i="31"/>
  <c r="I1122" i="31"/>
  <c r="K1122" i="31"/>
  <c r="M1122" i="31"/>
  <c r="O1122" i="31"/>
  <c r="Q1122" i="31"/>
  <c r="R1122" i="31"/>
  <c r="S1122" i="31" s="1"/>
  <c r="C1123" i="31"/>
  <c r="I1123" i="31"/>
  <c r="K1123" i="31"/>
  <c r="M1123" i="31"/>
  <c r="O1123" i="31"/>
  <c r="Q1123" i="31"/>
  <c r="R1123" i="31"/>
  <c r="S1123" i="31" s="1"/>
  <c r="C1124" i="31"/>
  <c r="I1124" i="31"/>
  <c r="K1124" i="31"/>
  <c r="M1124" i="31"/>
  <c r="O1124" i="31"/>
  <c r="Q1124" i="31"/>
  <c r="R1124" i="31"/>
  <c r="S1124" i="31" s="1"/>
  <c r="C1125" i="31"/>
  <c r="I1125" i="31"/>
  <c r="K1125" i="31"/>
  <c r="M1125" i="31"/>
  <c r="O1125" i="31"/>
  <c r="Q1125" i="31"/>
  <c r="R1125" i="31"/>
  <c r="S1125" i="31" s="1"/>
  <c r="C1126" i="31"/>
  <c r="I1126" i="31"/>
  <c r="K1126" i="31"/>
  <c r="M1126" i="31"/>
  <c r="O1126" i="31"/>
  <c r="Q1126" i="31"/>
  <c r="R1126" i="31"/>
  <c r="S1126" i="31" s="1"/>
  <c r="C1127" i="31"/>
  <c r="I1127" i="31"/>
  <c r="K1127" i="31"/>
  <c r="M1127" i="31"/>
  <c r="O1127" i="31"/>
  <c r="Q1127" i="31"/>
  <c r="R1127" i="31"/>
  <c r="S1127" i="31" s="1"/>
  <c r="C1128" i="31"/>
  <c r="I1128" i="31"/>
  <c r="K1128" i="31"/>
  <c r="M1128" i="31"/>
  <c r="O1128" i="31"/>
  <c r="Q1128" i="31"/>
  <c r="R1128" i="31"/>
  <c r="S1128" i="31" s="1"/>
  <c r="C1129" i="31"/>
  <c r="I1129" i="31"/>
  <c r="K1129" i="31"/>
  <c r="M1129" i="31"/>
  <c r="O1129" i="31"/>
  <c r="Q1129" i="31"/>
  <c r="R1129" i="31"/>
  <c r="S1129" i="31" s="1"/>
  <c r="C1130" i="31"/>
  <c r="I1130" i="31"/>
  <c r="K1130" i="31"/>
  <c r="M1130" i="31"/>
  <c r="O1130" i="31"/>
  <c r="Q1130" i="31"/>
  <c r="R1130" i="31"/>
  <c r="S1130" i="31" s="1"/>
  <c r="C1131" i="31"/>
  <c r="I1131" i="31"/>
  <c r="K1131" i="31"/>
  <c r="M1131" i="31"/>
  <c r="O1131" i="31"/>
  <c r="Q1131" i="31"/>
  <c r="R1131" i="31"/>
  <c r="S1131" i="31" s="1"/>
  <c r="C1132" i="31"/>
  <c r="I1132" i="31"/>
  <c r="K1132" i="31"/>
  <c r="M1132" i="31"/>
  <c r="O1132" i="31"/>
  <c r="Q1132" i="31"/>
  <c r="R1132" i="31"/>
  <c r="S1132" i="31" s="1"/>
  <c r="C1133" i="31"/>
  <c r="I1133" i="31"/>
  <c r="K1133" i="31"/>
  <c r="M1133" i="31"/>
  <c r="O1133" i="31"/>
  <c r="Q1133" i="31"/>
  <c r="R1133" i="31"/>
  <c r="S1133" i="31" s="1"/>
  <c r="C1134" i="31"/>
  <c r="I1134" i="31"/>
  <c r="K1134" i="31"/>
  <c r="M1134" i="31"/>
  <c r="O1134" i="31"/>
  <c r="Q1134" i="31"/>
  <c r="R1134" i="31"/>
  <c r="S1134" i="31" s="1"/>
  <c r="C1135" i="31"/>
  <c r="I1135" i="31"/>
  <c r="K1135" i="31"/>
  <c r="M1135" i="31"/>
  <c r="O1135" i="31"/>
  <c r="Q1135" i="31"/>
  <c r="R1135" i="31"/>
  <c r="S1135" i="31" s="1"/>
  <c r="C1136" i="31"/>
  <c r="I1136" i="31"/>
  <c r="K1136" i="31"/>
  <c r="M1136" i="31"/>
  <c r="O1136" i="31"/>
  <c r="Q1136" i="31"/>
  <c r="R1136" i="31"/>
  <c r="S1136" i="31" s="1"/>
  <c r="C1137" i="31"/>
  <c r="I1137" i="31"/>
  <c r="K1137" i="31"/>
  <c r="M1137" i="31"/>
  <c r="O1137" i="31"/>
  <c r="Q1137" i="31"/>
  <c r="R1137" i="31"/>
  <c r="S1137" i="31" s="1"/>
  <c r="C1138" i="31"/>
  <c r="I1138" i="31"/>
  <c r="K1138" i="31"/>
  <c r="M1138" i="31"/>
  <c r="O1138" i="31"/>
  <c r="Q1138" i="31"/>
  <c r="R1138" i="31"/>
  <c r="S1138" i="31" s="1"/>
  <c r="C1139" i="31"/>
  <c r="I1139" i="31"/>
  <c r="K1139" i="31"/>
  <c r="M1139" i="31"/>
  <c r="O1139" i="31"/>
  <c r="Q1139" i="31"/>
  <c r="R1139" i="31"/>
  <c r="S1139" i="31" s="1"/>
  <c r="C1140" i="31"/>
  <c r="I1140" i="31"/>
  <c r="K1140" i="31"/>
  <c r="M1140" i="31"/>
  <c r="O1140" i="31"/>
  <c r="Q1140" i="31"/>
  <c r="R1140" i="31"/>
  <c r="S1140" i="31" s="1"/>
  <c r="C1141" i="31"/>
  <c r="I1141" i="31"/>
  <c r="K1141" i="31"/>
  <c r="M1141" i="31"/>
  <c r="O1141" i="31"/>
  <c r="Q1141" i="31"/>
  <c r="R1141" i="31"/>
  <c r="S1141" i="31" s="1"/>
  <c r="C1142" i="31"/>
  <c r="I1142" i="31"/>
  <c r="K1142" i="31"/>
  <c r="M1142" i="31"/>
  <c r="O1142" i="31"/>
  <c r="Q1142" i="31"/>
  <c r="R1142" i="31"/>
  <c r="S1142" i="31" s="1"/>
  <c r="C1143" i="31"/>
  <c r="I1143" i="31"/>
  <c r="K1143" i="31"/>
  <c r="M1143" i="31"/>
  <c r="O1143" i="31"/>
  <c r="Q1143" i="31"/>
  <c r="R1143" i="31"/>
  <c r="S1143" i="31" s="1"/>
  <c r="C1144" i="31"/>
  <c r="I1144" i="31"/>
  <c r="K1144" i="31"/>
  <c r="M1144" i="31"/>
  <c r="O1144" i="31"/>
  <c r="Q1144" i="31"/>
  <c r="R1144" i="31"/>
  <c r="S1144" i="31" s="1"/>
  <c r="C1145" i="31"/>
  <c r="I1145" i="31"/>
  <c r="K1145" i="31"/>
  <c r="M1145" i="31"/>
  <c r="O1145" i="31"/>
  <c r="Q1145" i="31"/>
  <c r="R1145" i="31"/>
  <c r="S1145" i="31" s="1"/>
  <c r="C1146" i="31"/>
  <c r="I1146" i="31"/>
  <c r="K1146" i="31"/>
  <c r="M1146" i="31"/>
  <c r="O1146" i="31"/>
  <c r="Q1146" i="31"/>
  <c r="R1146" i="31"/>
  <c r="S1146" i="31" s="1"/>
  <c r="C1147" i="31"/>
  <c r="I1147" i="31"/>
  <c r="K1147" i="31"/>
  <c r="M1147" i="31"/>
  <c r="O1147" i="31"/>
  <c r="Q1147" i="31"/>
  <c r="R1147" i="31"/>
  <c r="S1147" i="31" s="1"/>
  <c r="C1148" i="31"/>
  <c r="I1148" i="31"/>
  <c r="K1148" i="31"/>
  <c r="M1148" i="31"/>
  <c r="O1148" i="31"/>
  <c r="Q1148" i="31"/>
  <c r="R1148" i="31"/>
  <c r="S1148" i="31" s="1"/>
  <c r="C1149" i="31"/>
  <c r="I1149" i="31"/>
  <c r="K1149" i="31"/>
  <c r="M1149" i="31"/>
  <c r="O1149" i="31"/>
  <c r="Q1149" i="31"/>
  <c r="R1149" i="31"/>
  <c r="S1149" i="31" s="1"/>
  <c r="C1150" i="31"/>
  <c r="I1150" i="31"/>
  <c r="K1150" i="31"/>
  <c r="M1150" i="31"/>
  <c r="O1150" i="31"/>
  <c r="Q1150" i="31"/>
  <c r="R1150" i="31"/>
  <c r="S1150" i="31" s="1"/>
  <c r="C1151" i="31"/>
  <c r="I1151" i="31"/>
  <c r="K1151" i="31"/>
  <c r="M1151" i="31"/>
  <c r="O1151" i="31"/>
  <c r="Q1151" i="31"/>
  <c r="R1151" i="31"/>
  <c r="S1151" i="31" s="1"/>
  <c r="C1152" i="31"/>
  <c r="I1152" i="31"/>
  <c r="K1152" i="31"/>
  <c r="M1152" i="31"/>
  <c r="O1152" i="31"/>
  <c r="Q1152" i="31"/>
  <c r="R1152" i="31"/>
  <c r="S1152" i="31" s="1"/>
  <c r="C1153" i="31"/>
  <c r="I1153" i="31"/>
  <c r="K1153" i="31"/>
  <c r="M1153" i="31"/>
  <c r="O1153" i="31"/>
  <c r="Q1153" i="31"/>
  <c r="R1153" i="31"/>
  <c r="S1153" i="31" s="1"/>
  <c r="C1154" i="31"/>
  <c r="I1154" i="31"/>
  <c r="K1154" i="31"/>
  <c r="M1154" i="31"/>
  <c r="O1154" i="31"/>
  <c r="Q1154" i="31"/>
  <c r="R1154" i="31"/>
  <c r="S1154" i="31" s="1"/>
  <c r="C1155" i="31"/>
  <c r="I1155" i="31"/>
  <c r="K1155" i="31"/>
  <c r="M1155" i="31"/>
  <c r="O1155" i="31"/>
  <c r="Q1155" i="31"/>
  <c r="R1155" i="31"/>
  <c r="S1155" i="31" s="1"/>
  <c r="C1156" i="31"/>
  <c r="I1156" i="31"/>
  <c r="K1156" i="31"/>
  <c r="M1156" i="31"/>
  <c r="O1156" i="31"/>
  <c r="Q1156" i="31"/>
  <c r="R1156" i="31"/>
  <c r="S1156" i="31" s="1"/>
  <c r="C1157" i="31"/>
  <c r="I1157" i="31"/>
  <c r="K1157" i="31"/>
  <c r="M1157" i="31"/>
  <c r="O1157" i="31"/>
  <c r="Q1157" i="31"/>
  <c r="R1157" i="31"/>
  <c r="S1157" i="31" s="1"/>
  <c r="C1158" i="31"/>
  <c r="I1158" i="31"/>
  <c r="K1158" i="31"/>
  <c r="M1158" i="31"/>
  <c r="O1158" i="31"/>
  <c r="Q1158" i="31"/>
  <c r="R1158" i="31"/>
  <c r="S1158" i="31" s="1"/>
  <c r="C1159" i="31"/>
  <c r="I1159" i="31"/>
  <c r="K1159" i="31"/>
  <c r="M1159" i="31"/>
  <c r="O1159" i="31"/>
  <c r="Q1159" i="31"/>
  <c r="R1159" i="31"/>
  <c r="S1159" i="31" s="1"/>
  <c r="C1160" i="31"/>
  <c r="I1160" i="31"/>
  <c r="K1160" i="31"/>
  <c r="M1160" i="31"/>
  <c r="O1160" i="31"/>
  <c r="Q1160" i="31"/>
  <c r="R1160" i="31"/>
  <c r="S1160" i="31" s="1"/>
  <c r="C1161" i="31"/>
  <c r="I1161" i="31"/>
  <c r="K1161" i="31"/>
  <c r="M1161" i="31"/>
  <c r="O1161" i="31"/>
  <c r="Q1161" i="31"/>
  <c r="R1161" i="31"/>
  <c r="S1161" i="31" s="1"/>
  <c r="C1162" i="31"/>
  <c r="I1162" i="31"/>
  <c r="K1162" i="31"/>
  <c r="M1162" i="31"/>
  <c r="O1162" i="31"/>
  <c r="Q1162" i="31"/>
  <c r="R1162" i="31"/>
  <c r="S1162" i="31" s="1"/>
  <c r="C1163" i="31"/>
  <c r="I1163" i="31"/>
  <c r="K1163" i="31"/>
  <c r="M1163" i="31"/>
  <c r="O1163" i="31"/>
  <c r="Q1163" i="31"/>
  <c r="R1163" i="31"/>
  <c r="S1163" i="31" s="1"/>
  <c r="C1164" i="31"/>
  <c r="I1164" i="31"/>
  <c r="K1164" i="31"/>
  <c r="M1164" i="31"/>
  <c r="O1164" i="31"/>
  <c r="Q1164" i="31"/>
  <c r="R1164" i="31"/>
  <c r="S1164" i="31" s="1"/>
  <c r="C1165" i="31"/>
  <c r="I1165" i="31"/>
  <c r="K1165" i="31"/>
  <c r="M1165" i="31"/>
  <c r="O1165" i="31"/>
  <c r="Q1165" i="31"/>
  <c r="R1165" i="31"/>
  <c r="S1165" i="31" s="1"/>
  <c r="C1166" i="31"/>
  <c r="I1166" i="31"/>
  <c r="K1166" i="31"/>
  <c r="M1166" i="31"/>
  <c r="O1166" i="31"/>
  <c r="Q1166" i="31"/>
  <c r="R1166" i="31"/>
  <c r="S1166" i="31" s="1"/>
  <c r="C1167" i="31"/>
  <c r="I1167" i="31"/>
  <c r="K1167" i="31"/>
  <c r="M1167" i="31"/>
  <c r="O1167" i="31"/>
  <c r="Q1167" i="31"/>
  <c r="R1167" i="31"/>
  <c r="S1167" i="31" s="1"/>
  <c r="C1168" i="31"/>
  <c r="I1168" i="31"/>
  <c r="K1168" i="31"/>
  <c r="M1168" i="31"/>
  <c r="O1168" i="31"/>
  <c r="Q1168" i="31"/>
  <c r="R1168" i="31"/>
  <c r="S1168" i="31" s="1"/>
  <c r="C1169" i="31"/>
  <c r="I1169" i="31"/>
  <c r="K1169" i="31"/>
  <c r="M1169" i="31"/>
  <c r="O1169" i="31"/>
  <c r="Q1169" i="31"/>
  <c r="R1169" i="31"/>
  <c r="S1169" i="31" s="1"/>
  <c r="C1170" i="31"/>
  <c r="I1170" i="31"/>
  <c r="K1170" i="31"/>
  <c r="M1170" i="31"/>
  <c r="O1170" i="31"/>
  <c r="Q1170" i="31"/>
  <c r="R1170" i="31"/>
  <c r="S1170" i="31" s="1"/>
  <c r="C1171" i="31"/>
  <c r="I1171" i="31"/>
  <c r="K1171" i="31"/>
  <c r="M1171" i="31"/>
  <c r="O1171" i="31"/>
  <c r="Q1171" i="31"/>
  <c r="R1171" i="31"/>
  <c r="S1171" i="31" s="1"/>
  <c r="C1172" i="31"/>
  <c r="I1172" i="31"/>
  <c r="K1172" i="31"/>
  <c r="M1172" i="31"/>
  <c r="O1172" i="31"/>
  <c r="Q1172" i="31"/>
  <c r="R1172" i="31"/>
  <c r="S1172" i="31" s="1"/>
  <c r="C1173" i="31"/>
  <c r="I1173" i="31"/>
  <c r="K1173" i="31"/>
  <c r="M1173" i="31"/>
  <c r="O1173" i="31"/>
  <c r="Q1173" i="31"/>
  <c r="R1173" i="31"/>
  <c r="S1173" i="31" s="1"/>
  <c r="C1174" i="31"/>
  <c r="I1174" i="31"/>
  <c r="K1174" i="31"/>
  <c r="M1174" i="31"/>
  <c r="O1174" i="31"/>
  <c r="Q1174" i="31"/>
  <c r="R1174" i="31"/>
  <c r="S1174" i="31" s="1"/>
  <c r="C1175" i="31"/>
  <c r="I1175" i="31"/>
  <c r="K1175" i="31"/>
  <c r="M1175" i="31"/>
  <c r="O1175" i="31"/>
  <c r="Q1175" i="31"/>
  <c r="R1175" i="31"/>
  <c r="S1175" i="31" s="1"/>
  <c r="C1176" i="31"/>
  <c r="I1176" i="31"/>
  <c r="K1176" i="31"/>
  <c r="M1176" i="31"/>
  <c r="O1176" i="31"/>
  <c r="Q1176" i="31"/>
  <c r="R1176" i="31"/>
  <c r="S1176" i="31" s="1"/>
  <c r="C1177" i="31"/>
  <c r="I1177" i="31"/>
  <c r="K1177" i="31"/>
  <c r="M1177" i="31"/>
  <c r="O1177" i="31"/>
  <c r="Q1177" i="31"/>
  <c r="R1177" i="31"/>
  <c r="S1177" i="31" s="1"/>
  <c r="C1178" i="31"/>
  <c r="I1178" i="31"/>
  <c r="K1178" i="31"/>
  <c r="M1178" i="31"/>
  <c r="O1178" i="31"/>
  <c r="Q1178" i="31"/>
  <c r="R1178" i="31"/>
  <c r="S1178" i="31" s="1"/>
  <c r="C1179" i="31"/>
  <c r="I1179" i="31"/>
  <c r="K1179" i="31"/>
  <c r="M1179" i="31"/>
  <c r="O1179" i="31"/>
  <c r="Q1179" i="31"/>
  <c r="R1179" i="31"/>
  <c r="S1179" i="31" s="1"/>
  <c r="C1180" i="31"/>
  <c r="I1180" i="31"/>
  <c r="K1180" i="31"/>
  <c r="M1180" i="31"/>
  <c r="O1180" i="31"/>
  <c r="Q1180" i="31"/>
  <c r="R1180" i="31"/>
  <c r="S1180" i="31" s="1"/>
  <c r="C1181" i="31"/>
  <c r="I1181" i="31"/>
  <c r="K1181" i="31"/>
  <c r="M1181" i="31"/>
  <c r="O1181" i="31"/>
  <c r="Q1181" i="31"/>
  <c r="R1181" i="31"/>
  <c r="S1181" i="31" s="1"/>
  <c r="C1182" i="31"/>
  <c r="I1182" i="31"/>
  <c r="K1182" i="31"/>
  <c r="M1182" i="31"/>
  <c r="O1182" i="31"/>
  <c r="Q1182" i="31"/>
  <c r="R1182" i="31"/>
  <c r="S1182" i="31" s="1"/>
  <c r="C1183" i="31"/>
  <c r="I1183" i="31"/>
  <c r="K1183" i="31"/>
  <c r="M1183" i="31"/>
  <c r="O1183" i="31"/>
  <c r="Q1183" i="31"/>
  <c r="R1183" i="31"/>
  <c r="S1183" i="31" s="1"/>
  <c r="C1184" i="31"/>
  <c r="I1184" i="31"/>
  <c r="K1184" i="31"/>
  <c r="M1184" i="31"/>
  <c r="O1184" i="31"/>
  <c r="Q1184" i="31"/>
  <c r="R1184" i="31"/>
  <c r="S1184" i="31" s="1"/>
  <c r="C1185" i="31"/>
  <c r="I1185" i="31"/>
  <c r="K1185" i="31"/>
  <c r="M1185" i="31"/>
  <c r="O1185" i="31"/>
  <c r="Q1185" i="31"/>
  <c r="R1185" i="31"/>
  <c r="S1185" i="31" s="1"/>
  <c r="C1186" i="31"/>
  <c r="I1186" i="31"/>
  <c r="K1186" i="31"/>
  <c r="M1186" i="31"/>
  <c r="O1186" i="31"/>
  <c r="Q1186" i="31"/>
  <c r="R1186" i="31"/>
  <c r="S1186" i="31" s="1"/>
  <c r="C1187" i="31"/>
  <c r="I1187" i="31"/>
  <c r="K1187" i="31"/>
  <c r="M1187" i="31"/>
  <c r="O1187" i="31"/>
  <c r="Q1187" i="31"/>
  <c r="R1187" i="31"/>
  <c r="S1187" i="31" s="1"/>
  <c r="C1188" i="31"/>
  <c r="I1188" i="31"/>
  <c r="K1188" i="31"/>
  <c r="M1188" i="31"/>
  <c r="O1188" i="31"/>
  <c r="Q1188" i="31"/>
  <c r="R1188" i="31"/>
  <c r="S1188" i="31" s="1"/>
  <c r="C1189" i="31"/>
  <c r="I1189" i="31"/>
  <c r="K1189" i="31"/>
  <c r="M1189" i="31"/>
  <c r="O1189" i="31"/>
  <c r="Q1189" i="31"/>
  <c r="R1189" i="31"/>
  <c r="S1189" i="31" s="1"/>
  <c r="C1190" i="31"/>
  <c r="I1190" i="31"/>
  <c r="K1190" i="31"/>
  <c r="M1190" i="31"/>
  <c r="O1190" i="31"/>
  <c r="Q1190" i="31"/>
  <c r="R1190" i="31"/>
  <c r="S1190" i="31" s="1"/>
  <c r="C1191" i="31"/>
  <c r="I1191" i="31"/>
  <c r="K1191" i="31"/>
  <c r="M1191" i="31"/>
  <c r="O1191" i="31"/>
  <c r="Q1191" i="31"/>
  <c r="R1191" i="31"/>
  <c r="S1191" i="31" s="1"/>
  <c r="C1192" i="31"/>
  <c r="I1192" i="31"/>
  <c r="K1192" i="31"/>
  <c r="M1192" i="31"/>
  <c r="O1192" i="31"/>
  <c r="Q1192" i="31"/>
  <c r="R1192" i="31"/>
  <c r="S1192" i="31" s="1"/>
  <c r="C1193" i="31"/>
  <c r="I1193" i="31"/>
  <c r="K1193" i="31"/>
  <c r="M1193" i="31"/>
  <c r="O1193" i="31"/>
  <c r="Q1193" i="31"/>
  <c r="R1193" i="31"/>
  <c r="S1193" i="31" s="1"/>
  <c r="C1194" i="31"/>
  <c r="I1194" i="31"/>
  <c r="K1194" i="31"/>
  <c r="M1194" i="31"/>
  <c r="O1194" i="31"/>
  <c r="Q1194" i="31"/>
  <c r="R1194" i="31"/>
  <c r="S1194" i="31" s="1"/>
  <c r="C1195" i="31"/>
  <c r="I1195" i="31"/>
  <c r="K1195" i="31"/>
  <c r="M1195" i="31"/>
  <c r="O1195" i="31"/>
  <c r="Q1195" i="31"/>
  <c r="R1195" i="31"/>
  <c r="S1195" i="31" s="1"/>
  <c r="C1196" i="31"/>
  <c r="I1196" i="31"/>
  <c r="K1196" i="31"/>
  <c r="M1196" i="31"/>
  <c r="O1196" i="31"/>
  <c r="Q1196" i="31"/>
  <c r="R1196" i="31"/>
  <c r="S1196" i="31" s="1"/>
  <c r="C1197" i="31"/>
  <c r="I1197" i="31"/>
  <c r="K1197" i="31"/>
  <c r="M1197" i="31"/>
  <c r="O1197" i="31"/>
  <c r="Q1197" i="31"/>
  <c r="R1197" i="31"/>
  <c r="S1197" i="31" s="1"/>
  <c r="C1198" i="31"/>
  <c r="I1198" i="31"/>
  <c r="K1198" i="31"/>
  <c r="M1198" i="31"/>
  <c r="O1198" i="31"/>
  <c r="Q1198" i="31"/>
  <c r="R1198" i="31"/>
  <c r="S1198" i="31" s="1"/>
  <c r="C1199" i="31"/>
  <c r="I1199" i="31"/>
  <c r="K1199" i="31"/>
  <c r="M1199" i="31"/>
  <c r="O1199" i="31"/>
  <c r="Q1199" i="31"/>
  <c r="R1199" i="31"/>
  <c r="S1199" i="31" s="1"/>
  <c r="C1200" i="31"/>
  <c r="I1200" i="31"/>
  <c r="K1200" i="31"/>
  <c r="M1200" i="31"/>
  <c r="O1200" i="31"/>
  <c r="Q1200" i="31"/>
  <c r="R1200" i="31"/>
  <c r="S1200" i="31" s="1"/>
  <c r="C1201" i="31"/>
  <c r="I1201" i="31"/>
  <c r="K1201" i="31"/>
  <c r="M1201" i="31"/>
  <c r="O1201" i="31"/>
  <c r="Q1201" i="31"/>
  <c r="R1201" i="31"/>
  <c r="S1201" i="31" s="1"/>
  <c r="C1202" i="31"/>
  <c r="I1202" i="31"/>
  <c r="K1202" i="31"/>
  <c r="M1202" i="31"/>
  <c r="O1202" i="31"/>
  <c r="Q1202" i="31"/>
  <c r="R1202" i="31"/>
  <c r="S1202" i="31" s="1"/>
  <c r="C1203" i="31"/>
  <c r="I1203" i="31"/>
  <c r="K1203" i="31"/>
  <c r="M1203" i="31"/>
  <c r="O1203" i="31"/>
  <c r="Q1203" i="31"/>
  <c r="R1203" i="31"/>
  <c r="S1203" i="31" s="1"/>
  <c r="C1204" i="31"/>
  <c r="I1204" i="31"/>
  <c r="K1204" i="31"/>
  <c r="M1204" i="31"/>
  <c r="O1204" i="31"/>
  <c r="Q1204" i="31"/>
  <c r="R1204" i="31"/>
  <c r="S1204" i="31" s="1"/>
  <c r="C1205" i="31"/>
  <c r="I1205" i="31"/>
  <c r="K1205" i="31"/>
  <c r="M1205" i="31"/>
  <c r="O1205" i="31"/>
  <c r="Q1205" i="31"/>
  <c r="R1205" i="31"/>
  <c r="S1205" i="31" s="1"/>
  <c r="C1206" i="31"/>
  <c r="I1206" i="31"/>
  <c r="K1206" i="31"/>
  <c r="M1206" i="31"/>
  <c r="O1206" i="31"/>
  <c r="Q1206" i="31"/>
  <c r="R1206" i="31"/>
  <c r="S1206" i="31" s="1"/>
  <c r="C1207" i="31"/>
  <c r="I1207" i="31"/>
  <c r="K1207" i="31"/>
  <c r="M1207" i="31"/>
  <c r="O1207" i="31"/>
  <c r="Q1207" i="31"/>
  <c r="R1207" i="31"/>
  <c r="S1207" i="31" s="1"/>
  <c r="C1208" i="31"/>
  <c r="I1208" i="31"/>
  <c r="K1208" i="31"/>
  <c r="M1208" i="31"/>
  <c r="O1208" i="31"/>
  <c r="Q1208" i="31"/>
  <c r="R1208" i="31"/>
  <c r="S1208" i="31" s="1"/>
  <c r="C1209" i="31"/>
  <c r="I1209" i="31"/>
  <c r="K1209" i="31"/>
  <c r="M1209" i="31"/>
  <c r="O1209" i="31"/>
  <c r="Q1209" i="31"/>
  <c r="R1209" i="31"/>
  <c r="S1209" i="31" s="1"/>
  <c r="C1210" i="31"/>
  <c r="I1210" i="31"/>
  <c r="K1210" i="31"/>
  <c r="M1210" i="31"/>
  <c r="O1210" i="31"/>
  <c r="Q1210" i="31"/>
  <c r="R1210" i="31"/>
  <c r="S1210" i="31" s="1"/>
  <c r="C1211" i="31"/>
  <c r="I1211" i="31"/>
  <c r="K1211" i="31"/>
  <c r="M1211" i="31"/>
  <c r="O1211" i="31"/>
  <c r="Q1211" i="31"/>
  <c r="R1211" i="31"/>
  <c r="S1211" i="31" s="1"/>
  <c r="C1212" i="31"/>
  <c r="I1212" i="31"/>
  <c r="K1212" i="31"/>
  <c r="M1212" i="31"/>
  <c r="O1212" i="31"/>
  <c r="Q1212" i="31"/>
  <c r="R1212" i="31"/>
  <c r="S1212" i="31" s="1"/>
  <c r="C1213" i="31"/>
  <c r="I1213" i="31"/>
  <c r="K1213" i="31"/>
  <c r="M1213" i="31"/>
  <c r="O1213" i="31"/>
  <c r="Q1213" i="31"/>
  <c r="R1213" i="31"/>
  <c r="S1213" i="31" s="1"/>
  <c r="C1214" i="31"/>
  <c r="I1214" i="31"/>
  <c r="K1214" i="31"/>
  <c r="M1214" i="31"/>
  <c r="O1214" i="31"/>
  <c r="Q1214" i="31"/>
  <c r="R1214" i="31"/>
  <c r="S1214" i="31" s="1"/>
  <c r="C1215" i="31"/>
  <c r="I1215" i="31"/>
  <c r="K1215" i="31"/>
  <c r="M1215" i="31"/>
  <c r="O1215" i="31"/>
  <c r="Q1215" i="31"/>
  <c r="R1215" i="31"/>
  <c r="S1215" i="31" s="1"/>
  <c r="C1216" i="31"/>
  <c r="I1216" i="31"/>
  <c r="K1216" i="31"/>
  <c r="M1216" i="31"/>
  <c r="O1216" i="31"/>
  <c r="Q1216" i="31"/>
  <c r="R1216" i="31"/>
  <c r="S1216" i="31" s="1"/>
  <c r="C1217" i="31"/>
  <c r="I1217" i="31"/>
  <c r="K1217" i="31"/>
  <c r="M1217" i="31"/>
  <c r="O1217" i="31"/>
  <c r="Q1217" i="31"/>
  <c r="R1217" i="31"/>
  <c r="S1217" i="31" s="1"/>
  <c r="C1218" i="31"/>
  <c r="I1218" i="31"/>
  <c r="K1218" i="31"/>
  <c r="M1218" i="31"/>
  <c r="O1218" i="31"/>
  <c r="Q1218" i="31"/>
  <c r="R1218" i="31"/>
  <c r="S1218" i="31" s="1"/>
  <c r="C1219" i="31"/>
  <c r="I1219" i="31"/>
  <c r="K1219" i="31"/>
  <c r="M1219" i="31"/>
  <c r="O1219" i="31"/>
  <c r="Q1219" i="31"/>
  <c r="R1219" i="31"/>
  <c r="S1219" i="31" s="1"/>
  <c r="C1220" i="31"/>
  <c r="I1220" i="31"/>
  <c r="K1220" i="31"/>
  <c r="M1220" i="31"/>
  <c r="O1220" i="31"/>
  <c r="Q1220" i="31"/>
  <c r="R1220" i="31"/>
  <c r="S1220" i="31" s="1"/>
  <c r="C1221" i="31"/>
  <c r="I1221" i="31"/>
  <c r="K1221" i="31"/>
  <c r="M1221" i="31"/>
  <c r="O1221" i="31"/>
  <c r="Q1221" i="31"/>
  <c r="R1221" i="31"/>
  <c r="S1221" i="31" s="1"/>
  <c r="C1222" i="31"/>
  <c r="I1222" i="31"/>
  <c r="K1222" i="31"/>
  <c r="M1222" i="31"/>
  <c r="O1222" i="31"/>
  <c r="Q1222" i="31"/>
  <c r="R1222" i="31"/>
  <c r="S1222" i="31" s="1"/>
  <c r="C1223" i="31"/>
  <c r="I1223" i="31"/>
  <c r="K1223" i="31"/>
  <c r="M1223" i="31"/>
  <c r="O1223" i="31"/>
  <c r="Q1223" i="31"/>
  <c r="R1223" i="31"/>
  <c r="S1223" i="31" s="1"/>
  <c r="C1224" i="31"/>
  <c r="I1224" i="31"/>
  <c r="K1224" i="31"/>
  <c r="M1224" i="31"/>
  <c r="O1224" i="31"/>
  <c r="Q1224" i="31"/>
  <c r="R1224" i="31"/>
  <c r="S1224" i="31" s="1"/>
  <c r="C1225" i="31"/>
  <c r="I1225" i="31"/>
  <c r="K1225" i="31"/>
  <c r="M1225" i="31"/>
  <c r="O1225" i="31"/>
  <c r="Q1225" i="31"/>
  <c r="R1225" i="31"/>
  <c r="S1225" i="31" s="1"/>
  <c r="C1226" i="31"/>
  <c r="I1226" i="31"/>
  <c r="K1226" i="31"/>
  <c r="M1226" i="31"/>
  <c r="O1226" i="31"/>
  <c r="Q1226" i="31"/>
  <c r="R1226" i="31"/>
  <c r="S1226" i="31" s="1"/>
  <c r="C1227" i="31"/>
  <c r="I1227" i="31"/>
  <c r="K1227" i="31"/>
  <c r="M1227" i="31"/>
  <c r="O1227" i="31"/>
  <c r="Q1227" i="31"/>
  <c r="R1227" i="31"/>
  <c r="S1227" i="31" s="1"/>
  <c r="C1228" i="31"/>
  <c r="I1228" i="31"/>
  <c r="K1228" i="31"/>
  <c r="M1228" i="31"/>
  <c r="O1228" i="31"/>
  <c r="Q1228" i="31"/>
  <c r="R1228" i="31"/>
  <c r="S1228" i="31" s="1"/>
  <c r="C1229" i="31"/>
  <c r="I1229" i="31"/>
  <c r="K1229" i="31"/>
  <c r="M1229" i="31"/>
  <c r="O1229" i="31"/>
  <c r="Q1229" i="31"/>
  <c r="R1229" i="31"/>
  <c r="S1229" i="31" s="1"/>
  <c r="C1230" i="31"/>
  <c r="I1230" i="31"/>
  <c r="K1230" i="31"/>
  <c r="M1230" i="31"/>
  <c r="O1230" i="31"/>
  <c r="Q1230" i="31"/>
  <c r="R1230" i="31"/>
  <c r="S1230" i="31" s="1"/>
  <c r="C1231" i="31"/>
  <c r="I1231" i="31"/>
  <c r="K1231" i="31"/>
  <c r="M1231" i="31"/>
  <c r="O1231" i="31"/>
  <c r="Q1231" i="31"/>
  <c r="R1231" i="31"/>
  <c r="S1231" i="31" s="1"/>
  <c r="C1232" i="31"/>
  <c r="I1232" i="31"/>
  <c r="K1232" i="31"/>
  <c r="M1232" i="31"/>
  <c r="O1232" i="31"/>
  <c r="Q1232" i="31"/>
  <c r="R1232" i="31"/>
  <c r="S1232" i="31" s="1"/>
  <c r="C1233" i="31"/>
  <c r="I1233" i="31"/>
  <c r="K1233" i="31"/>
  <c r="M1233" i="31"/>
  <c r="O1233" i="31"/>
  <c r="Q1233" i="31"/>
  <c r="R1233" i="31"/>
  <c r="S1233" i="31" s="1"/>
  <c r="C1234" i="31"/>
  <c r="I1234" i="31"/>
  <c r="K1234" i="31"/>
  <c r="M1234" i="31"/>
  <c r="O1234" i="31"/>
  <c r="Q1234" i="31"/>
  <c r="R1234" i="31"/>
  <c r="S1234" i="31" s="1"/>
  <c r="C1235" i="31"/>
  <c r="I1235" i="31"/>
  <c r="K1235" i="31"/>
  <c r="M1235" i="31"/>
  <c r="O1235" i="31"/>
  <c r="Q1235" i="31"/>
  <c r="R1235" i="31"/>
  <c r="S1235" i="31" s="1"/>
  <c r="C1236" i="31"/>
  <c r="I1236" i="31"/>
  <c r="K1236" i="31"/>
  <c r="M1236" i="31"/>
  <c r="O1236" i="31"/>
  <c r="Q1236" i="31"/>
  <c r="R1236" i="31"/>
  <c r="S1236" i="31" s="1"/>
  <c r="C1237" i="31"/>
  <c r="I1237" i="31"/>
  <c r="K1237" i="31"/>
  <c r="M1237" i="31"/>
  <c r="O1237" i="31"/>
  <c r="Q1237" i="31"/>
  <c r="R1237" i="31"/>
  <c r="S1237" i="31" s="1"/>
  <c r="C1238" i="31"/>
  <c r="I1238" i="31"/>
  <c r="K1238" i="31"/>
  <c r="M1238" i="31"/>
  <c r="O1238" i="31"/>
  <c r="Q1238" i="31"/>
  <c r="R1238" i="31"/>
  <c r="S1238" i="31" s="1"/>
  <c r="C1239" i="31"/>
  <c r="I1239" i="31"/>
  <c r="K1239" i="31"/>
  <c r="M1239" i="31"/>
  <c r="O1239" i="31"/>
  <c r="Q1239" i="31"/>
  <c r="R1239" i="31"/>
  <c r="S1239" i="31" s="1"/>
  <c r="C1240" i="31"/>
  <c r="I1240" i="31"/>
  <c r="K1240" i="31"/>
  <c r="M1240" i="31"/>
  <c r="O1240" i="31"/>
  <c r="Q1240" i="31"/>
  <c r="R1240" i="31"/>
  <c r="S1240" i="31" s="1"/>
  <c r="C1241" i="31"/>
  <c r="I1241" i="31"/>
  <c r="K1241" i="31"/>
  <c r="M1241" i="31"/>
  <c r="O1241" i="31"/>
  <c r="Q1241" i="31"/>
  <c r="R1241" i="31"/>
  <c r="S1241" i="31" s="1"/>
  <c r="C1242" i="31"/>
  <c r="I1242" i="31"/>
  <c r="K1242" i="31"/>
  <c r="M1242" i="31"/>
  <c r="O1242" i="31"/>
  <c r="Q1242" i="31"/>
  <c r="R1242" i="31"/>
  <c r="S1242" i="31" s="1"/>
  <c r="C1243" i="31"/>
  <c r="I1243" i="31"/>
  <c r="K1243" i="31"/>
  <c r="M1243" i="31"/>
  <c r="O1243" i="31"/>
  <c r="Q1243" i="31"/>
  <c r="R1243" i="31"/>
  <c r="S1243" i="31" s="1"/>
  <c r="C1244" i="31"/>
  <c r="I1244" i="31"/>
  <c r="K1244" i="31"/>
  <c r="M1244" i="31"/>
  <c r="O1244" i="31"/>
  <c r="Q1244" i="31"/>
  <c r="R1244" i="31"/>
  <c r="S1244" i="31" s="1"/>
  <c r="C1245" i="31"/>
  <c r="I1245" i="31"/>
  <c r="K1245" i="31"/>
  <c r="M1245" i="31"/>
  <c r="O1245" i="31"/>
  <c r="Q1245" i="31"/>
  <c r="R1245" i="31"/>
  <c r="S1245" i="31" s="1"/>
  <c r="C1246" i="31"/>
  <c r="I1246" i="31"/>
  <c r="K1246" i="31"/>
  <c r="M1246" i="31"/>
  <c r="O1246" i="31"/>
  <c r="Q1246" i="31"/>
  <c r="R1246" i="31"/>
  <c r="S1246" i="31" s="1"/>
  <c r="C1247" i="31"/>
  <c r="I1247" i="31"/>
  <c r="K1247" i="31"/>
  <c r="M1247" i="31"/>
  <c r="O1247" i="31"/>
  <c r="Q1247" i="31"/>
  <c r="R1247" i="31"/>
  <c r="S1247" i="31" s="1"/>
  <c r="C1248" i="31"/>
  <c r="I1248" i="31"/>
  <c r="K1248" i="31"/>
  <c r="M1248" i="31"/>
  <c r="O1248" i="31"/>
  <c r="Q1248" i="31"/>
  <c r="R1248" i="31"/>
  <c r="S1248" i="31" s="1"/>
  <c r="C1249" i="31"/>
  <c r="I1249" i="31"/>
  <c r="K1249" i="31"/>
  <c r="M1249" i="31"/>
  <c r="O1249" i="31"/>
  <c r="Q1249" i="31"/>
  <c r="R1249" i="31"/>
  <c r="S1249" i="31" s="1"/>
  <c r="C1250" i="31"/>
  <c r="I1250" i="31"/>
  <c r="K1250" i="31"/>
  <c r="M1250" i="31"/>
  <c r="O1250" i="31"/>
  <c r="Q1250" i="31"/>
  <c r="R1250" i="31"/>
  <c r="S1250" i="31" s="1"/>
  <c r="C1251" i="31"/>
  <c r="I1251" i="31"/>
  <c r="K1251" i="31"/>
  <c r="M1251" i="31"/>
  <c r="O1251" i="31"/>
  <c r="Q1251" i="31"/>
  <c r="R1251" i="31"/>
  <c r="S1251" i="31" s="1"/>
  <c r="C1252" i="31"/>
  <c r="I1252" i="31"/>
  <c r="K1252" i="31"/>
  <c r="M1252" i="31"/>
  <c r="O1252" i="31"/>
  <c r="Q1252" i="31"/>
  <c r="R1252" i="31"/>
  <c r="S1252" i="31" s="1"/>
  <c r="C1253" i="31"/>
  <c r="I1253" i="31"/>
  <c r="K1253" i="31"/>
  <c r="M1253" i="31"/>
  <c r="O1253" i="31"/>
  <c r="Q1253" i="31"/>
  <c r="R1253" i="31"/>
  <c r="S1253" i="31" s="1"/>
  <c r="C1254" i="31"/>
  <c r="I1254" i="31"/>
  <c r="K1254" i="31"/>
  <c r="M1254" i="31"/>
  <c r="O1254" i="31"/>
  <c r="Q1254" i="31"/>
  <c r="R1254" i="31"/>
  <c r="S1254" i="31" s="1"/>
  <c r="C1255" i="31"/>
  <c r="I1255" i="31"/>
  <c r="K1255" i="31"/>
  <c r="M1255" i="31"/>
  <c r="O1255" i="31"/>
  <c r="Q1255" i="31"/>
  <c r="R1255" i="31"/>
  <c r="S1255" i="31" s="1"/>
  <c r="C1256" i="31"/>
  <c r="I1256" i="31"/>
  <c r="K1256" i="31"/>
  <c r="M1256" i="31"/>
  <c r="O1256" i="31"/>
  <c r="Q1256" i="31"/>
  <c r="R1256" i="31"/>
  <c r="S1256" i="31" s="1"/>
  <c r="C1257" i="31"/>
  <c r="I1257" i="31"/>
  <c r="K1257" i="31"/>
  <c r="M1257" i="31"/>
  <c r="O1257" i="31"/>
  <c r="Q1257" i="31"/>
  <c r="R1257" i="31"/>
  <c r="S1257" i="31" s="1"/>
  <c r="C1258" i="31"/>
  <c r="I1258" i="31"/>
  <c r="K1258" i="31"/>
  <c r="M1258" i="31"/>
  <c r="O1258" i="31"/>
  <c r="Q1258" i="31"/>
  <c r="R1258" i="31"/>
  <c r="S1258" i="31" s="1"/>
  <c r="C1259" i="31"/>
  <c r="I1259" i="31"/>
  <c r="K1259" i="31"/>
  <c r="M1259" i="31"/>
  <c r="O1259" i="31"/>
  <c r="Q1259" i="31"/>
  <c r="R1259" i="31"/>
  <c r="S1259" i="31" s="1"/>
  <c r="C1260" i="31"/>
  <c r="I1260" i="31"/>
  <c r="K1260" i="31"/>
  <c r="M1260" i="31"/>
  <c r="O1260" i="31"/>
  <c r="Q1260" i="31"/>
  <c r="R1260" i="31"/>
  <c r="S1260" i="31" s="1"/>
  <c r="C1261" i="31"/>
  <c r="I1261" i="31"/>
  <c r="K1261" i="31"/>
  <c r="M1261" i="31"/>
  <c r="O1261" i="31"/>
  <c r="Q1261" i="31"/>
  <c r="R1261" i="31"/>
  <c r="S1261" i="31" s="1"/>
  <c r="C1262" i="31"/>
  <c r="I1262" i="31"/>
  <c r="K1262" i="31"/>
  <c r="M1262" i="31"/>
  <c r="O1262" i="31"/>
  <c r="Q1262" i="31"/>
  <c r="R1262" i="31"/>
  <c r="S1262" i="31" s="1"/>
  <c r="C1263" i="31"/>
  <c r="I1263" i="31"/>
  <c r="K1263" i="31"/>
  <c r="M1263" i="31"/>
  <c r="O1263" i="31"/>
  <c r="Q1263" i="31"/>
  <c r="R1263" i="31"/>
  <c r="S1263" i="31" s="1"/>
  <c r="C1264" i="31"/>
  <c r="I1264" i="31"/>
  <c r="K1264" i="31"/>
  <c r="M1264" i="31"/>
  <c r="O1264" i="31"/>
  <c r="Q1264" i="31"/>
  <c r="R1264" i="31"/>
  <c r="S1264" i="31" s="1"/>
  <c r="C1265" i="31"/>
  <c r="I1265" i="31"/>
  <c r="K1265" i="31"/>
  <c r="M1265" i="31"/>
  <c r="O1265" i="31"/>
  <c r="Q1265" i="31"/>
  <c r="R1265" i="31"/>
  <c r="S1265" i="31" s="1"/>
  <c r="C1266" i="31"/>
  <c r="I1266" i="31"/>
  <c r="K1266" i="31"/>
  <c r="M1266" i="31"/>
  <c r="O1266" i="31"/>
  <c r="Q1266" i="31"/>
  <c r="R1266" i="31"/>
  <c r="S1266" i="31" s="1"/>
  <c r="C1267" i="31"/>
  <c r="I1267" i="31"/>
  <c r="K1267" i="31"/>
  <c r="M1267" i="31"/>
  <c r="O1267" i="31"/>
  <c r="Q1267" i="31"/>
  <c r="R1267" i="31"/>
  <c r="S1267" i="31" s="1"/>
  <c r="C1268" i="31"/>
  <c r="I1268" i="31"/>
  <c r="K1268" i="31"/>
  <c r="M1268" i="31"/>
  <c r="O1268" i="31"/>
  <c r="Q1268" i="31"/>
  <c r="R1268" i="31"/>
  <c r="S1268" i="31" s="1"/>
  <c r="C1269" i="31"/>
  <c r="I1269" i="31"/>
  <c r="K1269" i="31"/>
  <c r="M1269" i="31"/>
  <c r="O1269" i="31"/>
  <c r="Q1269" i="31"/>
  <c r="R1269" i="31"/>
  <c r="S1269" i="31" s="1"/>
  <c r="C1270" i="31"/>
  <c r="I1270" i="31"/>
  <c r="K1270" i="31"/>
  <c r="M1270" i="31"/>
  <c r="O1270" i="31"/>
  <c r="Q1270" i="31"/>
  <c r="R1270" i="31"/>
  <c r="S1270" i="31" s="1"/>
  <c r="C1271" i="31"/>
  <c r="I1271" i="31"/>
  <c r="K1271" i="31"/>
  <c r="M1271" i="31"/>
  <c r="O1271" i="31"/>
  <c r="Q1271" i="31"/>
  <c r="R1271" i="31"/>
  <c r="S1271" i="31" s="1"/>
  <c r="C1272" i="31"/>
  <c r="I1272" i="31"/>
  <c r="K1272" i="31"/>
  <c r="M1272" i="31"/>
  <c r="O1272" i="31"/>
  <c r="Q1272" i="31"/>
  <c r="R1272" i="31"/>
  <c r="S1272" i="31" s="1"/>
  <c r="C1273" i="31"/>
  <c r="I1273" i="31"/>
  <c r="K1273" i="31"/>
  <c r="M1273" i="31"/>
  <c r="O1273" i="31"/>
  <c r="Q1273" i="31"/>
  <c r="R1273" i="31"/>
  <c r="S1273" i="31" s="1"/>
  <c r="C1274" i="31"/>
  <c r="I1274" i="31"/>
  <c r="K1274" i="31"/>
  <c r="M1274" i="31"/>
  <c r="O1274" i="31"/>
  <c r="Q1274" i="31"/>
  <c r="R1274" i="31"/>
  <c r="S1274" i="31" s="1"/>
  <c r="C1275" i="31"/>
  <c r="I1275" i="31"/>
  <c r="K1275" i="31"/>
  <c r="M1275" i="31"/>
  <c r="O1275" i="31"/>
  <c r="Q1275" i="31"/>
  <c r="R1275" i="31"/>
  <c r="S1275" i="31" s="1"/>
  <c r="C1276" i="31"/>
  <c r="I1276" i="31"/>
  <c r="K1276" i="31"/>
  <c r="M1276" i="31"/>
  <c r="O1276" i="31"/>
  <c r="Q1276" i="31"/>
  <c r="R1276" i="31"/>
  <c r="S1276" i="31" s="1"/>
  <c r="C1277" i="31"/>
  <c r="I1277" i="31"/>
  <c r="K1277" i="31"/>
  <c r="M1277" i="31"/>
  <c r="O1277" i="31"/>
  <c r="Q1277" i="31"/>
  <c r="R1277" i="31"/>
  <c r="S1277" i="31" s="1"/>
  <c r="C1278" i="31"/>
  <c r="I1278" i="31"/>
  <c r="K1278" i="31"/>
  <c r="M1278" i="31"/>
  <c r="O1278" i="31"/>
  <c r="Q1278" i="31"/>
  <c r="R1278" i="31"/>
  <c r="S1278" i="31" s="1"/>
  <c r="C1279" i="31"/>
  <c r="I1279" i="31"/>
  <c r="K1279" i="31"/>
  <c r="M1279" i="31"/>
  <c r="O1279" i="31"/>
  <c r="Q1279" i="31"/>
  <c r="R1279" i="31"/>
  <c r="S1279" i="31" s="1"/>
  <c r="C1280" i="31"/>
  <c r="I1280" i="31"/>
  <c r="K1280" i="31"/>
  <c r="M1280" i="31"/>
  <c r="O1280" i="31"/>
  <c r="Q1280" i="31"/>
  <c r="R1280" i="31"/>
  <c r="S1280" i="31" s="1"/>
  <c r="C1281" i="31"/>
  <c r="I1281" i="31"/>
  <c r="K1281" i="31"/>
  <c r="M1281" i="31"/>
  <c r="O1281" i="31"/>
  <c r="Q1281" i="31"/>
  <c r="R1281" i="31"/>
  <c r="S1281" i="31" s="1"/>
  <c r="C1282" i="31"/>
  <c r="I1282" i="31"/>
  <c r="K1282" i="31"/>
  <c r="M1282" i="31"/>
  <c r="O1282" i="31"/>
  <c r="Q1282" i="31"/>
  <c r="R1282" i="31"/>
  <c r="S1282" i="31" s="1"/>
  <c r="C1283" i="31"/>
  <c r="I1283" i="31"/>
  <c r="K1283" i="31"/>
  <c r="M1283" i="31"/>
  <c r="O1283" i="31"/>
  <c r="Q1283" i="31"/>
  <c r="R1283" i="31"/>
  <c r="S1283" i="31" s="1"/>
  <c r="C1284" i="31"/>
  <c r="I1284" i="31"/>
  <c r="K1284" i="31"/>
  <c r="M1284" i="31"/>
  <c r="O1284" i="31"/>
  <c r="Q1284" i="31"/>
  <c r="R1284" i="31"/>
  <c r="S1284" i="31" s="1"/>
  <c r="C1285" i="31"/>
  <c r="I1285" i="31"/>
  <c r="K1285" i="31"/>
  <c r="M1285" i="31"/>
  <c r="O1285" i="31"/>
  <c r="Q1285" i="31"/>
  <c r="R1285" i="31"/>
  <c r="S1285" i="31" s="1"/>
  <c r="C1286" i="31"/>
  <c r="I1286" i="31"/>
  <c r="K1286" i="31"/>
  <c r="M1286" i="31"/>
  <c r="O1286" i="31"/>
  <c r="Q1286" i="31"/>
  <c r="R1286" i="31"/>
  <c r="S1286" i="31" s="1"/>
  <c r="C1287" i="31"/>
  <c r="I1287" i="31"/>
  <c r="K1287" i="31"/>
  <c r="M1287" i="31"/>
  <c r="O1287" i="31"/>
  <c r="Q1287" i="31"/>
  <c r="R1287" i="31"/>
  <c r="S1287" i="31" s="1"/>
  <c r="C1288" i="31"/>
  <c r="I1288" i="31"/>
  <c r="K1288" i="31"/>
  <c r="M1288" i="31"/>
  <c r="O1288" i="31"/>
  <c r="Q1288" i="31"/>
  <c r="R1288" i="31"/>
  <c r="S1288" i="31" s="1"/>
  <c r="C1289" i="31"/>
  <c r="I1289" i="31"/>
  <c r="K1289" i="31"/>
  <c r="M1289" i="31"/>
  <c r="O1289" i="31"/>
  <c r="Q1289" i="31"/>
  <c r="R1289" i="31"/>
  <c r="S1289" i="31" s="1"/>
  <c r="C1290" i="31"/>
  <c r="I1290" i="31"/>
  <c r="K1290" i="31"/>
  <c r="M1290" i="31"/>
  <c r="O1290" i="31"/>
  <c r="Q1290" i="31"/>
  <c r="R1290" i="31"/>
  <c r="S1290" i="31" s="1"/>
  <c r="C1291" i="31"/>
  <c r="I1291" i="31"/>
  <c r="K1291" i="31"/>
  <c r="M1291" i="31"/>
  <c r="O1291" i="31"/>
  <c r="Q1291" i="31"/>
  <c r="R1291" i="31"/>
  <c r="S1291" i="31" s="1"/>
  <c r="C1292" i="31"/>
  <c r="I1292" i="31"/>
  <c r="K1292" i="31"/>
  <c r="M1292" i="31"/>
  <c r="O1292" i="31"/>
  <c r="Q1292" i="31"/>
  <c r="R1292" i="31"/>
  <c r="S1292" i="31" s="1"/>
  <c r="C1293" i="31"/>
  <c r="I1293" i="31"/>
  <c r="K1293" i="31"/>
  <c r="M1293" i="31"/>
  <c r="O1293" i="31"/>
  <c r="Q1293" i="31"/>
  <c r="R1293" i="31"/>
  <c r="S1293" i="31" s="1"/>
  <c r="C1294" i="31"/>
  <c r="I1294" i="31"/>
  <c r="K1294" i="31"/>
  <c r="M1294" i="31"/>
  <c r="O1294" i="31"/>
  <c r="Q1294" i="31"/>
  <c r="R1294" i="31"/>
  <c r="S1294" i="31" s="1"/>
  <c r="C1295" i="31"/>
  <c r="I1295" i="31"/>
  <c r="K1295" i="31"/>
  <c r="M1295" i="31"/>
  <c r="O1295" i="31"/>
  <c r="Q1295" i="31"/>
  <c r="R1295" i="31"/>
  <c r="S1295" i="31" s="1"/>
  <c r="C1296" i="31"/>
  <c r="I1296" i="31"/>
  <c r="K1296" i="31"/>
  <c r="M1296" i="31"/>
  <c r="O1296" i="31"/>
  <c r="Q1296" i="31"/>
  <c r="R1296" i="31"/>
  <c r="S1296" i="31" s="1"/>
  <c r="C1297" i="31"/>
  <c r="I1297" i="31"/>
  <c r="K1297" i="31"/>
  <c r="M1297" i="31"/>
  <c r="O1297" i="31"/>
  <c r="Q1297" i="31"/>
  <c r="R1297" i="31"/>
  <c r="S1297" i="31" s="1"/>
  <c r="C1298" i="31"/>
  <c r="I1298" i="31"/>
  <c r="K1298" i="31"/>
  <c r="M1298" i="31"/>
  <c r="O1298" i="31"/>
  <c r="Q1298" i="31"/>
  <c r="R1298" i="31"/>
  <c r="S1298" i="31" s="1"/>
  <c r="C1299" i="31"/>
  <c r="I1299" i="31"/>
  <c r="K1299" i="31"/>
  <c r="M1299" i="31"/>
  <c r="O1299" i="31"/>
  <c r="Q1299" i="31"/>
  <c r="R1299" i="31"/>
  <c r="S1299" i="31" s="1"/>
  <c r="C1300" i="31"/>
  <c r="I1300" i="31"/>
  <c r="K1300" i="31"/>
  <c r="M1300" i="31"/>
  <c r="O1300" i="31"/>
  <c r="Q1300" i="31"/>
  <c r="R1300" i="31"/>
  <c r="S1300" i="31" s="1"/>
  <c r="C1301" i="31"/>
  <c r="I1301" i="31"/>
  <c r="K1301" i="31"/>
  <c r="M1301" i="31"/>
  <c r="O1301" i="31"/>
  <c r="Q1301" i="31"/>
  <c r="R1301" i="31"/>
  <c r="S1301" i="31" s="1"/>
  <c r="C1302" i="31"/>
  <c r="I1302" i="31"/>
  <c r="K1302" i="31"/>
  <c r="M1302" i="31"/>
  <c r="O1302" i="31"/>
  <c r="Q1302" i="31"/>
  <c r="R1302" i="31"/>
  <c r="S1302" i="31" s="1"/>
  <c r="C1303" i="31"/>
  <c r="I1303" i="31"/>
  <c r="K1303" i="31"/>
  <c r="M1303" i="31"/>
  <c r="O1303" i="31"/>
  <c r="Q1303" i="31"/>
  <c r="R1303" i="31"/>
  <c r="S1303" i="31" s="1"/>
  <c r="C1304" i="31"/>
  <c r="I1304" i="31"/>
  <c r="K1304" i="31"/>
  <c r="M1304" i="31"/>
  <c r="O1304" i="31"/>
  <c r="Q1304" i="31"/>
  <c r="R1304" i="31"/>
  <c r="S1304" i="31" s="1"/>
  <c r="C1305" i="31"/>
  <c r="I1305" i="31"/>
  <c r="K1305" i="31"/>
  <c r="M1305" i="31"/>
  <c r="O1305" i="31"/>
  <c r="Q1305" i="31"/>
  <c r="R1305" i="31"/>
  <c r="S1305" i="31" s="1"/>
  <c r="C1306" i="31"/>
  <c r="I1306" i="31"/>
  <c r="K1306" i="31"/>
  <c r="M1306" i="31"/>
  <c r="O1306" i="31"/>
  <c r="Q1306" i="31"/>
  <c r="R1306" i="31"/>
  <c r="S1306" i="31" s="1"/>
  <c r="C1307" i="31"/>
  <c r="I1307" i="31"/>
  <c r="K1307" i="31"/>
  <c r="M1307" i="31"/>
  <c r="O1307" i="31"/>
  <c r="Q1307" i="31"/>
  <c r="R1307" i="31"/>
  <c r="S1307" i="31" s="1"/>
  <c r="C1308" i="31"/>
  <c r="I1308" i="31"/>
  <c r="K1308" i="31"/>
  <c r="M1308" i="31"/>
  <c r="O1308" i="31"/>
  <c r="Q1308" i="31"/>
  <c r="R1308" i="31"/>
  <c r="S1308" i="31" s="1"/>
  <c r="C1309" i="31"/>
  <c r="I1309" i="31"/>
  <c r="K1309" i="31"/>
  <c r="M1309" i="31"/>
  <c r="O1309" i="31"/>
  <c r="Q1309" i="31"/>
  <c r="R1309" i="31"/>
  <c r="S1309" i="31" s="1"/>
  <c r="C1310" i="31"/>
  <c r="I1310" i="31"/>
  <c r="K1310" i="31"/>
  <c r="M1310" i="31"/>
  <c r="O1310" i="31"/>
  <c r="Q1310" i="31"/>
  <c r="R1310" i="31"/>
  <c r="S1310" i="31" s="1"/>
  <c r="C1311" i="31"/>
  <c r="I1311" i="31"/>
  <c r="K1311" i="31"/>
  <c r="M1311" i="31"/>
  <c r="O1311" i="31"/>
  <c r="Q1311" i="31"/>
  <c r="R1311" i="31"/>
  <c r="S1311" i="31" s="1"/>
  <c r="C1312" i="31"/>
  <c r="I1312" i="31"/>
  <c r="K1312" i="31"/>
  <c r="M1312" i="31"/>
  <c r="O1312" i="31"/>
  <c r="Q1312" i="31"/>
  <c r="R1312" i="31"/>
  <c r="S1312" i="31" s="1"/>
  <c r="C1313" i="31"/>
  <c r="I1313" i="31"/>
  <c r="K1313" i="31"/>
  <c r="M1313" i="31"/>
  <c r="O1313" i="31"/>
  <c r="Q1313" i="31"/>
  <c r="R1313" i="31"/>
  <c r="S1313" i="31" s="1"/>
  <c r="C1314" i="31"/>
  <c r="I1314" i="31"/>
  <c r="K1314" i="31"/>
  <c r="M1314" i="31"/>
  <c r="O1314" i="31"/>
  <c r="Q1314" i="31"/>
  <c r="R1314" i="31"/>
  <c r="S1314" i="31" s="1"/>
  <c r="C1315" i="31"/>
  <c r="I1315" i="31"/>
  <c r="K1315" i="31"/>
  <c r="M1315" i="31"/>
  <c r="O1315" i="31"/>
  <c r="Q1315" i="31"/>
  <c r="R1315" i="31"/>
  <c r="S1315" i="31" s="1"/>
  <c r="C1316" i="31"/>
  <c r="I1316" i="31"/>
  <c r="K1316" i="31"/>
  <c r="M1316" i="31"/>
  <c r="O1316" i="31"/>
  <c r="Q1316" i="31"/>
  <c r="R1316" i="31"/>
  <c r="S1316" i="31" s="1"/>
  <c r="C1317" i="31"/>
  <c r="I1317" i="31"/>
  <c r="K1317" i="31"/>
  <c r="M1317" i="31"/>
  <c r="O1317" i="31"/>
  <c r="Q1317" i="31"/>
  <c r="R1317" i="31"/>
  <c r="S1317" i="31" s="1"/>
  <c r="C1318" i="31"/>
  <c r="I1318" i="31"/>
  <c r="K1318" i="31"/>
  <c r="M1318" i="31"/>
  <c r="O1318" i="31"/>
  <c r="Q1318" i="31"/>
  <c r="R1318" i="31"/>
  <c r="S1318" i="31" s="1"/>
  <c r="C1319" i="31"/>
  <c r="I1319" i="31"/>
  <c r="K1319" i="31"/>
  <c r="M1319" i="31"/>
  <c r="O1319" i="31"/>
  <c r="Q1319" i="31"/>
  <c r="R1319" i="31"/>
  <c r="S1319" i="31" s="1"/>
  <c r="C1320" i="31"/>
  <c r="I1320" i="31"/>
  <c r="K1320" i="31"/>
  <c r="M1320" i="31"/>
  <c r="O1320" i="31"/>
  <c r="Q1320" i="31"/>
  <c r="R1320" i="31"/>
  <c r="S1320" i="31" s="1"/>
  <c r="C1321" i="31"/>
  <c r="I1321" i="31"/>
  <c r="K1321" i="31"/>
  <c r="M1321" i="31"/>
  <c r="O1321" i="31"/>
  <c r="Q1321" i="31"/>
  <c r="R1321" i="31"/>
  <c r="S1321" i="31" s="1"/>
  <c r="C1322" i="31"/>
  <c r="I1322" i="31"/>
  <c r="K1322" i="31"/>
  <c r="M1322" i="31"/>
  <c r="O1322" i="31"/>
  <c r="Q1322" i="31"/>
  <c r="R1322" i="31"/>
  <c r="S1322" i="31" s="1"/>
  <c r="C1323" i="31"/>
  <c r="I1323" i="31"/>
  <c r="K1323" i="31"/>
  <c r="M1323" i="31"/>
  <c r="O1323" i="31"/>
  <c r="Q1323" i="31"/>
  <c r="R1323" i="31"/>
  <c r="S1323" i="31" s="1"/>
  <c r="C1324" i="31"/>
  <c r="I1324" i="31"/>
  <c r="K1324" i="31"/>
  <c r="M1324" i="31"/>
  <c r="O1324" i="31"/>
  <c r="Q1324" i="31"/>
  <c r="R1324" i="31"/>
  <c r="S1324" i="31" s="1"/>
  <c r="C1325" i="31"/>
  <c r="I1325" i="31"/>
  <c r="K1325" i="31"/>
  <c r="M1325" i="31"/>
  <c r="O1325" i="31"/>
  <c r="Q1325" i="31"/>
  <c r="R1325" i="31"/>
  <c r="S1325" i="31" s="1"/>
  <c r="C1326" i="31"/>
  <c r="I1326" i="31"/>
  <c r="K1326" i="31"/>
  <c r="M1326" i="31"/>
  <c r="O1326" i="31"/>
  <c r="Q1326" i="31"/>
  <c r="R1326" i="31"/>
  <c r="S1326" i="31" s="1"/>
  <c r="C1327" i="31"/>
  <c r="I1327" i="31"/>
  <c r="K1327" i="31"/>
  <c r="M1327" i="31"/>
  <c r="O1327" i="31"/>
  <c r="Q1327" i="31"/>
  <c r="R1327" i="31"/>
  <c r="S1327" i="31" s="1"/>
  <c r="C1328" i="31"/>
  <c r="I1328" i="31"/>
  <c r="K1328" i="31"/>
  <c r="M1328" i="31"/>
  <c r="O1328" i="31"/>
  <c r="Q1328" i="31"/>
  <c r="R1328" i="31"/>
  <c r="S1328" i="31" s="1"/>
  <c r="C1329" i="31"/>
  <c r="I1329" i="31"/>
  <c r="K1329" i="31"/>
  <c r="M1329" i="31"/>
  <c r="O1329" i="31"/>
  <c r="Q1329" i="31"/>
  <c r="R1329" i="31"/>
  <c r="S1329" i="31" s="1"/>
  <c r="C1330" i="31"/>
  <c r="I1330" i="31"/>
  <c r="K1330" i="31"/>
  <c r="M1330" i="31"/>
  <c r="O1330" i="31"/>
  <c r="Q1330" i="31"/>
  <c r="R1330" i="31"/>
  <c r="S1330" i="31" s="1"/>
  <c r="C1331" i="31"/>
  <c r="I1331" i="31"/>
  <c r="K1331" i="31"/>
  <c r="M1331" i="31"/>
  <c r="O1331" i="31"/>
  <c r="Q1331" i="31"/>
  <c r="R1331" i="31"/>
  <c r="S1331" i="31" s="1"/>
  <c r="C1332" i="31"/>
  <c r="I1332" i="31"/>
  <c r="K1332" i="31"/>
  <c r="M1332" i="31"/>
  <c r="O1332" i="31"/>
  <c r="Q1332" i="31"/>
  <c r="R1332" i="31"/>
  <c r="S1332" i="31" s="1"/>
  <c r="C1333" i="31"/>
  <c r="I1333" i="31"/>
  <c r="K1333" i="31"/>
  <c r="M1333" i="31"/>
  <c r="O1333" i="31"/>
  <c r="Q1333" i="31"/>
  <c r="R1333" i="31"/>
  <c r="S1333" i="31" s="1"/>
  <c r="C1334" i="31"/>
  <c r="I1334" i="31"/>
  <c r="K1334" i="31"/>
  <c r="M1334" i="31"/>
  <c r="O1334" i="31"/>
  <c r="Q1334" i="31"/>
  <c r="R1334" i="31"/>
  <c r="S1334" i="31" s="1"/>
  <c r="C1335" i="31"/>
  <c r="I1335" i="31"/>
  <c r="K1335" i="31"/>
  <c r="M1335" i="31"/>
  <c r="O1335" i="31"/>
  <c r="Q1335" i="31"/>
  <c r="R1335" i="31"/>
  <c r="S1335" i="31" s="1"/>
  <c r="C1336" i="31"/>
  <c r="I1336" i="31"/>
  <c r="K1336" i="31"/>
  <c r="M1336" i="31"/>
  <c r="O1336" i="31"/>
  <c r="Q1336" i="31"/>
  <c r="R1336" i="31"/>
  <c r="S1336" i="31" s="1"/>
  <c r="C1337" i="31"/>
  <c r="I1337" i="31"/>
  <c r="K1337" i="31"/>
  <c r="M1337" i="31"/>
  <c r="O1337" i="31"/>
  <c r="Q1337" i="31"/>
  <c r="R1337" i="31"/>
  <c r="S1337" i="31" s="1"/>
  <c r="C1338" i="31"/>
  <c r="I1338" i="31"/>
  <c r="K1338" i="31"/>
  <c r="M1338" i="31"/>
  <c r="O1338" i="31"/>
  <c r="Q1338" i="31"/>
  <c r="R1338" i="31"/>
  <c r="S1338" i="31" s="1"/>
  <c r="C1339" i="31"/>
  <c r="I1339" i="31"/>
  <c r="K1339" i="31"/>
  <c r="M1339" i="31"/>
  <c r="O1339" i="31"/>
  <c r="Q1339" i="31"/>
  <c r="R1339" i="31"/>
  <c r="S1339" i="31" s="1"/>
  <c r="C1340" i="31"/>
  <c r="I1340" i="31"/>
  <c r="K1340" i="31"/>
  <c r="M1340" i="31"/>
  <c r="O1340" i="31"/>
  <c r="Q1340" i="31"/>
  <c r="R1340" i="31"/>
  <c r="S1340" i="31" s="1"/>
  <c r="C1341" i="31"/>
  <c r="I1341" i="31"/>
  <c r="K1341" i="31"/>
  <c r="M1341" i="31"/>
  <c r="O1341" i="31"/>
  <c r="Q1341" i="31"/>
  <c r="R1341" i="31"/>
  <c r="S1341" i="31" s="1"/>
  <c r="C1342" i="31"/>
  <c r="I1342" i="31"/>
  <c r="K1342" i="31"/>
  <c r="M1342" i="31"/>
  <c r="O1342" i="31"/>
  <c r="Q1342" i="31"/>
  <c r="R1342" i="31"/>
  <c r="S1342" i="31" s="1"/>
  <c r="C1343" i="31"/>
  <c r="I1343" i="31"/>
  <c r="K1343" i="31"/>
  <c r="M1343" i="31"/>
  <c r="O1343" i="31"/>
  <c r="Q1343" i="31"/>
  <c r="R1343" i="31"/>
  <c r="S1343" i="31" s="1"/>
  <c r="C1344" i="31"/>
  <c r="I1344" i="31"/>
  <c r="K1344" i="31"/>
  <c r="M1344" i="31"/>
  <c r="O1344" i="31"/>
  <c r="Q1344" i="31"/>
  <c r="R1344" i="31"/>
  <c r="S1344" i="31" s="1"/>
  <c r="C1345" i="31"/>
  <c r="I1345" i="31"/>
  <c r="K1345" i="31"/>
  <c r="M1345" i="31"/>
  <c r="O1345" i="31"/>
  <c r="Q1345" i="31"/>
  <c r="R1345" i="31"/>
  <c r="S1345" i="31" s="1"/>
  <c r="C1346" i="31"/>
  <c r="I1346" i="31"/>
  <c r="K1346" i="31"/>
  <c r="M1346" i="31"/>
  <c r="O1346" i="31"/>
  <c r="Q1346" i="31"/>
  <c r="R1346" i="31"/>
  <c r="S1346" i="31" s="1"/>
  <c r="C1347" i="31"/>
  <c r="I1347" i="31"/>
  <c r="K1347" i="31"/>
  <c r="M1347" i="31"/>
  <c r="O1347" i="31"/>
  <c r="Q1347" i="31"/>
  <c r="R1347" i="31"/>
  <c r="S1347" i="31" s="1"/>
  <c r="C1348" i="31"/>
  <c r="I1348" i="31"/>
  <c r="K1348" i="31"/>
  <c r="M1348" i="31"/>
  <c r="O1348" i="31"/>
  <c r="Q1348" i="31"/>
  <c r="R1348" i="31"/>
  <c r="S1348" i="31" s="1"/>
  <c r="C1349" i="31"/>
  <c r="I1349" i="31"/>
  <c r="K1349" i="31"/>
  <c r="M1349" i="31"/>
  <c r="O1349" i="31"/>
  <c r="Q1349" i="31"/>
  <c r="R1349" i="31"/>
  <c r="S1349" i="31" s="1"/>
  <c r="C1350" i="31"/>
  <c r="I1350" i="31"/>
  <c r="K1350" i="31"/>
  <c r="M1350" i="31"/>
  <c r="O1350" i="31"/>
  <c r="Q1350" i="31"/>
  <c r="R1350" i="31"/>
  <c r="S1350" i="31" s="1"/>
  <c r="C1351" i="31"/>
  <c r="I1351" i="31"/>
  <c r="K1351" i="31"/>
  <c r="M1351" i="31"/>
  <c r="O1351" i="31"/>
  <c r="Q1351" i="31"/>
  <c r="R1351" i="31"/>
  <c r="S1351" i="31" s="1"/>
  <c r="C1352" i="31"/>
  <c r="I1352" i="31"/>
  <c r="K1352" i="31"/>
  <c r="M1352" i="31"/>
  <c r="O1352" i="31"/>
  <c r="Q1352" i="31"/>
  <c r="R1352" i="31"/>
  <c r="S1352" i="31" s="1"/>
  <c r="C1353" i="31"/>
  <c r="I1353" i="31"/>
  <c r="K1353" i="31"/>
  <c r="M1353" i="31"/>
  <c r="O1353" i="31"/>
  <c r="Q1353" i="31"/>
  <c r="R1353" i="31"/>
  <c r="S1353" i="31" s="1"/>
  <c r="C1354" i="31"/>
  <c r="I1354" i="31"/>
  <c r="K1354" i="31"/>
  <c r="M1354" i="31"/>
  <c r="O1354" i="31"/>
  <c r="Q1354" i="31"/>
  <c r="R1354" i="31"/>
  <c r="S1354" i="31" s="1"/>
  <c r="C1355" i="31"/>
  <c r="I1355" i="31"/>
  <c r="K1355" i="31"/>
  <c r="M1355" i="31"/>
  <c r="O1355" i="31"/>
  <c r="Q1355" i="31"/>
  <c r="R1355" i="31"/>
  <c r="S1355" i="31" s="1"/>
  <c r="C1356" i="31"/>
  <c r="I1356" i="31"/>
  <c r="K1356" i="31"/>
  <c r="M1356" i="31"/>
  <c r="O1356" i="31"/>
  <c r="Q1356" i="31"/>
  <c r="R1356" i="31"/>
  <c r="S1356" i="31" s="1"/>
  <c r="C1357" i="31"/>
  <c r="I1357" i="31"/>
  <c r="K1357" i="31"/>
  <c r="M1357" i="31"/>
  <c r="O1357" i="31"/>
  <c r="Q1357" i="31"/>
  <c r="R1357" i="31"/>
  <c r="S1357" i="31" s="1"/>
  <c r="C1358" i="31"/>
  <c r="I1358" i="31"/>
  <c r="K1358" i="31"/>
  <c r="M1358" i="31"/>
  <c r="O1358" i="31"/>
  <c r="Q1358" i="31"/>
  <c r="R1358" i="31"/>
  <c r="S1358" i="31" s="1"/>
  <c r="C1359" i="31"/>
  <c r="I1359" i="31"/>
  <c r="K1359" i="31"/>
  <c r="M1359" i="31"/>
  <c r="O1359" i="31"/>
  <c r="Q1359" i="31"/>
  <c r="R1359" i="31"/>
  <c r="S1359" i="31" s="1"/>
  <c r="C1360" i="31"/>
  <c r="I1360" i="31"/>
  <c r="K1360" i="31"/>
  <c r="M1360" i="31"/>
  <c r="O1360" i="31"/>
  <c r="Q1360" i="31"/>
  <c r="R1360" i="31"/>
  <c r="S1360" i="31" s="1"/>
  <c r="C1361" i="31"/>
  <c r="I1361" i="31"/>
  <c r="K1361" i="31"/>
  <c r="M1361" i="31"/>
  <c r="O1361" i="31"/>
  <c r="Q1361" i="31"/>
  <c r="R1361" i="31"/>
  <c r="S1361" i="31" s="1"/>
  <c r="C1362" i="31"/>
  <c r="I1362" i="31"/>
  <c r="K1362" i="31"/>
  <c r="M1362" i="31"/>
  <c r="O1362" i="31"/>
  <c r="Q1362" i="31"/>
  <c r="R1362" i="31"/>
  <c r="S1362" i="31" s="1"/>
  <c r="C1363" i="31"/>
  <c r="I1363" i="31"/>
  <c r="K1363" i="31"/>
  <c r="M1363" i="31"/>
  <c r="O1363" i="31"/>
  <c r="Q1363" i="31"/>
  <c r="R1363" i="31"/>
  <c r="S1363" i="31" s="1"/>
  <c r="C1364" i="31"/>
  <c r="I1364" i="31"/>
  <c r="K1364" i="31"/>
  <c r="M1364" i="31"/>
  <c r="O1364" i="31"/>
  <c r="Q1364" i="31"/>
  <c r="R1364" i="31"/>
  <c r="S1364" i="31" s="1"/>
  <c r="C1365" i="31"/>
  <c r="I1365" i="31"/>
  <c r="K1365" i="31"/>
  <c r="M1365" i="31"/>
  <c r="O1365" i="31"/>
  <c r="Q1365" i="31"/>
  <c r="R1365" i="31"/>
  <c r="S1365" i="31" s="1"/>
  <c r="C1366" i="31"/>
  <c r="I1366" i="31"/>
  <c r="K1366" i="31"/>
  <c r="M1366" i="31"/>
  <c r="O1366" i="31"/>
  <c r="Q1366" i="31"/>
  <c r="R1366" i="31"/>
  <c r="S1366" i="31" s="1"/>
  <c r="C1367" i="31"/>
  <c r="I1367" i="31"/>
  <c r="K1367" i="31"/>
  <c r="M1367" i="31"/>
  <c r="O1367" i="31"/>
  <c r="Q1367" i="31"/>
  <c r="R1367" i="31"/>
  <c r="S1367" i="31" s="1"/>
  <c r="C1368" i="31"/>
  <c r="I1368" i="31"/>
  <c r="K1368" i="31"/>
  <c r="M1368" i="31"/>
  <c r="O1368" i="31"/>
  <c r="Q1368" i="31"/>
  <c r="R1368" i="31"/>
  <c r="S1368" i="31" s="1"/>
  <c r="C1369" i="31"/>
  <c r="I1369" i="31"/>
  <c r="K1369" i="31"/>
  <c r="M1369" i="31"/>
  <c r="O1369" i="31"/>
  <c r="Q1369" i="31"/>
  <c r="R1369" i="31"/>
  <c r="S1369" i="31" s="1"/>
  <c r="C1370" i="31"/>
  <c r="I1370" i="31"/>
  <c r="K1370" i="31"/>
  <c r="M1370" i="31"/>
  <c r="O1370" i="31"/>
  <c r="Q1370" i="31"/>
  <c r="R1370" i="31"/>
  <c r="S1370" i="31" s="1"/>
  <c r="C1371" i="31"/>
  <c r="I1371" i="31"/>
  <c r="K1371" i="31"/>
  <c r="M1371" i="31"/>
  <c r="O1371" i="31"/>
  <c r="Q1371" i="31"/>
  <c r="R1371" i="31"/>
  <c r="S1371" i="31" s="1"/>
  <c r="C1372" i="31"/>
  <c r="I1372" i="31"/>
  <c r="K1372" i="31"/>
  <c r="M1372" i="31"/>
  <c r="O1372" i="31"/>
  <c r="Q1372" i="31"/>
  <c r="R1372" i="31"/>
  <c r="S1372" i="31" s="1"/>
  <c r="C1373" i="31"/>
  <c r="I1373" i="31"/>
  <c r="K1373" i="31"/>
  <c r="M1373" i="31"/>
  <c r="O1373" i="31"/>
  <c r="Q1373" i="31"/>
  <c r="R1373" i="31"/>
  <c r="S1373" i="31" s="1"/>
  <c r="C1374" i="31"/>
  <c r="I1374" i="31"/>
  <c r="K1374" i="31"/>
  <c r="M1374" i="31"/>
  <c r="O1374" i="31"/>
  <c r="Q1374" i="31"/>
  <c r="R1374" i="31"/>
  <c r="S1374" i="31" s="1"/>
  <c r="C1375" i="31"/>
  <c r="I1375" i="31"/>
  <c r="K1375" i="31"/>
  <c r="M1375" i="31"/>
  <c r="O1375" i="31"/>
  <c r="Q1375" i="31"/>
  <c r="R1375" i="31"/>
  <c r="S1375" i="31" s="1"/>
  <c r="C1376" i="31"/>
  <c r="I1376" i="31"/>
  <c r="K1376" i="31"/>
  <c r="M1376" i="31"/>
  <c r="O1376" i="31"/>
  <c r="Q1376" i="31"/>
  <c r="R1376" i="31"/>
  <c r="S1376" i="31" s="1"/>
  <c r="C1377" i="31"/>
  <c r="I1377" i="31"/>
  <c r="K1377" i="31"/>
  <c r="M1377" i="31"/>
  <c r="O1377" i="31"/>
  <c r="Q1377" i="31"/>
  <c r="R1377" i="31"/>
  <c r="S1377" i="31" s="1"/>
  <c r="C1378" i="31"/>
  <c r="I1378" i="31"/>
  <c r="K1378" i="31"/>
  <c r="M1378" i="31"/>
  <c r="O1378" i="31"/>
  <c r="Q1378" i="31"/>
  <c r="R1378" i="31"/>
  <c r="S1378" i="31" s="1"/>
  <c r="C1379" i="31"/>
  <c r="I1379" i="31"/>
  <c r="K1379" i="31"/>
  <c r="M1379" i="31"/>
  <c r="O1379" i="31"/>
  <c r="Q1379" i="31"/>
  <c r="R1379" i="31"/>
  <c r="S1379" i="31" s="1"/>
  <c r="C1380" i="31"/>
  <c r="I1380" i="31"/>
  <c r="K1380" i="31"/>
  <c r="M1380" i="31"/>
  <c r="O1380" i="31"/>
  <c r="Q1380" i="31"/>
  <c r="R1380" i="31"/>
  <c r="S1380" i="31" s="1"/>
  <c r="C1381" i="31"/>
  <c r="I1381" i="31"/>
  <c r="K1381" i="31"/>
  <c r="M1381" i="31"/>
  <c r="O1381" i="31"/>
  <c r="Q1381" i="31"/>
  <c r="R1381" i="31"/>
  <c r="S1381" i="31" s="1"/>
  <c r="C1382" i="31"/>
  <c r="I1382" i="31"/>
  <c r="K1382" i="31"/>
  <c r="M1382" i="31"/>
  <c r="O1382" i="31"/>
  <c r="Q1382" i="31"/>
  <c r="R1382" i="31"/>
  <c r="S1382" i="31" s="1"/>
  <c r="C1383" i="31"/>
  <c r="I1383" i="31"/>
  <c r="K1383" i="31"/>
  <c r="M1383" i="31"/>
  <c r="O1383" i="31"/>
  <c r="Q1383" i="31"/>
  <c r="R1383" i="31"/>
  <c r="S1383" i="31" s="1"/>
  <c r="C1384" i="31"/>
  <c r="I1384" i="31"/>
  <c r="K1384" i="31"/>
  <c r="M1384" i="31"/>
  <c r="O1384" i="31"/>
  <c r="Q1384" i="31"/>
  <c r="R1384" i="31"/>
  <c r="S1384" i="31" s="1"/>
  <c r="C1385" i="31"/>
  <c r="I1385" i="31"/>
  <c r="K1385" i="31"/>
  <c r="M1385" i="31"/>
  <c r="O1385" i="31"/>
  <c r="Q1385" i="31"/>
  <c r="R1385" i="31"/>
  <c r="S1385" i="31" s="1"/>
  <c r="C1386" i="31"/>
  <c r="I1386" i="31"/>
  <c r="K1386" i="31"/>
  <c r="M1386" i="31"/>
  <c r="O1386" i="31"/>
  <c r="Q1386" i="31"/>
  <c r="R1386" i="31"/>
  <c r="S1386" i="31" s="1"/>
  <c r="C1387" i="31"/>
  <c r="I1387" i="31"/>
  <c r="K1387" i="31"/>
  <c r="M1387" i="31"/>
  <c r="O1387" i="31"/>
  <c r="Q1387" i="31"/>
  <c r="R1387" i="31"/>
  <c r="S1387" i="31" s="1"/>
  <c r="C1388" i="31"/>
  <c r="I1388" i="31"/>
  <c r="K1388" i="31"/>
  <c r="M1388" i="31"/>
  <c r="O1388" i="31"/>
  <c r="Q1388" i="31"/>
  <c r="R1388" i="31"/>
  <c r="S1388" i="31" s="1"/>
  <c r="C1389" i="31"/>
  <c r="I1389" i="31"/>
  <c r="K1389" i="31"/>
  <c r="M1389" i="31"/>
  <c r="O1389" i="31"/>
  <c r="Q1389" i="31"/>
  <c r="R1389" i="31"/>
  <c r="S1389" i="31" s="1"/>
  <c r="C1390" i="31"/>
  <c r="I1390" i="31"/>
  <c r="K1390" i="31"/>
  <c r="M1390" i="31"/>
  <c r="O1390" i="31"/>
  <c r="Q1390" i="31"/>
  <c r="R1390" i="31"/>
  <c r="S1390" i="31" s="1"/>
  <c r="C1391" i="31"/>
  <c r="I1391" i="31"/>
  <c r="K1391" i="31"/>
  <c r="M1391" i="31"/>
  <c r="O1391" i="31"/>
  <c r="Q1391" i="31"/>
  <c r="R1391" i="31"/>
  <c r="S1391" i="31" s="1"/>
  <c r="C1392" i="31"/>
  <c r="I1392" i="31"/>
  <c r="K1392" i="31"/>
  <c r="M1392" i="31"/>
  <c r="O1392" i="31"/>
  <c r="Q1392" i="31"/>
  <c r="R1392" i="31"/>
  <c r="S1392" i="31" s="1"/>
  <c r="C1393" i="31"/>
  <c r="I1393" i="31"/>
  <c r="K1393" i="31"/>
  <c r="M1393" i="31"/>
  <c r="O1393" i="31"/>
  <c r="Q1393" i="31"/>
  <c r="R1393" i="31"/>
  <c r="S1393" i="31" s="1"/>
  <c r="C1394" i="31"/>
  <c r="I1394" i="31"/>
  <c r="K1394" i="31"/>
  <c r="M1394" i="31"/>
  <c r="O1394" i="31"/>
  <c r="Q1394" i="31"/>
  <c r="R1394" i="31"/>
  <c r="S1394" i="31" s="1"/>
  <c r="C1395" i="31"/>
  <c r="I1395" i="31"/>
  <c r="K1395" i="31"/>
  <c r="M1395" i="31"/>
  <c r="O1395" i="31"/>
  <c r="Q1395" i="31"/>
  <c r="R1395" i="31"/>
  <c r="S1395" i="31" s="1"/>
  <c r="C1396" i="31"/>
  <c r="I1396" i="31"/>
  <c r="K1396" i="31"/>
  <c r="M1396" i="31"/>
  <c r="O1396" i="31"/>
  <c r="Q1396" i="31"/>
  <c r="R1396" i="31"/>
  <c r="S1396" i="31" s="1"/>
  <c r="C1397" i="31"/>
  <c r="I1397" i="31"/>
  <c r="K1397" i="31"/>
  <c r="M1397" i="31"/>
  <c r="O1397" i="31"/>
  <c r="Q1397" i="31"/>
  <c r="R1397" i="31"/>
  <c r="S1397" i="31" s="1"/>
  <c r="C1398" i="31"/>
  <c r="I1398" i="31"/>
  <c r="K1398" i="31"/>
  <c r="M1398" i="31"/>
  <c r="O1398" i="31"/>
  <c r="Q1398" i="31"/>
  <c r="R1398" i="31"/>
  <c r="S1398" i="31" s="1"/>
  <c r="C1399" i="31"/>
  <c r="I1399" i="31"/>
  <c r="K1399" i="31"/>
  <c r="M1399" i="31"/>
  <c r="O1399" i="31"/>
  <c r="Q1399" i="31"/>
  <c r="R1399" i="31"/>
  <c r="S1399" i="31" s="1"/>
  <c r="C1400" i="31"/>
  <c r="I1400" i="31"/>
  <c r="K1400" i="31"/>
  <c r="M1400" i="31"/>
  <c r="O1400" i="31"/>
  <c r="Q1400" i="31"/>
  <c r="R1400" i="31"/>
  <c r="S1400" i="31" s="1"/>
  <c r="C1401" i="31"/>
  <c r="I1401" i="31"/>
  <c r="K1401" i="31"/>
  <c r="M1401" i="31"/>
  <c r="O1401" i="31"/>
  <c r="Q1401" i="31"/>
  <c r="R1401" i="31"/>
  <c r="S1401" i="31" s="1"/>
  <c r="C1402" i="31"/>
  <c r="I1402" i="31"/>
  <c r="K1402" i="31"/>
  <c r="M1402" i="31"/>
  <c r="O1402" i="31"/>
  <c r="Q1402" i="31"/>
  <c r="R1402" i="31"/>
  <c r="S1402" i="31" s="1"/>
  <c r="C1403" i="31"/>
  <c r="I1403" i="31"/>
  <c r="K1403" i="31"/>
  <c r="M1403" i="31"/>
  <c r="O1403" i="31"/>
  <c r="Q1403" i="31"/>
  <c r="R1403" i="31"/>
  <c r="S1403" i="31" s="1"/>
  <c r="C1404" i="31"/>
  <c r="I1404" i="31"/>
  <c r="K1404" i="31"/>
  <c r="M1404" i="31"/>
  <c r="O1404" i="31"/>
  <c r="Q1404" i="31"/>
  <c r="R1404" i="31"/>
  <c r="S1404" i="31" s="1"/>
  <c r="C1405" i="31"/>
  <c r="I1405" i="31"/>
  <c r="K1405" i="31"/>
  <c r="M1405" i="31"/>
  <c r="O1405" i="31"/>
  <c r="Q1405" i="31"/>
  <c r="R1405" i="31"/>
  <c r="S1405" i="31" s="1"/>
  <c r="C1406" i="31"/>
  <c r="I1406" i="31"/>
  <c r="K1406" i="31"/>
  <c r="M1406" i="31"/>
  <c r="O1406" i="31"/>
  <c r="Q1406" i="31"/>
  <c r="R1406" i="31"/>
  <c r="S1406" i="31" s="1"/>
  <c r="C1407" i="31"/>
  <c r="I1407" i="31"/>
  <c r="K1407" i="31"/>
  <c r="M1407" i="31"/>
  <c r="O1407" i="31"/>
  <c r="Q1407" i="31"/>
  <c r="R1407" i="31"/>
  <c r="S1407" i="31" s="1"/>
  <c r="C1408" i="31"/>
  <c r="I1408" i="31"/>
  <c r="K1408" i="31"/>
  <c r="M1408" i="31"/>
  <c r="O1408" i="31"/>
  <c r="Q1408" i="31"/>
  <c r="R1408" i="31"/>
  <c r="S1408" i="31" s="1"/>
  <c r="C1409" i="31"/>
  <c r="I1409" i="31"/>
  <c r="K1409" i="31"/>
  <c r="M1409" i="31"/>
  <c r="O1409" i="31"/>
  <c r="Q1409" i="31"/>
  <c r="R1409" i="31"/>
  <c r="S1409" i="31" s="1"/>
  <c r="C1410" i="31"/>
  <c r="I1410" i="31"/>
  <c r="K1410" i="31"/>
  <c r="M1410" i="31"/>
  <c r="O1410" i="31"/>
  <c r="Q1410" i="31"/>
  <c r="R1410" i="31"/>
  <c r="S1410" i="31" s="1"/>
  <c r="C1411" i="31"/>
  <c r="I1411" i="31"/>
  <c r="K1411" i="31"/>
  <c r="M1411" i="31"/>
  <c r="O1411" i="31"/>
  <c r="Q1411" i="31"/>
  <c r="R1411" i="31"/>
  <c r="S1411" i="31" s="1"/>
  <c r="C1412" i="31"/>
  <c r="I1412" i="31"/>
  <c r="K1412" i="31"/>
  <c r="M1412" i="31"/>
  <c r="O1412" i="31"/>
  <c r="Q1412" i="31"/>
  <c r="R1412" i="31"/>
  <c r="S1412" i="31" s="1"/>
  <c r="C1413" i="31"/>
  <c r="I1413" i="31"/>
  <c r="K1413" i="31"/>
  <c r="M1413" i="31"/>
  <c r="O1413" i="31"/>
  <c r="Q1413" i="31"/>
  <c r="R1413" i="31"/>
  <c r="S1413" i="31" s="1"/>
  <c r="C1414" i="31"/>
  <c r="I1414" i="31"/>
  <c r="K1414" i="31"/>
  <c r="M1414" i="31"/>
  <c r="O1414" i="31"/>
  <c r="Q1414" i="31"/>
  <c r="R1414" i="31"/>
  <c r="S1414" i="31" s="1"/>
  <c r="C1415" i="31"/>
  <c r="I1415" i="31"/>
  <c r="K1415" i="31"/>
  <c r="M1415" i="31"/>
  <c r="O1415" i="31"/>
  <c r="Q1415" i="31"/>
  <c r="R1415" i="31"/>
  <c r="S1415" i="31" s="1"/>
  <c r="C1416" i="31"/>
  <c r="I1416" i="31"/>
  <c r="K1416" i="31"/>
  <c r="M1416" i="31"/>
  <c r="O1416" i="31"/>
  <c r="Q1416" i="31"/>
  <c r="R1416" i="31"/>
  <c r="S1416" i="31" s="1"/>
  <c r="C1417" i="31"/>
  <c r="I1417" i="31"/>
  <c r="K1417" i="31"/>
  <c r="M1417" i="31"/>
  <c r="O1417" i="31"/>
  <c r="Q1417" i="31"/>
  <c r="R1417" i="31"/>
  <c r="S1417" i="31" s="1"/>
  <c r="C1418" i="31"/>
  <c r="I1418" i="31"/>
  <c r="K1418" i="31"/>
  <c r="M1418" i="31"/>
  <c r="O1418" i="31"/>
  <c r="Q1418" i="31"/>
  <c r="R1418" i="31"/>
  <c r="S1418" i="31" s="1"/>
  <c r="C1419" i="31"/>
  <c r="I1419" i="31"/>
  <c r="K1419" i="31"/>
  <c r="M1419" i="31"/>
  <c r="O1419" i="31"/>
  <c r="Q1419" i="31"/>
  <c r="R1419" i="31"/>
  <c r="S1419" i="31" s="1"/>
  <c r="C1420" i="31"/>
  <c r="I1420" i="31"/>
  <c r="K1420" i="31"/>
  <c r="M1420" i="31"/>
  <c r="O1420" i="31"/>
  <c r="Q1420" i="31"/>
  <c r="R1420" i="31"/>
  <c r="S1420" i="31" s="1"/>
  <c r="C1421" i="31"/>
  <c r="I1421" i="31"/>
  <c r="K1421" i="31"/>
  <c r="M1421" i="31"/>
  <c r="O1421" i="31"/>
  <c r="Q1421" i="31"/>
  <c r="R1421" i="31"/>
  <c r="S1421" i="31" s="1"/>
  <c r="C1422" i="31"/>
  <c r="I1422" i="31"/>
  <c r="K1422" i="31"/>
  <c r="M1422" i="31"/>
  <c r="O1422" i="31"/>
  <c r="Q1422" i="31"/>
  <c r="R1422" i="31"/>
  <c r="S1422" i="31" s="1"/>
  <c r="C1423" i="31"/>
  <c r="I1423" i="31"/>
  <c r="K1423" i="31"/>
  <c r="M1423" i="31"/>
  <c r="O1423" i="31"/>
  <c r="Q1423" i="31"/>
  <c r="R1423" i="31"/>
  <c r="S1423" i="31" s="1"/>
  <c r="C1424" i="31"/>
  <c r="I1424" i="31"/>
  <c r="K1424" i="31"/>
  <c r="M1424" i="31"/>
  <c r="O1424" i="31"/>
  <c r="Q1424" i="31"/>
  <c r="R1424" i="31"/>
  <c r="S1424" i="31" s="1"/>
  <c r="C1425" i="31"/>
  <c r="I1425" i="31"/>
  <c r="K1425" i="31"/>
  <c r="M1425" i="31"/>
  <c r="O1425" i="31"/>
  <c r="Q1425" i="31"/>
  <c r="R1425" i="31"/>
  <c r="S1425" i="31" s="1"/>
  <c r="C1426" i="31"/>
  <c r="I1426" i="31"/>
  <c r="K1426" i="31"/>
  <c r="M1426" i="31"/>
  <c r="O1426" i="31"/>
  <c r="Q1426" i="31"/>
  <c r="R1426" i="31"/>
  <c r="S1426" i="31" s="1"/>
  <c r="C1427" i="31"/>
  <c r="I1427" i="31"/>
  <c r="K1427" i="31"/>
  <c r="M1427" i="31"/>
  <c r="O1427" i="31"/>
  <c r="Q1427" i="31"/>
  <c r="R1427" i="31"/>
  <c r="S1427" i="31" s="1"/>
  <c r="C1428" i="31"/>
  <c r="I1428" i="31"/>
  <c r="K1428" i="31"/>
  <c r="M1428" i="31"/>
  <c r="O1428" i="31"/>
  <c r="Q1428" i="31"/>
  <c r="R1428" i="31"/>
  <c r="S1428" i="31" s="1"/>
  <c r="C1429" i="31"/>
  <c r="I1429" i="31"/>
  <c r="K1429" i="31"/>
  <c r="M1429" i="31"/>
  <c r="O1429" i="31"/>
  <c r="Q1429" i="31"/>
  <c r="R1429" i="31"/>
  <c r="S1429" i="31" s="1"/>
  <c r="C1430" i="31"/>
  <c r="I1430" i="31"/>
  <c r="K1430" i="31"/>
  <c r="M1430" i="31"/>
  <c r="O1430" i="31"/>
  <c r="Q1430" i="31"/>
  <c r="R1430" i="31"/>
  <c r="S1430" i="31" s="1"/>
  <c r="C1431" i="31"/>
  <c r="I1431" i="31"/>
  <c r="K1431" i="31"/>
  <c r="M1431" i="31"/>
  <c r="O1431" i="31"/>
  <c r="Q1431" i="31"/>
  <c r="R1431" i="31"/>
  <c r="S1431" i="31" s="1"/>
  <c r="C1432" i="31"/>
  <c r="I1432" i="31"/>
  <c r="K1432" i="31"/>
  <c r="M1432" i="31"/>
  <c r="O1432" i="31"/>
  <c r="Q1432" i="31"/>
  <c r="R1432" i="31"/>
  <c r="S1432" i="31" s="1"/>
  <c r="C1433" i="31"/>
  <c r="I1433" i="31"/>
  <c r="K1433" i="31"/>
  <c r="M1433" i="31"/>
  <c r="O1433" i="31"/>
  <c r="Q1433" i="31"/>
  <c r="R1433" i="31"/>
  <c r="S1433" i="31" s="1"/>
  <c r="C1434" i="31"/>
  <c r="I1434" i="31"/>
  <c r="K1434" i="31"/>
  <c r="M1434" i="31"/>
  <c r="O1434" i="31"/>
  <c r="Q1434" i="31"/>
  <c r="R1434" i="31"/>
  <c r="S1434" i="31" s="1"/>
  <c r="C1435" i="31"/>
  <c r="I1435" i="31"/>
  <c r="K1435" i="31"/>
  <c r="M1435" i="31"/>
  <c r="O1435" i="31"/>
  <c r="Q1435" i="31"/>
  <c r="R1435" i="31"/>
  <c r="S1435" i="31" s="1"/>
  <c r="C1436" i="31"/>
  <c r="I1436" i="31"/>
  <c r="K1436" i="31"/>
  <c r="M1436" i="31"/>
  <c r="O1436" i="31"/>
  <c r="Q1436" i="31"/>
  <c r="R1436" i="31"/>
  <c r="S1436" i="31" s="1"/>
  <c r="C1437" i="31"/>
  <c r="I1437" i="31"/>
  <c r="K1437" i="31"/>
  <c r="M1437" i="31"/>
  <c r="O1437" i="31"/>
  <c r="Q1437" i="31"/>
  <c r="R1437" i="31"/>
  <c r="S1437" i="31" s="1"/>
  <c r="C1438" i="31"/>
  <c r="I1438" i="31"/>
  <c r="K1438" i="31"/>
  <c r="M1438" i="31"/>
  <c r="O1438" i="31"/>
  <c r="Q1438" i="31"/>
  <c r="R1438" i="31"/>
  <c r="S1438" i="31" s="1"/>
  <c r="C1439" i="31"/>
  <c r="I1439" i="31"/>
  <c r="K1439" i="31"/>
  <c r="M1439" i="31"/>
  <c r="O1439" i="31"/>
  <c r="Q1439" i="31"/>
  <c r="R1439" i="31"/>
  <c r="S1439" i="31" s="1"/>
  <c r="C1440" i="31"/>
  <c r="I1440" i="31"/>
  <c r="K1440" i="31"/>
  <c r="M1440" i="31"/>
  <c r="O1440" i="31"/>
  <c r="Q1440" i="31"/>
  <c r="R1440" i="31"/>
  <c r="S1440" i="31" s="1"/>
  <c r="C1441" i="31"/>
  <c r="I1441" i="31"/>
  <c r="K1441" i="31"/>
  <c r="M1441" i="31"/>
  <c r="O1441" i="31"/>
  <c r="Q1441" i="31"/>
  <c r="R1441" i="31"/>
  <c r="S1441" i="31" s="1"/>
  <c r="C1442" i="31"/>
  <c r="I1442" i="31"/>
  <c r="K1442" i="31"/>
  <c r="M1442" i="31"/>
  <c r="O1442" i="31"/>
  <c r="Q1442" i="31"/>
  <c r="R1442" i="31"/>
  <c r="S1442" i="31" s="1"/>
  <c r="C1443" i="31"/>
  <c r="I1443" i="31"/>
  <c r="K1443" i="31"/>
  <c r="M1443" i="31"/>
  <c r="O1443" i="31"/>
  <c r="Q1443" i="31"/>
  <c r="R1443" i="31"/>
  <c r="S1443" i="31" s="1"/>
  <c r="C1444" i="31"/>
  <c r="I1444" i="31"/>
  <c r="K1444" i="31"/>
  <c r="M1444" i="31"/>
  <c r="O1444" i="31"/>
  <c r="Q1444" i="31"/>
  <c r="R1444" i="31"/>
  <c r="S1444" i="31" s="1"/>
  <c r="C1445" i="31"/>
  <c r="I1445" i="31"/>
  <c r="K1445" i="31"/>
  <c r="M1445" i="31"/>
  <c r="O1445" i="31"/>
  <c r="Q1445" i="31"/>
  <c r="R1445" i="31"/>
  <c r="S1445" i="31" s="1"/>
  <c r="C1446" i="31"/>
  <c r="I1446" i="31"/>
  <c r="K1446" i="31"/>
  <c r="M1446" i="31"/>
  <c r="O1446" i="31"/>
  <c r="Q1446" i="31"/>
  <c r="R1446" i="31"/>
  <c r="S1446" i="31" s="1"/>
  <c r="C1447" i="31"/>
  <c r="I1447" i="31"/>
  <c r="K1447" i="31"/>
  <c r="M1447" i="31"/>
  <c r="O1447" i="31"/>
  <c r="Q1447" i="31"/>
  <c r="R1447" i="31"/>
  <c r="S1447" i="31" s="1"/>
  <c r="C1448" i="31"/>
  <c r="I1448" i="31"/>
  <c r="K1448" i="31"/>
  <c r="M1448" i="31"/>
  <c r="O1448" i="31"/>
  <c r="Q1448" i="31"/>
  <c r="R1448" i="31"/>
  <c r="S1448" i="31" s="1"/>
  <c r="C1449" i="31"/>
  <c r="I1449" i="31"/>
  <c r="K1449" i="31"/>
  <c r="M1449" i="31"/>
  <c r="O1449" i="31"/>
  <c r="Q1449" i="31"/>
  <c r="R1449" i="31"/>
  <c r="S1449" i="31" s="1"/>
  <c r="C1450" i="31"/>
  <c r="I1450" i="31"/>
  <c r="K1450" i="31"/>
  <c r="M1450" i="31"/>
  <c r="O1450" i="31"/>
  <c r="Q1450" i="31"/>
  <c r="R1450" i="31"/>
  <c r="S1450" i="31" s="1"/>
  <c r="C1451" i="31"/>
  <c r="I1451" i="31"/>
  <c r="K1451" i="31"/>
  <c r="M1451" i="31"/>
  <c r="O1451" i="31"/>
  <c r="Q1451" i="31"/>
  <c r="R1451" i="31"/>
  <c r="S1451" i="31" s="1"/>
  <c r="C1452" i="31"/>
  <c r="I1452" i="31"/>
  <c r="K1452" i="31"/>
  <c r="M1452" i="31"/>
  <c r="O1452" i="31"/>
  <c r="Q1452" i="31"/>
  <c r="R1452" i="31"/>
  <c r="S1452" i="31" s="1"/>
  <c r="C1453" i="31"/>
  <c r="I1453" i="31"/>
  <c r="K1453" i="31"/>
  <c r="M1453" i="31"/>
  <c r="O1453" i="31"/>
  <c r="Q1453" i="31"/>
  <c r="R1453" i="31"/>
  <c r="S1453" i="31" s="1"/>
  <c r="C1454" i="31"/>
  <c r="I1454" i="31"/>
  <c r="K1454" i="31"/>
  <c r="M1454" i="31"/>
  <c r="O1454" i="31"/>
  <c r="Q1454" i="31"/>
  <c r="R1454" i="31"/>
  <c r="S1454" i="31" s="1"/>
  <c r="C1455" i="31"/>
  <c r="I1455" i="31"/>
  <c r="K1455" i="31"/>
  <c r="M1455" i="31"/>
  <c r="O1455" i="31"/>
  <c r="Q1455" i="31"/>
  <c r="R1455" i="31"/>
  <c r="S1455" i="31" s="1"/>
  <c r="C1456" i="31"/>
  <c r="I1456" i="31"/>
  <c r="K1456" i="31"/>
  <c r="M1456" i="31"/>
  <c r="O1456" i="31"/>
  <c r="Q1456" i="31"/>
  <c r="R1456" i="31"/>
  <c r="S1456" i="31" s="1"/>
  <c r="C1457" i="31"/>
  <c r="I1457" i="31"/>
  <c r="K1457" i="31"/>
  <c r="M1457" i="31"/>
  <c r="O1457" i="31"/>
  <c r="Q1457" i="31"/>
  <c r="R1457" i="31"/>
  <c r="S1457" i="31" s="1"/>
  <c r="C1458" i="31"/>
  <c r="I1458" i="31"/>
  <c r="K1458" i="31"/>
  <c r="M1458" i="31"/>
  <c r="O1458" i="31"/>
  <c r="Q1458" i="31"/>
  <c r="R1458" i="31"/>
  <c r="S1458" i="31" s="1"/>
  <c r="C1459" i="31"/>
  <c r="I1459" i="31"/>
  <c r="K1459" i="31"/>
  <c r="M1459" i="31"/>
  <c r="O1459" i="31"/>
  <c r="Q1459" i="31"/>
  <c r="R1459" i="31"/>
  <c r="S1459" i="31" s="1"/>
  <c r="C1460" i="31"/>
  <c r="I1460" i="31"/>
  <c r="K1460" i="31"/>
  <c r="M1460" i="31"/>
  <c r="O1460" i="31"/>
  <c r="Q1460" i="31"/>
  <c r="R1460" i="31"/>
  <c r="S1460" i="31" s="1"/>
  <c r="C1461" i="31"/>
  <c r="I1461" i="31"/>
  <c r="K1461" i="31"/>
  <c r="M1461" i="31"/>
  <c r="O1461" i="31"/>
  <c r="Q1461" i="31"/>
  <c r="R1461" i="31"/>
  <c r="S1461" i="31" s="1"/>
  <c r="C1462" i="31"/>
  <c r="I1462" i="31"/>
  <c r="K1462" i="31"/>
  <c r="M1462" i="31"/>
  <c r="O1462" i="31"/>
  <c r="Q1462" i="31"/>
  <c r="R1462" i="31"/>
  <c r="S1462" i="31" s="1"/>
  <c r="C1463" i="31"/>
  <c r="I1463" i="31"/>
  <c r="K1463" i="31"/>
  <c r="M1463" i="31"/>
  <c r="O1463" i="31"/>
  <c r="Q1463" i="31"/>
  <c r="R1463" i="31"/>
  <c r="S1463" i="31" s="1"/>
  <c r="C1464" i="31"/>
  <c r="I1464" i="31"/>
  <c r="K1464" i="31"/>
  <c r="M1464" i="31"/>
  <c r="O1464" i="31"/>
  <c r="Q1464" i="31"/>
  <c r="R1464" i="31"/>
  <c r="S1464" i="31" s="1"/>
  <c r="C1465" i="31"/>
  <c r="I1465" i="31"/>
  <c r="K1465" i="31"/>
  <c r="M1465" i="31"/>
  <c r="O1465" i="31"/>
  <c r="Q1465" i="31"/>
  <c r="R1465" i="31"/>
  <c r="S1465" i="31" s="1"/>
  <c r="C1466" i="31"/>
  <c r="I1466" i="31"/>
  <c r="K1466" i="31"/>
  <c r="M1466" i="31"/>
  <c r="O1466" i="31"/>
  <c r="Q1466" i="31"/>
  <c r="R1466" i="31"/>
  <c r="S1466" i="31" s="1"/>
  <c r="C1467" i="31"/>
  <c r="I1467" i="31"/>
  <c r="K1467" i="31"/>
  <c r="M1467" i="31"/>
  <c r="O1467" i="31"/>
  <c r="Q1467" i="31"/>
  <c r="R1467" i="31"/>
  <c r="S1467" i="31" s="1"/>
  <c r="C1468" i="31"/>
  <c r="I1468" i="31"/>
  <c r="K1468" i="31"/>
  <c r="M1468" i="31"/>
  <c r="O1468" i="31"/>
  <c r="Q1468" i="31"/>
  <c r="R1468" i="31"/>
  <c r="S1468" i="31" s="1"/>
  <c r="C1469" i="31"/>
  <c r="I1469" i="31"/>
  <c r="K1469" i="31"/>
  <c r="M1469" i="31"/>
  <c r="O1469" i="31"/>
  <c r="Q1469" i="31"/>
  <c r="R1469" i="31"/>
  <c r="S1469" i="31" s="1"/>
  <c r="C1470" i="31"/>
  <c r="I1470" i="31"/>
  <c r="K1470" i="31"/>
  <c r="M1470" i="31"/>
  <c r="O1470" i="31"/>
  <c r="Q1470" i="31"/>
  <c r="R1470" i="31"/>
  <c r="S1470" i="31" s="1"/>
  <c r="C1471" i="31"/>
  <c r="I1471" i="31"/>
  <c r="K1471" i="31"/>
  <c r="M1471" i="31"/>
  <c r="O1471" i="31"/>
  <c r="Q1471" i="31"/>
  <c r="R1471" i="31"/>
  <c r="S1471" i="31" s="1"/>
  <c r="C1472" i="31"/>
  <c r="I1472" i="31"/>
  <c r="K1472" i="31"/>
  <c r="M1472" i="31"/>
  <c r="O1472" i="31"/>
  <c r="Q1472" i="31"/>
  <c r="R1472" i="31"/>
  <c r="S1472" i="31" s="1"/>
  <c r="C1473" i="31"/>
  <c r="I1473" i="31"/>
  <c r="K1473" i="31"/>
  <c r="M1473" i="31"/>
  <c r="O1473" i="31"/>
  <c r="Q1473" i="31"/>
  <c r="R1473" i="31"/>
  <c r="S1473" i="31" s="1"/>
  <c r="C1474" i="31"/>
  <c r="I1474" i="31"/>
  <c r="K1474" i="31"/>
  <c r="M1474" i="31"/>
  <c r="O1474" i="31"/>
  <c r="Q1474" i="31"/>
  <c r="R1474" i="31"/>
  <c r="S1474" i="31" s="1"/>
  <c r="C1475" i="31"/>
  <c r="I1475" i="31"/>
  <c r="K1475" i="31"/>
  <c r="M1475" i="31"/>
  <c r="O1475" i="31"/>
  <c r="Q1475" i="31"/>
  <c r="R1475" i="31"/>
  <c r="S1475" i="31" s="1"/>
  <c r="C1476" i="31"/>
  <c r="I1476" i="31"/>
  <c r="K1476" i="31"/>
  <c r="M1476" i="31"/>
  <c r="O1476" i="31"/>
  <c r="Q1476" i="31"/>
  <c r="R1476" i="31"/>
  <c r="S1476" i="31" s="1"/>
  <c r="C1477" i="31"/>
  <c r="I1477" i="31"/>
  <c r="K1477" i="31"/>
  <c r="M1477" i="31"/>
  <c r="O1477" i="31"/>
  <c r="Q1477" i="31"/>
  <c r="R1477" i="31"/>
  <c r="S1477" i="31" s="1"/>
  <c r="C1478" i="31"/>
  <c r="I1478" i="31"/>
  <c r="K1478" i="31"/>
  <c r="M1478" i="31"/>
  <c r="O1478" i="31"/>
  <c r="Q1478" i="31"/>
  <c r="R1478" i="31"/>
  <c r="S1478" i="31" s="1"/>
  <c r="C1479" i="31"/>
  <c r="I1479" i="31"/>
  <c r="K1479" i="31"/>
  <c r="M1479" i="31"/>
  <c r="O1479" i="31"/>
  <c r="Q1479" i="31"/>
  <c r="R1479" i="31"/>
  <c r="S1479" i="31" s="1"/>
  <c r="C1480" i="31"/>
  <c r="I1480" i="31"/>
  <c r="K1480" i="31"/>
  <c r="M1480" i="31"/>
  <c r="O1480" i="31"/>
  <c r="Q1480" i="31"/>
  <c r="R1480" i="31"/>
  <c r="S1480" i="31" s="1"/>
  <c r="C1481" i="31"/>
  <c r="I1481" i="31"/>
  <c r="K1481" i="31"/>
  <c r="M1481" i="31"/>
  <c r="O1481" i="31"/>
  <c r="Q1481" i="31"/>
  <c r="R1481" i="31"/>
  <c r="S1481" i="31" s="1"/>
  <c r="C1482" i="31"/>
  <c r="I1482" i="31"/>
  <c r="K1482" i="31"/>
  <c r="M1482" i="31"/>
  <c r="O1482" i="31"/>
  <c r="Q1482" i="31"/>
  <c r="R1482" i="31"/>
  <c r="S1482" i="31" s="1"/>
  <c r="C1483" i="31"/>
  <c r="I1483" i="31"/>
  <c r="K1483" i="31"/>
  <c r="M1483" i="31"/>
  <c r="O1483" i="31"/>
  <c r="Q1483" i="31"/>
  <c r="R1483" i="31"/>
  <c r="S1483" i="31" s="1"/>
  <c r="C1484" i="31"/>
  <c r="I1484" i="31"/>
  <c r="K1484" i="31"/>
  <c r="M1484" i="31"/>
  <c r="O1484" i="31"/>
  <c r="Q1484" i="31"/>
  <c r="R1484" i="31"/>
  <c r="S1484" i="31" s="1"/>
  <c r="C1485" i="31"/>
  <c r="I1485" i="31"/>
  <c r="K1485" i="31"/>
  <c r="M1485" i="31"/>
  <c r="O1485" i="31"/>
  <c r="Q1485" i="31"/>
  <c r="R1485" i="31"/>
  <c r="S1485" i="31" s="1"/>
  <c r="C1486" i="31"/>
  <c r="I1486" i="31"/>
  <c r="K1486" i="31"/>
  <c r="M1486" i="31"/>
  <c r="O1486" i="31"/>
  <c r="Q1486" i="31"/>
  <c r="R1486" i="31"/>
  <c r="S1486" i="31" s="1"/>
  <c r="C1487" i="31"/>
  <c r="I1487" i="31"/>
  <c r="K1487" i="31"/>
  <c r="M1487" i="31"/>
  <c r="O1487" i="31"/>
  <c r="Q1487" i="31"/>
  <c r="R1487" i="31"/>
  <c r="S1487" i="31" s="1"/>
  <c r="C1488" i="31"/>
  <c r="I1488" i="31"/>
  <c r="K1488" i="31"/>
  <c r="M1488" i="31"/>
  <c r="O1488" i="31"/>
  <c r="Q1488" i="31"/>
  <c r="R1488" i="31"/>
  <c r="S1488" i="31" s="1"/>
  <c r="C1489" i="31"/>
  <c r="I1489" i="31"/>
  <c r="K1489" i="31"/>
  <c r="M1489" i="31"/>
  <c r="O1489" i="31"/>
  <c r="Q1489" i="31"/>
  <c r="R1489" i="31"/>
  <c r="S1489" i="31" s="1"/>
  <c r="C1490" i="31"/>
  <c r="I1490" i="31"/>
  <c r="K1490" i="31"/>
  <c r="M1490" i="31"/>
  <c r="O1490" i="31"/>
  <c r="Q1490" i="31"/>
  <c r="R1490" i="31"/>
  <c r="S1490" i="31" s="1"/>
  <c r="C1491" i="31"/>
  <c r="I1491" i="31"/>
  <c r="K1491" i="31"/>
  <c r="M1491" i="31"/>
  <c r="O1491" i="31"/>
  <c r="Q1491" i="31"/>
  <c r="R1491" i="31"/>
  <c r="S1491" i="31" s="1"/>
  <c r="C1492" i="31"/>
  <c r="I1492" i="31"/>
  <c r="K1492" i="31"/>
  <c r="M1492" i="31"/>
  <c r="O1492" i="31"/>
  <c r="Q1492" i="31"/>
  <c r="R1492" i="31"/>
  <c r="S1492" i="31" s="1"/>
  <c r="C1493" i="31"/>
  <c r="I1493" i="31"/>
  <c r="K1493" i="31"/>
  <c r="M1493" i="31"/>
  <c r="O1493" i="31"/>
  <c r="Q1493" i="31"/>
  <c r="R1493" i="31"/>
  <c r="S1493" i="31" s="1"/>
  <c r="C1494" i="31"/>
  <c r="I1494" i="31"/>
  <c r="K1494" i="31"/>
  <c r="M1494" i="31"/>
  <c r="O1494" i="31"/>
  <c r="Q1494" i="31"/>
  <c r="R1494" i="31"/>
  <c r="S1494" i="31" s="1"/>
  <c r="C1495" i="31"/>
  <c r="I1495" i="31"/>
  <c r="K1495" i="31"/>
  <c r="M1495" i="31"/>
  <c r="O1495" i="31"/>
  <c r="Q1495" i="31"/>
  <c r="R1495" i="31"/>
  <c r="S1495" i="31" s="1"/>
  <c r="C1496" i="31"/>
  <c r="I1496" i="31"/>
  <c r="K1496" i="31"/>
  <c r="M1496" i="31"/>
  <c r="O1496" i="31"/>
  <c r="Q1496" i="31"/>
  <c r="R1496" i="31"/>
  <c r="S1496" i="31" s="1"/>
  <c r="C1497" i="31"/>
  <c r="I1497" i="31"/>
  <c r="K1497" i="31"/>
  <c r="M1497" i="31"/>
  <c r="O1497" i="31"/>
  <c r="Q1497" i="31"/>
  <c r="R1497" i="31"/>
  <c r="S1497" i="31" s="1"/>
  <c r="C1498" i="31"/>
  <c r="I1498" i="31"/>
  <c r="K1498" i="31"/>
  <c r="M1498" i="31"/>
  <c r="O1498" i="31"/>
  <c r="Q1498" i="31"/>
  <c r="R1498" i="31"/>
  <c r="S1498" i="31" s="1"/>
  <c r="C1499" i="31"/>
  <c r="I1499" i="31"/>
  <c r="K1499" i="31"/>
  <c r="M1499" i="31"/>
  <c r="O1499" i="31"/>
  <c r="Q1499" i="31"/>
  <c r="R1499" i="31"/>
  <c r="S1499" i="31" s="1"/>
  <c r="C1500" i="31"/>
  <c r="I1500" i="31"/>
  <c r="K1500" i="31"/>
  <c r="M1500" i="31"/>
  <c r="O1500" i="31"/>
  <c r="Q1500" i="31"/>
  <c r="R1500" i="31"/>
  <c r="S1500" i="31" s="1"/>
  <c r="C1501" i="31"/>
  <c r="I1501" i="31"/>
  <c r="K1501" i="31"/>
  <c r="M1501" i="31"/>
  <c r="O1501" i="31"/>
  <c r="Q1501" i="31"/>
  <c r="R1501" i="31"/>
  <c r="S1501" i="31" s="1"/>
  <c r="C1502" i="31"/>
  <c r="I1502" i="31"/>
  <c r="K1502" i="31"/>
  <c r="M1502" i="31"/>
  <c r="O1502" i="31"/>
  <c r="Q1502" i="31"/>
  <c r="R1502" i="31"/>
  <c r="S1502" i="31" s="1"/>
  <c r="C1503" i="31"/>
  <c r="I1503" i="31"/>
  <c r="K1503" i="31"/>
  <c r="M1503" i="31"/>
  <c r="O1503" i="31"/>
  <c r="Q1503" i="31"/>
  <c r="R1503" i="31"/>
  <c r="S1503" i="31" s="1"/>
  <c r="C1504" i="31"/>
  <c r="I1504" i="31"/>
  <c r="K1504" i="31"/>
  <c r="M1504" i="31"/>
  <c r="O1504" i="31"/>
  <c r="Q1504" i="31"/>
  <c r="R1504" i="31"/>
  <c r="S1504" i="31" s="1"/>
  <c r="C1505" i="31"/>
  <c r="I1505" i="31"/>
  <c r="K1505" i="31"/>
  <c r="M1505" i="31"/>
  <c r="O1505" i="31"/>
  <c r="Q1505" i="31"/>
  <c r="R1505" i="31"/>
  <c r="S1505" i="31" s="1"/>
  <c r="C1506" i="31"/>
  <c r="I1506" i="31"/>
  <c r="K1506" i="31"/>
  <c r="M1506" i="31"/>
  <c r="O1506" i="31"/>
  <c r="Q1506" i="31"/>
  <c r="R1506" i="31"/>
  <c r="S1506" i="31" s="1"/>
  <c r="C1507" i="31"/>
  <c r="I1507" i="31"/>
  <c r="K1507" i="31"/>
  <c r="M1507" i="31"/>
  <c r="O1507" i="31"/>
  <c r="Q1507" i="31"/>
  <c r="R1507" i="31"/>
  <c r="S1507" i="31" s="1"/>
  <c r="C1508" i="31"/>
  <c r="I1508" i="31"/>
  <c r="K1508" i="31"/>
  <c r="M1508" i="31"/>
  <c r="O1508" i="31"/>
  <c r="Q1508" i="31"/>
  <c r="R1508" i="31"/>
  <c r="S1508" i="31" s="1"/>
  <c r="C1509" i="31"/>
  <c r="I1509" i="31"/>
  <c r="K1509" i="31"/>
  <c r="M1509" i="31"/>
  <c r="O1509" i="31"/>
  <c r="Q1509" i="31"/>
  <c r="R1509" i="31"/>
  <c r="S1509" i="31" s="1"/>
  <c r="C1510" i="31"/>
  <c r="I1510" i="31"/>
  <c r="K1510" i="31"/>
  <c r="M1510" i="31"/>
  <c r="O1510" i="31"/>
  <c r="Q1510" i="31"/>
  <c r="R1510" i="31"/>
  <c r="S1510" i="31" s="1"/>
  <c r="C1511" i="31"/>
  <c r="I1511" i="31"/>
  <c r="K1511" i="31"/>
  <c r="M1511" i="31"/>
  <c r="O1511" i="31"/>
  <c r="Q1511" i="31"/>
  <c r="R1511" i="31"/>
  <c r="S1511" i="31" s="1"/>
  <c r="C1512" i="31"/>
  <c r="I1512" i="31"/>
  <c r="K1512" i="31"/>
  <c r="M1512" i="31"/>
  <c r="O1512" i="31"/>
  <c r="Q1512" i="31"/>
  <c r="R1512" i="31"/>
  <c r="S1512" i="31" s="1"/>
  <c r="C1513" i="31"/>
  <c r="I1513" i="31"/>
  <c r="K1513" i="31"/>
  <c r="M1513" i="31"/>
  <c r="O1513" i="31"/>
  <c r="Q1513" i="31"/>
  <c r="R1513" i="31"/>
  <c r="S1513" i="31" s="1"/>
  <c r="C1514" i="31"/>
  <c r="I1514" i="31"/>
  <c r="K1514" i="31"/>
  <c r="M1514" i="31"/>
  <c r="O1514" i="31"/>
  <c r="Q1514" i="31"/>
  <c r="R1514" i="31"/>
  <c r="S1514" i="31" s="1"/>
  <c r="C1515" i="31"/>
  <c r="I1515" i="31"/>
  <c r="K1515" i="31"/>
  <c r="M1515" i="31"/>
  <c r="O1515" i="31"/>
  <c r="Q1515" i="31"/>
  <c r="R1515" i="31"/>
  <c r="S1515" i="31" s="1"/>
  <c r="C1516" i="31"/>
  <c r="I1516" i="31"/>
  <c r="K1516" i="31"/>
  <c r="M1516" i="31"/>
  <c r="O1516" i="31"/>
  <c r="Q1516" i="31"/>
  <c r="R1516" i="31"/>
  <c r="S1516" i="31" s="1"/>
  <c r="C1517" i="31"/>
  <c r="I1517" i="31"/>
  <c r="K1517" i="31"/>
  <c r="M1517" i="31"/>
  <c r="O1517" i="31"/>
  <c r="Q1517" i="31"/>
  <c r="R1517" i="31"/>
  <c r="S1517" i="31" s="1"/>
  <c r="C1518" i="31"/>
  <c r="I1518" i="31"/>
  <c r="K1518" i="31"/>
  <c r="M1518" i="31"/>
  <c r="O1518" i="31"/>
  <c r="Q1518" i="31"/>
  <c r="R1518" i="31"/>
  <c r="S1518" i="31" s="1"/>
  <c r="C1519" i="31"/>
  <c r="I1519" i="31"/>
  <c r="K1519" i="31"/>
  <c r="M1519" i="31"/>
  <c r="O1519" i="31"/>
  <c r="Q1519" i="31"/>
  <c r="R1519" i="31"/>
  <c r="S1519" i="31" s="1"/>
  <c r="C1520" i="31"/>
  <c r="I1520" i="31"/>
  <c r="K1520" i="31"/>
  <c r="M1520" i="31"/>
  <c r="O1520" i="31"/>
  <c r="Q1520" i="31"/>
  <c r="R1520" i="31"/>
  <c r="S1520" i="31" s="1"/>
  <c r="C1521" i="31"/>
  <c r="I1521" i="31"/>
  <c r="K1521" i="31"/>
  <c r="M1521" i="31"/>
  <c r="O1521" i="31"/>
  <c r="Q1521" i="31"/>
  <c r="R1521" i="31"/>
  <c r="S1521" i="31" s="1"/>
  <c r="C1522" i="31"/>
  <c r="I1522" i="31"/>
  <c r="K1522" i="31"/>
  <c r="M1522" i="31"/>
  <c r="O1522" i="31"/>
  <c r="Q1522" i="31"/>
  <c r="R1522" i="31"/>
  <c r="S1522" i="31" s="1"/>
  <c r="C1523" i="31"/>
  <c r="I1523" i="31"/>
  <c r="K1523" i="31"/>
  <c r="M1523" i="31"/>
  <c r="O1523" i="31"/>
  <c r="Q1523" i="31"/>
  <c r="R1523" i="31"/>
  <c r="S1523" i="31" s="1"/>
  <c r="C1524" i="31"/>
  <c r="I1524" i="31"/>
  <c r="K1524" i="31"/>
  <c r="M1524" i="31"/>
  <c r="O1524" i="31"/>
  <c r="Q1524" i="31"/>
  <c r="R1524" i="31"/>
  <c r="S1524" i="31" s="1"/>
  <c r="C1525" i="31"/>
  <c r="I1525" i="31"/>
  <c r="K1525" i="31"/>
  <c r="M1525" i="31"/>
  <c r="O1525" i="31"/>
  <c r="Q1525" i="31"/>
  <c r="R1525" i="31"/>
  <c r="S1525" i="31" s="1"/>
  <c r="C1526" i="31"/>
  <c r="I1526" i="31"/>
  <c r="K1526" i="31"/>
  <c r="M1526" i="31"/>
  <c r="O1526" i="31"/>
  <c r="Q1526" i="31"/>
  <c r="R1526" i="31"/>
  <c r="S1526" i="31" s="1"/>
  <c r="C1527" i="31"/>
  <c r="I1527" i="31"/>
  <c r="K1527" i="31"/>
  <c r="M1527" i="31"/>
  <c r="O1527" i="31"/>
  <c r="Q1527" i="31"/>
  <c r="R1527" i="31"/>
  <c r="S1527" i="31" s="1"/>
  <c r="C1528" i="31"/>
  <c r="I1528" i="31"/>
  <c r="K1528" i="31"/>
  <c r="M1528" i="31"/>
  <c r="O1528" i="31"/>
  <c r="Q1528" i="31"/>
  <c r="R1528" i="31"/>
  <c r="S1528" i="31" s="1"/>
  <c r="C1529" i="31"/>
  <c r="I1529" i="31"/>
  <c r="K1529" i="31"/>
  <c r="M1529" i="31"/>
  <c r="O1529" i="31"/>
  <c r="Q1529" i="31"/>
  <c r="R1529" i="31"/>
  <c r="S1529" i="31" s="1"/>
  <c r="C1530" i="31"/>
  <c r="I1530" i="31"/>
  <c r="K1530" i="31"/>
  <c r="M1530" i="31"/>
  <c r="O1530" i="31"/>
  <c r="Q1530" i="31"/>
  <c r="R1530" i="31"/>
  <c r="S1530" i="31" s="1"/>
  <c r="C1531" i="31"/>
  <c r="I1531" i="31"/>
  <c r="K1531" i="31"/>
  <c r="M1531" i="31"/>
  <c r="O1531" i="31"/>
  <c r="Q1531" i="31"/>
  <c r="R1531" i="31"/>
  <c r="S1531" i="31" s="1"/>
  <c r="C1532" i="31"/>
  <c r="I1532" i="31"/>
  <c r="K1532" i="31"/>
  <c r="M1532" i="31"/>
  <c r="O1532" i="31"/>
  <c r="Q1532" i="31"/>
  <c r="R1532" i="31"/>
  <c r="S1532" i="31" s="1"/>
  <c r="C1533" i="31"/>
  <c r="I1533" i="31"/>
  <c r="K1533" i="31"/>
  <c r="M1533" i="31"/>
  <c r="O1533" i="31"/>
  <c r="Q1533" i="31"/>
  <c r="R1533" i="31"/>
  <c r="S1533" i="31" s="1"/>
  <c r="C1534" i="31"/>
  <c r="I1534" i="31"/>
  <c r="K1534" i="31"/>
  <c r="M1534" i="31"/>
  <c r="O1534" i="31"/>
  <c r="Q1534" i="31"/>
  <c r="R1534" i="31"/>
  <c r="S1534" i="31" s="1"/>
  <c r="C1535" i="31"/>
  <c r="I1535" i="31"/>
  <c r="K1535" i="31"/>
  <c r="M1535" i="31"/>
  <c r="O1535" i="31"/>
  <c r="Q1535" i="31"/>
  <c r="R1535" i="31"/>
  <c r="S1535" i="31" s="1"/>
  <c r="C1536" i="31"/>
  <c r="I1536" i="31"/>
  <c r="K1536" i="31"/>
  <c r="M1536" i="31"/>
  <c r="O1536" i="31"/>
  <c r="Q1536" i="31"/>
  <c r="R1536" i="31"/>
  <c r="S1536" i="31" s="1"/>
  <c r="C1537" i="31"/>
  <c r="I1537" i="31"/>
  <c r="K1537" i="31"/>
  <c r="M1537" i="31"/>
  <c r="O1537" i="31"/>
  <c r="Q1537" i="31"/>
  <c r="R1537" i="31"/>
  <c r="S1537" i="31" s="1"/>
  <c r="C1538" i="31"/>
  <c r="I1538" i="31"/>
  <c r="K1538" i="31"/>
  <c r="M1538" i="31"/>
  <c r="O1538" i="31"/>
  <c r="Q1538" i="31"/>
  <c r="R1538" i="31"/>
  <c r="S1538" i="31" s="1"/>
  <c r="C1539" i="31"/>
  <c r="I1539" i="31"/>
  <c r="K1539" i="31"/>
  <c r="M1539" i="31"/>
  <c r="O1539" i="31"/>
  <c r="Q1539" i="31"/>
  <c r="R1539" i="31"/>
  <c r="S1539" i="31" s="1"/>
  <c r="C1540" i="31"/>
  <c r="I1540" i="31"/>
  <c r="K1540" i="31"/>
  <c r="M1540" i="31"/>
  <c r="O1540" i="31"/>
  <c r="Q1540" i="31"/>
  <c r="R1540" i="31"/>
  <c r="S1540" i="31" s="1"/>
  <c r="C1541" i="31"/>
  <c r="I1541" i="31"/>
  <c r="K1541" i="31"/>
  <c r="M1541" i="31"/>
  <c r="O1541" i="31"/>
  <c r="Q1541" i="31"/>
  <c r="R1541" i="31"/>
  <c r="S1541" i="31" s="1"/>
  <c r="C1542" i="31"/>
  <c r="I1542" i="31"/>
  <c r="K1542" i="31"/>
  <c r="M1542" i="31"/>
  <c r="O1542" i="31"/>
  <c r="Q1542" i="31"/>
  <c r="R1542" i="31"/>
  <c r="S1542" i="31" s="1"/>
  <c r="C1543" i="31"/>
  <c r="I1543" i="31"/>
  <c r="K1543" i="31"/>
  <c r="M1543" i="31"/>
  <c r="O1543" i="31"/>
  <c r="Q1543" i="31"/>
  <c r="R1543" i="31"/>
  <c r="S1543" i="31" s="1"/>
  <c r="C1544" i="31"/>
  <c r="I1544" i="31"/>
  <c r="K1544" i="31"/>
  <c r="M1544" i="31"/>
  <c r="O1544" i="31"/>
  <c r="Q1544" i="31"/>
  <c r="R1544" i="31"/>
  <c r="S1544" i="31" s="1"/>
  <c r="C1545" i="31"/>
  <c r="I1545" i="31"/>
  <c r="K1545" i="31"/>
  <c r="M1545" i="31"/>
  <c r="O1545" i="31"/>
  <c r="Q1545" i="31"/>
  <c r="R1545" i="31"/>
  <c r="S1545" i="31" s="1"/>
  <c r="C1546" i="31"/>
  <c r="I1546" i="31"/>
  <c r="K1546" i="31"/>
  <c r="M1546" i="31"/>
  <c r="O1546" i="31"/>
  <c r="Q1546" i="31"/>
  <c r="R1546" i="31"/>
  <c r="S1546" i="31" s="1"/>
  <c r="C1547" i="31"/>
  <c r="I1547" i="31"/>
  <c r="K1547" i="31"/>
  <c r="M1547" i="31"/>
  <c r="O1547" i="31"/>
  <c r="Q1547" i="31"/>
  <c r="R1547" i="31"/>
  <c r="S1547" i="31" s="1"/>
  <c r="C1548" i="31"/>
  <c r="I1548" i="31"/>
  <c r="K1548" i="31"/>
  <c r="M1548" i="31"/>
  <c r="O1548" i="31"/>
  <c r="Q1548" i="31"/>
  <c r="R1548" i="31"/>
  <c r="S1548" i="31" s="1"/>
  <c r="C1549" i="31"/>
  <c r="I1549" i="31"/>
  <c r="K1549" i="31"/>
  <c r="M1549" i="31"/>
  <c r="O1549" i="31"/>
  <c r="Q1549" i="31"/>
  <c r="R1549" i="31"/>
  <c r="S1549" i="31" s="1"/>
  <c r="C1550" i="31"/>
  <c r="I1550" i="31"/>
  <c r="K1550" i="31"/>
  <c r="M1550" i="31"/>
  <c r="O1550" i="31"/>
  <c r="Q1550" i="31"/>
  <c r="R1550" i="31"/>
  <c r="S1550" i="31" s="1"/>
  <c r="C1551" i="31"/>
  <c r="I1551" i="31"/>
  <c r="K1551" i="31"/>
  <c r="M1551" i="31"/>
  <c r="O1551" i="31"/>
  <c r="Q1551" i="31"/>
  <c r="R1551" i="31"/>
  <c r="S1551" i="31" s="1"/>
  <c r="C1552" i="31"/>
  <c r="I1552" i="31"/>
  <c r="K1552" i="31"/>
  <c r="M1552" i="31"/>
  <c r="O1552" i="31"/>
  <c r="Q1552" i="31"/>
  <c r="R1552" i="31"/>
  <c r="S1552" i="31" s="1"/>
  <c r="C1553" i="31"/>
  <c r="I1553" i="31"/>
  <c r="K1553" i="31"/>
  <c r="M1553" i="31"/>
  <c r="O1553" i="31"/>
  <c r="Q1553" i="31"/>
  <c r="R1553" i="31"/>
  <c r="S1553" i="31" s="1"/>
  <c r="C1554" i="31"/>
  <c r="I1554" i="31"/>
  <c r="K1554" i="31"/>
  <c r="M1554" i="31"/>
  <c r="O1554" i="31"/>
  <c r="Q1554" i="31"/>
  <c r="R1554" i="31"/>
  <c r="S1554" i="31" s="1"/>
  <c r="C1555" i="31"/>
  <c r="I1555" i="31"/>
  <c r="K1555" i="31"/>
  <c r="M1555" i="31"/>
  <c r="O1555" i="31"/>
  <c r="Q1555" i="31"/>
  <c r="R1555" i="31"/>
  <c r="S1555" i="31" s="1"/>
  <c r="C1556" i="31"/>
  <c r="I1556" i="31"/>
  <c r="K1556" i="31"/>
  <c r="M1556" i="31"/>
  <c r="O1556" i="31"/>
  <c r="Q1556" i="31"/>
  <c r="R1556" i="31"/>
  <c r="S1556" i="31" s="1"/>
  <c r="C1557" i="31"/>
  <c r="I1557" i="31"/>
  <c r="K1557" i="31"/>
  <c r="M1557" i="31"/>
  <c r="O1557" i="31"/>
  <c r="Q1557" i="31"/>
  <c r="R1557" i="31"/>
  <c r="S1557" i="31" s="1"/>
  <c r="C1558" i="31"/>
  <c r="I1558" i="31"/>
  <c r="K1558" i="31"/>
  <c r="M1558" i="31"/>
  <c r="O1558" i="31"/>
  <c r="Q1558" i="31"/>
  <c r="R1558" i="31"/>
  <c r="S1558" i="31" s="1"/>
  <c r="C1559" i="31"/>
  <c r="I1559" i="31"/>
  <c r="K1559" i="31"/>
  <c r="M1559" i="31"/>
  <c r="O1559" i="31"/>
  <c r="Q1559" i="31"/>
  <c r="R1559" i="31"/>
  <c r="S1559" i="31" s="1"/>
  <c r="C1560" i="31"/>
  <c r="I1560" i="31"/>
  <c r="K1560" i="31"/>
  <c r="M1560" i="31"/>
  <c r="O1560" i="31"/>
  <c r="Q1560" i="31"/>
  <c r="R1560" i="31"/>
  <c r="S1560" i="31" s="1"/>
  <c r="C1561" i="31"/>
  <c r="I1561" i="31"/>
  <c r="K1561" i="31"/>
  <c r="M1561" i="31"/>
  <c r="O1561" i="31"/>
  <c r="Q1561" i="31"/>
  <c r="R1561" i="31"/>
  <c r="S1561" i="31" s="1"/>
  <c r="C1562" i="31"/>
  <c r="I1562" i="31"/>
  <c r="K1562" i="31"/>
  <c r="M1562" i="31"/>
  <c r="O1562" i="31"/>
  <c r="Q1562" i="31"/>
  <c r="R1562" i="31"/>
  <c r="S1562" i="31" s="1"/>
  <c r="C1563" i="31"/>
  <c r="I1563" i="31"/>
  <c r="K1563" i="31"/>
  <c r="M1563" i="31"/>
  <c r="O1563" i="31"/>
  <c r="Q1563" i="31"/>
  <c r="R1563" i="31"/>
  <c r="S1563" i="31" s="1"/>
  <c r="C1564" i="31"/>
  <c r="I1564" i="31"/>
  <c r="K1564" i="31"/>
  <c r="M1564" i="31"/>
  <c r="O1564" i="31"/>
  <c r="Q1564" i="31"/>
  <c r="R1564" i="31"/>
  <c r="S1564" i="31" s="1"/>
  <c r="C1565" i="31"/>
  <c r="I1565" i="31"/>
  <c r="K1565" i="31"/>
  <c r="M1565" i="31"/>
  <c r="O1565" i="31"/>
  <c r="Q1565" i="31"/>
  <c r="R1565" i="31"/>
  <c r="S1565" i="31" s="1"/>
  <c r="C1566" i="31"/>
  <c r="I1566" i="31"/>
  <c r="K1566" i="31"/>
  <c r="M1566" i="31"/>
  <c r="O1566" i="31"/>
  <c r="Q1566" i="31"/>
  <c r="R1566" i="31"/>
  <c r="S1566" i="31" s="1"/>
  <c r="C1567" i="31"/>
  <c r="I1567" i="31"/>
  <c r="K1567" i="31"/>
  <c r="M1567" i="31"/>
  <c r="O1567" i="31"/>
  <c r="Q1567" i="31"/>
  <c r="R1567" i="31"/>
  <c r="S1567" i="31" s="1"/>
  <c r="C1568" i="31"/>
  <c r="I1568" i="31"/>
  <c r="K1568" i="31"/>
  <c r="M1568" i="31"/>
  <c r="O1568" i="31"/>
  <c r="Q1568" i="31"/>
  <c r="R1568" i="31"/>
  <c r="S1568" i="31" s="1"/>
  <c r="C1569" i="31"/>
  <c r="I1569" i="31"/>
  <c r="K1569" i="31"/>
  <c r="M1569" i="31"/>
  <c r="O1569" i="31"/>
  <c r="Q1569" i="31"/>
  <c r="R1569" i="31"/>
  <c r="S1569" i="31" s="1"/>
  <c r="C1570" i="31"/>
  <c r="I1570" i="31"/>
  <c r="K1570" i="31"/>
  <c r="M1570" i="31"/>
  <c r="O1570" i="31"/>
  <c r="Q1570" i="31"/>
  <c r="R1570" i="31"/>
  <c r="S1570" i="31" s="1"/>
  <c r="C1571" i="31"/>
  <c r="I1571" i="31"/>
  <c r="K1571" i="31"/>
  <c r="M1571" i="31"/>
  <c r="O1571" i="31"/>
  <c r="Q1571" i="31"/>
  <c r="R1571" i="31"/>
  <c r="S1571" i="31" s="1"/>
  <c r="C1572" i="31"/>
  <c r="I1572" i="31"/>
  <c r="K1572" i="31"/>
  <c r="M1572" i="31"/>
  <c r="O1572" i="31"/>
  <c r="Q1572" i="31"/>
  <c r="R1572" i="31"/>
  <c r="S1572" i="31" s="1"/>
  <c r="C1573" i="31"/>
  <c r="I1573" i="31"/>
  <c r="K1573" i="31"/>
  <c r="M1573" i="31"/>
  <c r="O1573" i="31"/>
  <c r="Q1573" i="31"/>
  <c r="R1573" i="31"/>
  <c r="S1573" i="31" s="1"/>
  <c r="C1574" i="31"/>
  <c r="I1574" i="31"/>
  <c r="K1574" i="31"/>
  <c r="M1574" i="31"/>
  <c r="O1574" i="31"/>
  <c r="Q1574" i="31"/>
  <c r="R1574" i="31"/>
  <c r="S1574" i="31" s="1"/>
  <c r="C1575" i="31"/>
  <c r="I1575" i="31"/>
  <c r="K1575" i="31"/>
  <c r="M1575" i="31"/>
  <c r="O1575" i="31"/>
  <c r="Q1575" i="31"/>
  <c r="R1575" i="31"/>
  <c r="S1575" i="31" s="1"/>
  <c r="C1576" i="31"/>
  <c r="I1576" i="31"/>
  <c r="K1576" i="31"/>
  <c r="M1576" i="31"/>
  <c r="O1576" i="31"/>
  <c r="Q1576" i="31"/>
  <c r="R1576" i="31"/>
  <c r="S1576" i="31" s="1"/>
  <c r="C1577" i="31"/>
  <c r="I1577" i="31"/>
  <c r="K1577" i="31"/>
  <c r="M1577" i="31"/>
  <c r="O1577" i="31"/>
  <c r="Q1577" i="31"/>
  <c r="R1577" i="31"/>
  <c r="S1577" i="31" s="1"/>
  <c r="C1578" i="31"/>
  <c r="I1578" i="31"/>
  <c r="K1578" i="31"/>
  <c r="M1578" i="31"/>
  <c r="O1578" i="31"/>
  <c r="Q1578" i="31"/>
  <c r="R1578" i="31"/>
  <c r="S1578" i="31" s="1"/>
  <c r="C1579" i="31"/>
  <c r="I1579" i="31"/>
  <c r="K1579" i="31"/>
  <c r="M1579" i="31"/>
  <c r="O1579" i="31"/>
  <c r="Q1579" i="31"/>
  <c r="R1579" i="31"/>
  <c r="S1579" i="31" s="1"/>
  <c r="C1580" i="31"/>
  <c r="I1580" i="31"/>
  <c r="K1580" i="31"/>
  <c r="M1580" i="31"/>
  <c r="O1580" i="31"/>
  <c r="Q1580" i="31"/>
  <c r="R1580" i="31"/>
  <c r="S1580" i="31" s="1"/>
  <c r="C1581" i="31"/>
  <c r="I1581" i="31"/>
  <c r="K1581" i="31"/>
  <c r="M1581" i="31"/>
  <c r="O1581" i="31"/>
  <c r="Q1581" i="31"/>
  <c r="R1581" i="31"/>
  <c r="S1581" i="31" s="1"/>
  <c r="C1582" i="31"/>
  <c r="I1582" i="31"/>
  <c r="K1582" i="31"/>
  <c r="M1582" i="31"/>
  <c r="O1582" i="31"/>
  <c r="Q1582" i="31"/>
  <c r="R1582" i="31"/>
  <c r="S1582" i="31" s="1"/>
  <c r="C1583" i="31"/>
  <c r="I1583" i="31"/>
  <c r="K1583" i="31"/>
  <c r="M1583" i="31"/>
  <c r="O1583" i="31"/>
  <c r="Q1583" i="31"/>
  <c r="R1583" i="31"/>
  <c r="S1583" i="31" s="1"/>
  <c r="C1584" i="31"/>
  <c r="I1584" i="31"/>
  <c r="K1584" i="31"/>
  <c r="M1584" i="31"/>
  <c r="O1584" i="31"/>
  <c r="Q1584" i="31"/>
  <c r="R1584" i="31"/>
  <c r="S1584" i="31" s="1"/>
  <c r="C1585" i="31"/>
  <c r="I1585" i="31"/>
  <c r="K1585" i="31"/>
  <c r="M1585" i="31"/>
  <c r="O1585" i="31"/>
  <c r="Q1585" i="31"/>
  <c r="R1585" i="31"/>
  <c r="S1585" i="31" s="1"/>
  <c r="C1586" i="31"/>
  <c r="I1586" i="31"/>
  <c r="K1586" i="31"/>
  <c r="M1586" i="31"/>
  <c r="O1586" i="31"/>
  <c r="Q1586" i="31"/>
  <c r="R1586" i="31"/>
  <c r="S1586" i="31" s="1"/>
  <c r="C1587" i="31"/>
  <c r="I1587" i="31"/>
  <c r="K1587" i="31"/>
  <c r="M1587" i="31"/>
  <c r="O1587" i="31"/>
  <c r="Q1587" i="31"/>
  <c r="R1587" i="31"/>
  <c r="S1587" i="31" s="1"/>
  <c r="C1588" i="31"/>
  <c r="I1588" i="31"/>
  <c r="K1588" i="31"/>
  <c r="M1588" i="31"/>
  <c r="O1588" i="31"/>
  <c r="Q1588" i="31"/>
  <c r="R1588" i="31"/>
  <c r="S1588" i="31" s="1"/>
  <c r="C1589" i="31"/>
  <c r="I1589" i="31"/>
  <c r="K1589" i="31"/>
  <c r="M1589" i="31"/>
  <c r="O1589" i="31"/>
  <c r="Q1589" i="31"/>
  <c r="R1589" i="31"/>
  <c r="S1589" i="31" s="1"/>
  <c r="C1590" i="31"/>
  <c r="I1590" i="31"/>
  <c r="K1590" i="31"/>
  <c r="M1590" i="31"/>
  <c r="O1590" i="31"/>
  <c r="Q1590" i="31"/>
  <c r="R1590" i="31"/>
  <c r="S1590" i="31" s="1"/>
  <c r="C1591" i="31"/>
  <c r="I1591" i="31"/>
  <c r="K1591" i="31"/>
  <c r="M1591" i="31"/>
  <c r="O1591" i="31"/>
  <c r="Q1591" i="31"/>
  <c r="R1591" i="31"/>
  <c r="S1591" i="31" s="1"/>
  <c r="C1592" i="31"/>
  <c r="I1592" i="31"/>
  <c r="K1592" i="31"/>
  <c r="M1592" i="31"/>
  <c r="O1592" i="31"/>
  <c r="Q1592" i="31"/>
  <c r="R1592" i="31"/>
  <c r="S1592" i="31" s="1"/>
  <c r="C1593" i="31"/>
  <c r="I1593" i="31"/>
  <c r="K1593" i="31"/>
  <c r="M1593" i="31"/>
  <c r="O1593" i="31"/>
  <c r="Q1593" i="31"/>
  <c r="R1593" i="31"/>
  <c r="S1593" i="31" s="1"/>
  <c r="C1594" i="31"/>
  <c r="I1594" i="31"/>
  <c r="K1594" i="31"/>
  <c r="M1594" i="31"/>
  <c r="O1594" i="31"/>
  <c r="Q1594" i="31"/>
  <c r="R1594" i="31"/>
  <c r="S1594" i="31" s="1"/>
  <c r="C1595" i="31"/>
  <c r="I1595" i="31"/>
  <c r="K1595" i="31"/>
  <c r="M1595" i="31"/>
  <c r="O1595" i="31"/>
  <c r="Q1595" i="31"/>
  <c r="R1595" i="31"/>
  <c r="S1595" i="31" s="1"/>
  <c r="C1596" i="31"/>
  <c r="I1596" i="31"/>
  <c r="K1596" i="31"/>
  <c r="M1596" i="31"/>
  <c r="O1596" i="31"/>
  <c r="Q1596" i="31"/>
  <c r="R1596" i="31"/>
  <c r="S1596" i="31" s="1"/>
  <c r="C1597" i="31"/>
  <c r="I1597" i="31"/>
  <c r="K1597" i="31"/>
  <c r="M1597" i="31"/>
  <c r="O1597" i="31"/>
  <c r="Q1597" i="31"/>
  <c r="R1597" i="31"/>
  <c r="S1597" i="31" s="1"/>
  <c r="C1598" i="31"/>
  <c r="I1598" i="31"/>
  <c r="K1598" i="31"/>
  <c r="M1598" i="31"/>
  <c r="O1598" i="31"/>
  <c r="Q1598" i="31"/>
  <c r="R1598" i="31"/>
  <c r="S1598" i="31" s="1"/>
  <c r="C1599" i="31"/>
  <c r="I1599" i="31"/>
  <c r="K1599" i="31"/>
  <c r="M1599" i="31"/>
  <c r="O1599" i="31"/>
  <c r="Q1599" i="31"/>
  <c r="R1599" i="31"/>
  <c r="S1599" i="31" s="1"/>
  <c r="C1600" i="31"/>
  <c r="I1600" i="31"/>
  <c r="K1600" i="31"/>
  <c r="M1600" i="31"/>
  <c r="O1600" i="31"/>
  <c r="Q1600" i="31"/>
  <c r="R1600" i="31"/>
  <c r="S1600" i="31" s="1"/>
  <c r="C1601" i="31"/>
  <c r="I1601" i="31"/>
  <c r="K1601" i="31"/>
  <c r="M1601" i="31"/>
  <c r="O1601" i="31"/>
  <c r="Q1601" i="31"/>
  <c r="R1601" i="31"/>
  <c r="S1601" i="31" s="1"/>
  <c r="Q525" i="31"/>
  <c r="O525" i="31"/>
  <c r="M525" i="31"/>
  <c r="K525" i="31"/>
  <c r="I525" i="31"/>
  <c r="E36" i="33" l="1"/>
  <c r="G36" i="33" s="1"/>
  <c r="I36" i="33" s="1"/>
  <c r="Y6" i="1"/>
  <c r="D59" i="21"/>
  <c r="E59" i="21" s="1"/>
  <c r="F59" i="21" s="1"/>
  <c r="G59" i="21" s="1"/>
  <c r="H59" i="21" s="1"/>
  <c r="I59" i="21" s="1"/>
  <c r="J59" i="21" s="1"/>
  <c r="K59" i="21" s="1"/>
  <c r="L59" i="21" s="1"/>
  <c r="M59" i="21" s="1"/>
  <c r="I47" i="21"/>
  <c r="G47" i="21"/>
  <c r="C37" i="21"/>
  <c r="E37" i="21" s="1"/>
  <c r="G37" i="21" s="1"/>
  <c r="I37" i="21" s="1"/>
  <c r="C33" i="21"/>
  <c r="E47" i="21"/>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C630" i="31" l="1"/>
  <c r="C631" i="3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Y11" i="71"/>
  <c r="Z11" i="71" s="1"/>
  <c r="N11" i="71"/>
  <c r="X5" i="71" s="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s="1"/>
  <c r="AD15" i="71"/>
  <c r="Q15" i="71"/>
  <c r="Q16" i="71"/>
  <c r="P15" i="71"/>
  <c r="P16" i="71"/>
  <c r="AA12" i="71" s="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c r="N18" i="71"/>
  <c r="B18" i="71" s="1"/>
  <c r="B17" i="71" s="1"/>
  <c r="B16" i="71" s="1"/>
  <c r="B15" i="71" s="1"/>
  <c r="B14" i="71" s="1"/>
  <c r="B13" i="71" s="1"/>
  <c r="B12" i="71" s="1"/>
  <c r="B11" i="71" s="1"/>
  <c r="Q18" i="71"/>
  <c r="P18" i="71"/>
  <c r="O18" i="71"/>
  <c r="C18" i="71" s="1"/>
  <c r="C17" i="71" s="1"/>
  <c r="Q19" i="71"/>
  <c r="P19" i="71"/>
  <c r="O19" i="71"/>
  <c r="N19" i="71"/>
  <c r="A2" i="53"/>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c r="AF9" i="43"/>
  <c r="AE9" i="43"/>
  <c r="AE12" i="43" s="1"/>
  <c r="AD9" i="43"/>
  <c r="AD12" i="43" s="1"/>
  <c r="AC9" i="43"/>
  <c r="AC12" i="43"/>
  <c r="AB9" i="43"/>
  <c r="AA9" i="43"/>
  <c r="AA12" i="43" s="1"/>
  <c r="Z9" i="43"/>
  <c r="Z10" i="43" s="1"/>
  <c r="AC10" i="43"/>
  <c r="AE10" i="43"/>
  <c r="AG10" i="43"/>
  <c r="AI10" i="43"/>
  <c r="AH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B19" i="72"/>
  <c r="A18" i="51"/>
  <c r="B13" i="72" s="1"/>
  <c r="C8" i="68"/>
  <c r="B49" i="48"/>
  <c r="B5" i="72" s="1"/>
  <c r="I19" i="43"/>
  <c r="D83" i="71"/>
  <c r="F82" i="71"/>
  <c r="F81" i="71" s="1"/>
  <c r="F80" i="71" s="1"/>
  <c r="E82" i="71"/>
  <c r="E81" i="71"/>
  <c r="E80" i="71" s="1"/>
  <c r="C82" i="71"/>
  <c r="D82" i="71" s="1"/>
  <c r="B82" i="71"/>
  <c r="B81" i="71"/>
  <c r="B80" i="71"/>
  <c r="D79" i="71"/>
  <c r="F78" i="71"/>
  <c r="F77" i="71" s="1"/>
  <c r="F76" i="71" s="1"/>
  <c r="E78" i="71"/>
  <c r="E77" i="71"/>
  <c r="E76" i="71"/>
  <c r="C78" i="71"/>
  <c r="B78" i="71"/>
  <c r="B77" i="71" s="1"/>
  <c r="B76" i="71" s="1"/>
  <c r="D75" i="71"/>
  <c r="Q74" i="71"/>
  <c r="P74" i="71"/>
  <c r="O74" i="71"/>
  <c r="N74" i="71"/>
  <c r="F74" i="71"/>
  <c r="V74" i="71" s="1"/>
  <c r="E74" i="71"/>
  <c r="U74" i="7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F69" i="71" s="1"/>
  <c r="F68" i="71" s="1"/>
  <c r="V70" i="71"/>
  <c r="E70" i="71"/>
  <c r="U70" i="71"/>
  <c r="C70" i="71"/>
  <c r="T70" i="71" s="1"/>
  <c r="B70" i="71"/>
  <c r="S70" i="71" s="1"/>
  <c r="Q69" i="71"/>
  <c r="P69" i="71"/>
  <c r="O69" i="71"/>
  <c r="N69" i="71"/>
  <c r="B69" i="71"/>
  <c r="B68" i="71"/>
  <c r="Q68" i="71"/>
  <c r="P68" i="71"/>
  <c r="O68" i="71"/>
  <c r="N68" i="71"/>
  <c r="Q67" i="71"/>
  <c r="P67" i="71"/>
  <c r="O67" i="71"/>
  <c r="N67" i="71"/>
  <c r="D67" i="71"/>
  <c r="Q66" i="71"/>
  <c r="P66" i="71"/>
  <c r="O66" i="71"/>
  <c r="N66" i="71"/>
  <c r="F66" i="71"/>
  <c r="V66" i="71"/>
  <c r="E66" i="7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B61" i="71" s="1"/>
  <c r="D59" i="71"/>
  <c r="Q58" i="71"/>
  <c r="P58" i="71"/>
  <c r="O58" i="71"/>
  <c r="N58" i="71"/>
  <c r="Q57" i="71"/>
  <c r="P57" i="71"/>
  <c r="O57" i="71"/>
  <c r="N57" i="71"/>
  <c r="Q56" i="71"/>
  <c r="P56" i="71"/>
  <c r="O56" i="71"/>
  <c r="N56" i="71"/>
  <c r="Q55" i="71"/>
  <c r="F56" i="71"/>
  <c r="F57" i="71" s="1"/>
  <c r="F58" i="71" s="1"/>
  <c r="V58" i="71" s="1"/>
  <c r="P55" i="71"/>
  <c r="E56" i="71" s="1"/>
  <c r="O55" i="71"/>
  <c r="C56" i="7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c r="C45" i="71" s="1"/>
  <c r="N43" i="71"/>
  <c r="B44" i="7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c r="B37" i="71" s="1"/>
  <c r="B38" i="71" s="1"/>
  <c r="S38" i="71" s="1"/>
  <c r="D35" i="71"/>
  <c r="Q34" i="71"/>
  <c r="P34" i="71"/>
  <c r="O34" i="71"/>
  <c r="N34" i="71"/>
  <c r="Q33" i="71"/>
  <c r="AB33" i="71" s="1"/>
  <c r="P33" i="71"/>
  <c r="AA33" i="71"/>
  <c r="O33" i="71"/>
  <c r="Y33" i="71" s="1"/>
  <c r="Z33" i="71" s="1"/>
  <c r="N33" i="71"/>
  <c r="X33" i="71" s="1"/>
  <c r="Q32" i="71"/>
  <c r="AB32" i="71" s="1"/>
  <c r="P32" i="71"/>
  <c r="AA32" i="71" s="1"/>
  <c r="O32" i="71"/>
  <c r="Y32" i="71" s="1"/>
  <c r="Z32" i="71" s="1"/>
  <c r="N32" i="71"/>
  <c r="X29" i="71" s="1"/>
  <c r="F32" i="71"/>
  <c r="F33" i="71"/>
  <c r="F34" i="71" s="1"/>
  <c r="V34" i="71" s="1"/>
  <c r="Q31" i="71"/>
  <c r="P31" i="71"/>
  <c r="O31" i="71"/>
  <c r="Y23" i="71" s="1"/>
  <c r="Z23" i="71" s="1"/>
  <c r="N31" i="71"/>
  <c r="D31" i="71"/>
  <c r="Q30" i="71"/>
  <c r="AB30" i="71" s="1"/>
  <c r="P30" i="71"/>
  <c r="AA29" i="71" s="1"/>
  <c r="O30" i="71"/>
  <c r="N30" i="71"/>
  <c r="Q29" i="71"/>
  <c r="AB29" i="71"/>
  <c r="P29" i="71"/>
  <c r="O29" i="71"/>
  <c r="Y24" i="71" s="1"/>
  <c r="Z24" i="71" s="1"/>
  <c r="N29" i="71"/>
  <c r="X26" i="71" s="1"/>
  <c r="Q28" i="71"/>
  <c r="P28" i="71"/>
  <c r="O28" i="71"/>
  <c r="N28" i="71"/>
  <c r="F28" i="71"/>
  <c r="F29" i="71" s="1"/>
  <c r="F30" i="71" s="1"/>
  <c r="V30" i="71" s="1"/>
  <c r="Q27" i="71"/>
  <c r="P27" i="71"/>
  <c r="E28" i="71" s="1"/>
  <c r="E29" i="71" s="1"/>
  <c r="E30" i="71" s="1"/>
  <c r="U30" i="71" s="1"/>
  <c r="O27" i="71"/>
  <c r="N27" i="71"/>
  <c r="D27" i="71"/>
  <c r="Q26" i="71"/>
  <c r="AB26" i="71" s="1"/>
  <c r="P26" i="71"/>
  <c r="AA25" i="71" s="1"/>
  <c r="O26" i="71"/>
  <c r="N26" i="71"/>
  <c r="Q25" i="71"/>
  <c r="AB25" i="71" s="1"/>
  <c r="P25" i="71"/>
  <c r="O25" i="71"/>
  <c r="N25" i="71"/>
  <c r="Q24" i="71"/>
  <c r="P24" i="71"/>
  <c r="O24" i="71"/>
  <c r="N24" i="71"/>
  <c r="Q23" i="71"/>
  <c r="F24" i="71" s="1"/>
  <c r="F25" i="71" s="1"/>
  <c r="F26" i="71" s="1"/>
  <c r="V26" i="71" s="1"/>
  <c r="P23" i="71"/>
  <c r="O23" i="71"/>
  <c r="N23" i="71"/>
  <c r="D23" i="71"/>
  <c r="O22" i="71"/>
  <c r="N22" i="71"/>
  <c r="B24" i="71"/>
  <c r="B25" i="71" s="1"/>
  <c r="B26" i="71" s="1"/>
  <c r="S26" i="71" s="1"/>
  <c r="B28" i="71"/>
  <c r="B29" i="71" s="1"/>
  <c r="B32" i="71"/>
  <c r="B33" i="71" s="1"/>
  <c r="B34" i="71" s="1"/>
  <c r="S34" i="71" s="1"/>
  <c r="E32" i="71"/>
  <c r="E33" i="71" s="1"/>
  <c r="E34" i="71" s="1"/>
  <c r="U34" i="71"/>
  <c r="AA31" i="71"/>
  <c r="C24" i="71"/>
  <c r="AA26" i="71"/>
  <c r="C28" i="71"/>
  <c r="C29" i="71"/>
  <c r="C30" i="71" s="1"/>
  <c r="D30" i="71" s="1"/>
  <c r="AA28" i="71"/>
  <c r="AB31" i="71"/>
  <c r="C22" i="71"/>
  <c r="D28" i="71"/>
  <c r="P22" i="71"/>
  <c r="E22" i="71" s="1"/>
  <c r="E21" i="71" s="1"/>
  <c r="E20" i="71" s="1"/>
  <c r="E57" i="71"/>
  <c r="U62" i="71"/>
  <c r="E61" i="71"/>
  <c r="Q22" i="71"/>
  <c r="C49" i="71"/>
  <c r="D49" i="71" s="1"/>
  <c r="D52" i="71"/>
  <c r="T62" i="71"/>
  <c r="O62" i="71"/>
  <c r="D62" i="71"/>
  <c r="C61" i="71"/>
  <c r="D66" i="71"/>
  <c r="C69" i="71"/>
  <c r="E69" i="71"/>
  <c r="E68" i="71" s="1"/>
  <c r="D70" i="71"/>
  <c r="E73" i="71"/>
  <c r="E72" i="71"/>
  <c r="D74" i="71"/>
  <c r="C81" i="71"/>
  <c r="C80" i="71" s="1"/>
  <c r="D80" i="71" s="1"/>
  <c r="T22" i="71"/>
  <c r="C21" i="71"/>
  <c r="C20" i="71" s="1"/>
  <c r="D20" i="71" s="1"/>
  <c r="F22" i="71"/>
  <c r="F21" i="71"/>
  <c r="F20" i="71"/>
  <c r="D22" i="71"/>
  <c r="U22" i="71"/>
  <c r="C60" i="71"/>
  <c r="O61" i="71"/>
  <c r="D61" i="71"/>
  <c r="D69" i="71"/>
  <c r="C68" i="71"/>
  <c r="D68" i="71" s="1"/>
  <c r="D81" i="71"/>
  <c r="C50" i="71"/>
  <c r="D50" i="71" s="1"/>
  <c r="P61" i="71"/>
  <c r="E60" i="71"/>
  <c r="P59" i="71" s="1"/>
  <c r="D29" i="71"/>
  <c r="D21" i="71"/>
  <c r="V22" i="71"/>
  <c r="P60" i="71"/>
  <c r="T3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25" i="40"/>
  <c r="S25" i="40" s="1"/>
  <c r="Q29" i="39"/>
  <c r="Z29" i="39" s="1"/>
  <c r="D103" i="39"/>
  <c r="E103" i="39"/>
  <c r="F29" i="39"/>
  <c r="AA29" i="39" s="1"/>
  <c r="Q18" i="36"/>
  <c r="Z18" i="36" s="1"/>
  <c r="D66" i="36"/>
  <c r="E66" i="36"/>
  <c r="F66" i="36" s="1"/>
  <c r="H18" i="36"/>
  <c r="AB18" i="36" s="1"/>
  <c r="F18" i="36"/>
  <c r="AA18" i="36"/>
  <c r="C18" i="36"/>
  <c r="Q18" i="35"/>
  <c r="Z18" i="35" s="1"/>
  <c r="D68" i="35"/>
  <c r="E68" i="35"/>
  <c r="F68" i="35" s="1"/>
  <c r="G68" i="35" s="1"/>
  <c r="F18" i="35"/>
  <c r="AA18" i="35" s="1"/>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D83" i="21"/>
  <c r="F21" i="21"/>
  <c r="AA21" i="21" s="1"/>
  <c r="D81" i="21"/>
  <c r="G20" i="20"/>
  <c r="C25" i="40" s="1"/>
  <c r="C22" i="20"/>
  <c r="B55" i="43"/>
  <c r="S29" i="39"/>
  <c r="S18" i="36"/>
  <c r="U18" i="36"/>
  <c r="F94" i="40"/>
  <c r="G94" i="40" s="1"/>
  <c r="H25" i="40"/>
  <c r="J25" i="40"/>
  <c r="F103" i="39"/>
  <c r="G103" i="39" s="1"/>
  <c r="H29" i="39"/>
  <c r="J29" i="39"/>
  <c r="AC29" i="39" s="1"/>
  <c r="G66" i="36"/>
  <c r="J18" i="36"/>
  <c r="H18" i="35"/>
  <c r="S18" i="35"/>
  <c r="J18" i="35"/>
  <c r="F77" i="37"/>
  <c r="H21" i="37"/>
  <c r="F21" i="37"/>
  <c r="AA21" i="37" s="1"/>
  <c r="H21" i="34"/>
  <c r="U21" i="34" s="1"/>
  <c r="H21" i="33"/>
  <c r="U21" i="33" s="1"/>
  <c r="F21" i="33"/>
  <c r="AA21" i="33" s="1"/>
  <c r="E83" i="21"/>
  <c r="H1" i="69"/>
  <c r="AC25" i="40"/>
  <c r="W25" i="40"/>
  <c r="AB25" i="40"/>
  <c r="U25" i="40"/>
  <c r="AB29" i="39"/>
  <c r="U29" i="39"/>
  <c r="W29" i="39"/>
  <c r="AC18" i="36"/>
  <c r="W18" i="36"/>
  <c r="S21" i="37"/>
  <c r="AB21" i="34"/>
  <c r="AB18" i="35"/>
  <c r="U18" i="35"/>
  <c r="AC18" i="35"/>
  <c r="W18" i="35"/>
  <c r="G77" i="37"/>
  <c r="J21" i="37"/>
  <c r="W21" i="37" s="1"/>
  <c r="J21" i="34"/>
  <c r="W21" i="34" s="1"/>
  <c r="J21" i="33"/>
  <c r="AC21" i="33" s="1"/>
  <c r="F83" i="21"/>
  <c r="H21" i="21"/>
  <c r="U21" i="21" s="1"/>
  <c r="F38" i="69"/>
  <c r="E37" i="69"/>
  <c r="F36" i="69"/>
  <c r="F35" i="69"/>
  <c r="F21" i="69"/>
  <c r="F40" i="69" s="1"/>
  <c r="F20" i="69"/>
  <c r="F39" i="69" s="1"/>
  <c r="E10" i="69"/>
  <c r="E9" i="69"/>
  <c r="C7" i="69"/>
  <c r="AC21" i="37"/>
  <c r="AC21" i="34"/>
  <c r="G83" i="21"/>
  <c r="J21" i="21"/>
  <c r="W21" i="21" s="1"/>
  <c r="C40" i="69"/>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C27" i="66"/>
  <c r="C31" i="66" s="1"/>
  <c r="I23" i="66"/>
  <c r="D20" i="66"/>
  <c r="I19" i="66"/>
  <c r="I18" i="66"/>
  <c r="I17" i="66"/>
  <c r="I20" i="66" s="1"/>
  <c r="E15" i="66"/>
  <c r="I14" i="66"/>
  <c r="I13" i="66"/>
  <c r="I12" i="66"/>
  <c r="I9" i="66"/>
  <c r="I8" i="66"/>
  <c r="I7" i="66"/>
  <c r="I6" i="66"/>
  <c r="I5" i="66"/>
  <c r="I4" i="66"/>
  <c r="I3" i="66"/>
  <c r="D1" i="43"/>
  <c r="F113" i="43"/>
  <c r="N99" i="43"/>
  <c r="N108" i="43" s="1"/>
  <c r="D99" i="43"/>
  <c r="D100" i="43" s="1"/>
  <c r="D108" i="43"/>
  <c r="E99" i="43"/>
  <c r="E108" i="43" s="1"/>
  <c r="F99" i="43"/>
  <c r="F108" i="43" s="1"/>
  <c r="G99" i="43"/>
  <c r="G100" i="43" s="1"/>
  <c r="H99" i="43"/>
  <c r="H108" i="43" s="1"/>
  <c r="I99" i="43"/>
  <c r="I108" i="43" s="1"/>
  <c r="J99" i="43"/>
  <c r="J108" i="43" s="1"/>
  <c r="K99" i="43"/>
  <c r="K100" i="43" s="1"/>
  <c r="L99" i="43"/>
  <c r="L108" i="43"/>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c r="M64" i="43"/>
  <c r="N64" i="43" s="1"/>
  <c r="K64" i="43"/>
  <c r="J64" i="43"/>
  <c r="M63" i="43"/>
  <c r="N63" i="43"/>
  <c r="K63" i="43"/>
  <c r="J63" i="43" s="1"/>
  <c r="M62" i="43"/>
  <c r="N62" i="43" s="1"/>
  <c r="K62" i="43"/>
  <c r="J62" i="43"/>
  <c r="M61" i="43"/>
  <c r="N61" i="43"/>
  <c r="K61" i="43"/>
  <c r="J61" i="43"/>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B2" i="1"/>
  <c r="F15" i="4"/>
  <c r="F8" i="1"/>
  <c r="F9" i="1"/>
  <c r="F10" i="1"/>
  <c r="F11" i="1"/>
  <c r="F12" i="1"/>
  <c r="F13" i="1"/>
  <c r="D6" i="1"/>
  <c r="D9" i="1"/>
  <c r="D10" i="1"/>
  <c r="D11" i="1"/>
  <c r="D12" i="1"/>
  <c r="G12" i="1" s="1"/>
  <c r="D13" i="1"/>
  <c r="G13" i="1" s="1"/>
  <c r="D7" i="1"/>
  <c r="D8" i="1"/>
  <c r="A7" i="1"/>
  <c r="B7" i="1" s="1"/>
  <c r="E7" i="1" s="1"/>
  <c r="A8" i="1"/>
  <c r="B8" i="1" s="1"/>
  <c r="E8" i="1" s="1"/>
  <c r="A9" i="1"/>
  <c r="A10" i="1"/>
  <c r="K10" i="1" s="1"/>
  <c r="M10" i="1" s="1"/>
  <c r="O10" i="1" s="1"/>
  <c r="P10" i="1" s="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A101" i="3" s="1"/>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L99" i="3" s="1"/>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c r="BT96" i="3"/>
  <c r="BS96" i="3"/>
  <c r="BR96" i="3"/>
  <c r="BQ96" i="3"/>
  <c r="BP96" i="3"/>
  <c r="BO96" i="3"/>
  <c r="BN96" i="3"/>
  <c r="BM96" i="3"/>
  <c r="BL96" i="3" s="1"/>
  <c r="BK96" i="3"/>
  <c r="BJ96" i="3"/>
  <c r="BI96" i="3"/>
  <c r="BH96" i="3"/>
  <c r="BA96" i="3" s="1"/>
  <c r="AZ96" i="3" s="1"/>
  <c r="BG96" i="3"/>
  <c r="BF96" i="3"/>
  <c r="BE96" i="3"/>
  <c r="BD96" i="3"/>
  <c r="BC96" i="3"/>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BA93" i="3" s="1"/>
  <c r="AX93" i="3"/>
  <c r="AW93" i="3"/>
  <c r="AV93" i="3"/>
  <c r="AC93" i="3"/>
  <c r="H93" i="3"/>
  <c r="G93" i="3" s="1"/>
  <c r="BT92" i="3"/>
  <c r="BS92" i="3"/>
  <c r="BR92" i="3"/>
  <c r="BL92" i="3" s="1"/>
  <c r="AZ92" i="3" s="1"/>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A89" i="3" s="1"/>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A86" i="3" s="1"/>
  <c r="BE86" i="3"/>
  <c r="BD86" i="3"/>
  <c r="BC86" i="3"/>
  <c r="BB86" i="3"/>
  <c r="AX86" i="3"/>
  <c r="AW86" i="3"/>
  <c r="AV86" i="3"/>
  <c r="AC86" i="3"/>
  <c r="H86" i="3"/>
  <c r="G86" i="3"/>
  <c r="BT85" i="3"/>
  <c r="BS85" i="3"/>
  <c r="BR85" i="3"/>
  <c r="BQ85" i="3"/>
  <c r="BP85" i="3"/>
  <c r="BO85" i="3"/>
  <c r="BN85" i="3"/>
  <c r="BM85" i="3"/>
  <c r="BL85" i="3" s="1"/>
  <c r="BK85" i="3"/>
  <c r="BJ85" i="3"/>
  <c r="BI85" i="3"/>
  <c r="BH85" i="3"/>
  <c r="BA85" i="3" s="1"/>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L80" i="3" s="1"/>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A72" i="3" s="1"/>
  <c r="BE72" i="3"/>
  <c r="BD72" i="3"/>
  <c r="BC72" i="3"/>
  <c r="BB72" i="3"/>
  <c r="AX72" i="3"/>
  <c r="AW72" i="3"/>
  <c r="AV72" i="3"/>
  <c r="AC72" i="3"/>
  <c r="G72" i="3" s="1"/>
  <c r="H72" i="3"/>
  <c r="BT71" i="3"/>
  <c r="BS71" i="3"/>
  <c r="BR71" i="3"/>
  <c r="BQ71" i="3"/>
  <c r="BP71" i="3"/>
  <c r="BO71" i="3"/>
  <c r="BN71" i="3"/>
  <c r="BM71" i="3"/>
  <c r="BL71" i="3" s="1"/>
  <c r="BK71" i="3"/>
  <c r="BJ71" i="3"/>
  <c r="BI71" i="3"/>
  <c r="BH71" i="3"/>
  <c r="BA71" i="3" s="1"/>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s="1"/>
  <c r="BK65" i="3"/>
  <c r="BJ65" i="3"/>
  <c r="BI65" i="3"/>
  <c r="BH65" i="3"/>
  <c r="BG65" i="3"/>
  <c r="BF65" i="3"/>
  <c r="BA65" i="3" s="1"/>
  <c r="AZ65" i="3" s="1"/>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A62" i="3" s="1"/>
  <c r="AZ62" i="3" s="1"/>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R58" i="3"/>
  <c r="BQ58" i="3"/>
  <c r="BP58" i="3"/>
  <c r="BO58" i="3"/>
  <c r="BN58" i="3"/>
  <c r="BM58" i="3"/>
  <c r="BL58" i="3" s="1"/>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L49" i="3" s="1"/>
  <c r="BK49" i="3"/>
  <c r="BJ49" i="3"/>
  <c r="BI49" i="3"/>
  <c r="BH49" i="3"/>
  <c r="BG49" i="3"/>
  <c r="BF49" i="3"/>
  <c r="BA49" i="3" s="1"/>
  <c r="AZ49" i="3" s="1"/>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A46" i="3" s="1"/>
  <c r="AZ46" i="3" s="1"/>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L42" i="3" s="1"/>
  <c r="BK42" i="3"/>
  <c r="BJ42" i="3"/>
  <c r="BI42" i="3"/>
  <c r="BH42" i="3"/>
  <c r="BA42" i="3" s="1"/>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A36" i="3" s="1"/>
  <c r="AZ36" i="3" s="1"/>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L32" i="3" s="1"/>
  <c r="BK32" i="3"/>
  <c r="BJ32" i="3"/>
  <c r="BI32" i="3"/>
  <c r="BH32" i="3"/>
  <c r="BA32" i="3" s="1"/>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s="1"/>
  <c r="BT28" i="3"/>
  <c r="BS28" i="3"/>
  <c r="BR28" i="3"/>
  <c r="BQ28" i="3"/>
  <c r="BL28" i="3" s="1"/>
  <c r="BP28" i="3"/>
  <c r="BO28" i="3"/>
  <c r="BN28" i="3"/>
  <c r="BM28" i="3"/>
  <c r="BK28" i="3"/>
  <c r="BJ28" i="3"/>
  <c r="BI28" i="3"/>
  <c r="BH28" i="3"/>
  <c r="BG28" i="3"/>
  <c r="BF28" i="3"/>
  <c r="BE28" i="3"/>
  <c r="BD28" i="3"/>
  <c r="BC28" i="3"/>
  <c r="BB28" i="3"/>
  <c r="BA28" i="3"/>
  <c r="AX28" i="3"/>
  <c r="AW28" i="3"/>
  <c r="AV28" i="3"/>
  <c r="AC28" i="3"/>
  <c r="H28" i="3"/>
  <c r="G28" i="3" s="1"/>
  <c r="BT27" i="3"/>
  <c r="BS27" i="3"/>
  <c r="BL27" i="3" s="1"/>
  <c r="BR27" i="3"/>
  <c r="BQ27" i="3"/>
  <c r="BP27" i="3"/>
  <c r="BO27" i="3"/>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A22" i="3" s="1"/>
  <c r="AZ22" i="3" s="1"/>
  <c r="BG22" i="3"/>
  <c r="BF22" i="3"/>
  <c r="BE22" i="3"/>
  <c r="BD22" i="3"/>
  <c r="BC22" i="3"/>
  <c r="BB22" i="3"/>
  <c r="AX22" i="3"/>
  <c r="AW22" i="3"/>
  <c r="AV22" i="3"/>
  <c r="AC22" i="3"/>
  <c r="H22" i="3"/>
  <c r="G22" i="3" s="1"/>
  <c r="BT21" i="3"/>
  <c r="BS21" i="3"/>
  <c r="BL21" i="3" s="1"/>
  <c r="BR21" i="3"/>
  <c r="BQ21" i="3"/>
  <c r="BP21" i="3"/>
  <c r="BO21" i="3"/>
  <c r="BN21" i="3"/>
  <c r="BM21" i="3"/>
  <c r="BK21" i="3"/>
  <c r="BJ21" i="3"/>
  <c r="BI21" i="3"/>
  <c r="BH21" i="3"/>
  <c r="BG21" i="3"/>
  <c r="BF21" i="3"/>
  <c r="BE21" i="3"/>
  <c r="BD21" i="3"/>
  <c r="BC21" i="3"/>
  <c r="BB21" i="3"/>
  <c r="BA21" i="3" s="1"/>
  <c r="AX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X19" i="3"/>
  <c r="AV19" i="3"/>
  <c r="AC19" i="3"/>
  <c r="H19" i="3"/>
  <c r="G19" i="3" s="1"/>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L205" i="3" s="1"/>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A202" i="3" s="1"/>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A201" i="3" s="1"/>
  <c r="AZ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L193" i="3" s="1"/>
  <c r="BR193" i="3"/>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L171" i="3" s="1"/>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A113" i="3" s="1"/>
  <c r="AZ113" i="3" s="1"/>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AZ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A221" i="3" s="1"/>
  <c r="BD221" i="3"/>
  <c r="BC221" i="3"/>
  <c r="BB221" i="3"/>
  <c r="AX221" i="3"/>
  <c r="AW221" i="3"/>
  <c r="AV221" i="3"/>
  <c r="AC221" i="3"/>
  <c r="H221" i="3"/>
  <c r="G221" i="3" s="1"/>
  <c r="BT220" i="3"/>
  <c r="BS220" i="3"/>
  <c r="BR220" i="3"/>
  <c r="BQ220" i="3"/>
  <c r="BP220" i="3"/>
  <c r="BL220" i="3" s="1"/>
  <c r="AZ220" i="3" s="1"/>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A482" i="3" s="1"/>
  <c r="BF482" i="3"/>
  <c r="BE482" i="3"/>
  <c r="BD482" i="3"/>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L448" i="3" s="1"/>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Z440" i="3" s="1"/>
  <c r="AX440" i="3"/>
  <c r="AW440" i="3"/>
  <c r="AV440" i="3"/>
  <c r="AC440" i="3"/>
  <c r="H440" i="3"/>
  <c r="G440" i="3" s="1"/>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L431" i="3" s="1"/>
  <c r="BO431" i="3"/>
  <c r="BN431" i="3"/>
  <c r="BM431" i="3"/>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L420" i="3" s="1"/>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L403" i="3" s="1"/>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s="1"/>
  <c r="C53" i="40" s="1"/>
  <c r="H52" i="40"/>
  <c r="I52" i="40" s="1"/>
  <c r="C52" i="40" s="1"/>
  <c r="H65" i="39"/>
  <c r="I65" i="39" s="1"/>
  <c r="C65" i="39" s="1"/>
  <c r="H64" i="39"/>
  <c r="I64" i="39"/>
  <c r="C64" i="39"/>
  <c r="H60" i="39"/>
  <c r="I60" i="39"/>
  <c r="C60" i="39" s="1"/>
  <c r="H59" i="39"/>
  <c r="I59" i="39" s="1"/>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I15" i="4"/>
  <c r="H15" i="4"/>
  <c r="G15" i="4"/>
  <c r="E15" i="4"/>
  <c r="F7" i="1" s="1"/>
  <c r="D15" i="4"/>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W41" i="33" s="1"/>
  <c r="D113" i="33"/>
  <c r="F37" i="33"/>
  <c r="S37" i="33" s="1"/>
  <c r="D111" i="33"/>
  <c r="E111" i="33" s="1"/>
  <c r="F111" i="33" s="1"/>
  <c r="F41" i="21"/>
  <c r="J41" i="21"/>
  <c r="AC41" i="21" s="1"/>
  <c r="H41" i="21"/>
  <c r="U41" i="21" s="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H39" i="40" s="1"/>
  <c r="U39" i="40" s="1"/>
  <c r="J39" i="40"/>
  <c r="B116" i="40"/>
  <c r="H38" i="40" s="1"/>
  <c r="AB38" i="40" s="1"/>
  <c r="F38" i="40"/>
  <c r="AA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Q37" i="40"/>
  <c r="Z37" i="40"/>
  <c r="Q36" i="40"/>
  <c r="Z36" i="40" s="1"/>
  <c r="Q35" i="40"/>
  <c r="Z35" i="40" s="1"/>
  <c r="Q34" i="40"/>
  <c r="Z34" i="40"/>
  <c r="J34" i="40"/>
  <c r="AC34" i="40"/>
  <c r="H34" i="40"/>
  <c r="AB34" i="40" s="1"/>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c r="Q12" i="40"/>
  <c r="Z12" i="40"/>
  <c r="Q11" i="40"/>
  <c r="Z11" i="40" s="1"/>
  <c r="Q10" i="40"/>
  <c r="Z10" i="40" s="1"/>
  <c r="Q9" i="40"/>
  <c r="Z9" i="40"/>
  <c r="J9" i="40"/>
  <c r="W9" i="40"/>
  <c r="H9" i="40"/>
  <c r="AB9" i="40"/>
  <c r="F9" i="40"/>
  <c r="S9" i="40" s="1"/>
  <c r="J8" i="40"/>
  <c r="AC8" i="40" s="1"/>
  <c r="H8" i="40"/>
  <c r="AB8" i="40"/>
  <c r="F8" i="40"/>
  <c r="AA8" i="40" s="1"/>
  <c r="J38" i="39"/>
  <c r="W38" i="39" s="1"/>
  <c r="H38" i="39"/>
  <c r="AB38" i="39" s="1"/>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c r="Q25" i="39"/>
  <c r="Z25" i="39" s="1"/>
  <c r="Q23" i="39"/>
  <c r="Z23" i="39" s="1"/>
  <c r="Q21" i="39"/>
  <c r="Z21" i="39"/>
  <c r="Q19" i="39"/>
  <c r="Z19" i="39"/>
  <c r="Q17" i="39"/>
  <c r="Z17" i="39" s="1"/>
  <c r="Q15" i="39"/>
  <c r="Z15" i="39" s="1"/>
  <c r="Q14" i="39"/>
  <c r="Z14" i="39" s="1"/>
  <c r="Q13" i="39"/>
  <c r="Z13" i="39"/>
  <c r="Q12" i="39"/>
  <c r="Z12" i="39" s="1"/>
  <c r="Q11" i="39"/>
  <c r="Z11" i="39" s="1"/>
  <c r="Q10" i="39"/>
  <c r="Z10" i="39"/>
  <c r="Q9" i="39"/>
  <c r="Z9" i="39" s="1"/>
  <c r="J9" i="39"/>
  <c r="AC9" i="39" s="1"/>
  <c r="H9" i="39"/>
  <c r="AB9" i="39" s="1"/>
  <c r="F9" i="39"/>
  <c r="AA9" i="39"/>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s="1"/>
  <c r="J31" i="37"/>
  <c r="AC31" i="37"/>
  <c r="Q30" i="37"/>
  <c r="Z30" i="37" s="1"/>
  <c r="J30" i="37"/>
  <c r="AC30" i="37" s="1"/>
  <c r="H30" i="37"/>
  <c r="AB30" i="37"/>
  <c r="F30" i="37"/>
  <c r="AA30" i="37" s="1"/>
  <c r="Q29" i="37"/>
  <c r="Z29" i="37" s="1"/>
  <c r="H29" i="37"/>
  <c r="AB29" i="37" s="1"/>
  <c r="Q28" i="37"/>
  <c r="Z28" i="37"/>
  <c r="Q27" i="37"/>
  <c r="Z27" i="37"/>
  <c r="Q26" i="37"/>
  <c r="Z26" i="37" s="1"/>
  <c r="Q25" i="37"/>
  <c r="Z25" i="37" s="1"/>
  <c r="J25" i="37"/>
  <c r="AC25" i="37" s="1"/>
  <c r="F25" i="37"/>
  <c r="AA25" i="37" s="1"/>
  <c r="Q23" i="37"/>
  <c r="Z23" i="37"/>
  <c r="Q19" i="37"/>
  <c r="Z19" i="37" s="1"/>
  <c r="Q17" i="37"/>
  <c r="Z17" i="37" s="1"/>
  <c r="Q15" i="37"/>
  <c r="Z15" i="37"/>
  <c r="Q14" i="37"/>
  <c r="Z14" i="37" s="1"/>
  <c r="Q13" i="37"/>
  <c r="Z13" i="37" s="1"/>
  <c r="Q12" i="37"/>
  <c r="Z12" i="37" s="1"/>
  <c r="Q11" i="37"/>
  <c r="Z11" i="37"/>
  <c r="Q10" i="37"/>
  <c r="Z10" i="37"/>
  <c r="F10" i="37"/>
  <c r="AA10" i="37" s="1"/>
  <c r="Q9" i="37"/>
  <c r="Z9" i="37" s="1"/>
  <c r="J8" i="37"/>
  <c r="W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c r="G64" i="36"/>
  <c r="J16" i="36"/>
  <c r="W16" i="36"/>
  <c r="D62" i="36"/>
  <c r="E62" i="36"/>
  <c r="F62" i="36"/>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s="1"/>
  <c r="Q30" i="36"/>
  <c r="Z30" i="36"/>
  <c r="AC30" i="36"/>
  <c r="Q29" i="36"/>
  <c r="Z29" i="36"/>
  <c r="Q28" i="36"/>
  <c r="Z28" i="36"/>
  <c r="J28" i="36"/>
  <c r="AC28" i="36" s="1"/>
  <c r="Q27" i="36"/>
  <c r="Z27" i="36"/>
  <c r="Q26" i="36"/>
  <c r="Z26" i="36"/>
  <c r="H26" i="36"/>
  <c r="AB26" i="36" s="1"/>
  <c r="Q25" i="36"/>
  <c r="Z25" i="36" s="1"/>
  <c r="Q24" i="36"/>
  <c r="Z24" i="36"/>
  <c r="H24" i="36"/>
  <c r="AB24" i="36" s="1"/>
  <c r="Q23" i="36"/>
  <c r="Z23" i="36"/>
  <c r="J23" i="36"/>
  <c r="AC23" i="36"/>
  <c r="H23" i="36"/>
  <c r="AB23" i="36"/>
  <c r="F23" i="36"/>
  <c r="AA23" i="36" s="1"/>
  <c r="Q22" i="36"/>
  <c r="Z22" i="36"/>
  <c r="J22" i="36"/>
  <c r="AC22" i="36"/>
  <c r="Q20" i="36"/>
  <c r="Z20" i="36"/>
  <c r="Q16" i="36"/>
  <c r="Z16" i="36" s="1"/>
  <c r="Q14" i="36"/>
  <c r="Z14" i="36"/>
  <c r="Q13" i="36"/>
  <c r="Z13" i="36"/>
  <c r="Q12" i="36"/>
  <c r="Z12" i="36"/>
  <c r="H12" i="36"/>
  <c r="U12" i="36" s="1"/>
  <c r="Q11" i="36"/>
  <c r="Z11" i="36"/>
  <c r="Q10" i="36"/>
  <c r="Z10" i="36"/>
  <c r="F10" i="36"/>
  <c r="AA10" i="36" s="1"/>
  <c r="Q9" i="36"/>
  <c r="Z9" i="36" s="1"/>
  <c r="F9" i="36"/>
  <c r="AA9" i="36" s="1"/>
  <c r="J8" i="36"/>
  <c r="AC8" i="36" s="1"/>
  <c r="H8" i="36"/>
  <c r="U8" i="36"/>
  <c r="F8" i="36"/>
  <c r="AA8" i="36"/>
  <c r="D89" i="35"/>
  <c r="E89" i="35" s="1"/>
  <c r="F89" i="35" s="1"/>
  <c r="G89" i="35" s="1"/>
  <c r="H89" i="35" s="1"/>
  <c r="M90" i="35"/>
  <c r="L90" i="35"/>
  <c r="K90" i="35"/>
  <c r="J90" i="35"/>
  <c r="I90" i="35"/>
  <c r="H90" i="35"/>
  <c r="G90" i="35"/>
  <c r="F90" i="35"/>
  <c r="E90" i="35"/>
  <c r="D90" i="35"/>
  <c r="C90" i="35"/>
  <c r="F85" i="35"/>
  <c r="E85" i="35"/>
  <c r="D85" i="35"/>
  <c r="C85" i="35"/>
  <c r="J27" i="35"/>
  <c r="H27" i="35"/>
  <c r="U27" i="35" s="1"/>
  <c r="F27" i="35"/>
  <c r="AA27" i="35"/>
  <c r="J22" i="35"/>
  <c r="AC22" i="35"/>
  <c r="B101" i="35"/>
  <c r="B99" i="35"/>
  <c r="B97" i="35"/>
  <c r="J34" i="35" s="1"/>
  <c r="B77" i="35"/>
  <c r="B75" i="35"/>
  <c r="J24" i="35"/>
  <c r="AC24" i="35"/>
  <c r="B73" i="35"/>
  <c r="J23" i="35" s="1"/>
  <c r="AC23" i="35" s="1"/>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J12" i="33"/>
  <c r="D96" i="35"/>
  <c r="E96" i="35"/>
  <c r="F96" i="35"/>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c r="G80" i="35"/>
  <c r="H80" i="35"/>
  <c r="I80" i="35"/>
  <c r="J80" i="35" s="1"/>
  <c r="K80" i="35" s="1"/>
  <c r="L80" i="35" s="1"/>
  <c r="M80" i="35" s="1"/>
  <c r="D72" i="35"/>
  <c r="E72" i="35"/>
  <c r="F72" i="35"/>
  <c r="G72" i="35"/>
  <c r="D70" i="35"/>
  <c r="E70" i="35"/>
  <c r="F70" i="35" s="1"/>
  <c r="G70" i="35" s="1"/>
  <c r="D66" i="35"/>
  <c r="E66" i="35"/>
  <c r="F66" i="35"/>
  <c r="G66" i="35"/>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AB34" i="35" s="1"/>
  <c r="F34" i="35"/>
  <c r="AA34" i="35"/>
  <c r="Q33" i="35"/>
  <c r="Z33" i="35"/>
  <c r="Q32" i="35"/>
  <c r="Z32" i="35"/>
  <c r="H32" i="35"/>
  <c r="AB32" i="35" s="1"/>
  <c r="F32" i="35"/>
  <c r="AA32" i="35"/>
  <c r="Q31" i="35"/>
  <c r="Z31" i="35"/>
  <c r="AC31" i="35"/>
  <c r="AB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F12" i="35"/>
  <c r="S12" i="35"/>
  <c r="Q11" i="35"/>
  <c r="Z11" i="35" s="1"/>
  <c r="Q10" i="35"/>
  <c r="Z10" i="35" s="1"/>
  <c r="Q9" i="35"/>
  <c r="Z9" i="35"/>
  <c r="J8" i="35"/>
  <c r="W8" i="35"/>
  <c r="H8" i="35"/>
  <c r="F8" i="35"/>
  <c r="AA8" i="35" s="1"/>
  <c r="D120" i="34"/>
  <c r="E120" i="34"/>
  <c r="F120" i="34" s="1"/>
  <c r="G120" i="34" s="1"/>
  <c r="H120" i="34" s="1"/>
  <c r="I120" i="34" s="1"/>
  <c r="J120" i="34" s="1"/>
  <c r="K120" i="34" s="1"/>
  <c r="L120" i="34" s="1"/>
  <c r="M120" i="34" s="1"/>
  <c r="D90" i="34"/>
  <c r="E90" i="34" s="1"/>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s="1"/>
  <c r="Q37" i="34"/>
  <c r="Z37" i="34" s="1"/>
  <c r="Q36" i="34"/>
  <c r="Z36" i="34"/>
  <c r="Q35" i="34"/>
  <c r="Z35" i="34"/>
  <c r="Q34" i="34"/>
  <c r="Z34" i="34" s="1"/>
  <c r="J34" i="34"/>
  <c r="AC34" i="34" s="1"/>
  <c r="H34" i="34"/>
  <c r="AB34" i="34" s="1"/>
  <c r="F34" i="34"/>
  <c r="AA34" i="34" s="1"/>
  <c r="Q33" i="34"/>
  <c r="Z33" i="34" s="1"/>
  <c r="Q32" i="34"/>
  <c r="Z32" i="34"/>
  <c r="Q31" i="34"/>
  <c r="Z31" i="34"/>
  <c r="Q30" i="34"/>
  <c r="Z30" i="34"/>
  <c r="Q29" i="34"/>
  <c r="Z29" i="34" s="1"/>
  <c r="Q28" i="34"/>
  <c r="Z28" i="34"/>
  <c r="Q27" i="34"/>
  <c r="Z27" i="34"/>
  <c r="Q25" i="34"/>
  <c r="Z25" i="34"/>
  <c r="Q23" i="34"/>
  <c r="Z23" i="34" s="1"/>
  <c r="C23" i="34"/>
  <c r="Q19" i="34"/>
  <c r="Z19" i="34" s="1"/>
  <c r="C19" i="34"/>
  <c r="Q17" i="34"/>
  <c r="Z17" i="34"/>
  <c r="C17" i="34"/>
  <c r="Q15" i="34"/>
  <c r="Z15" i="34"/>
  <c r="Q14" i="34"/>
  <c r="Z14" i="34" s="1"/>
  <c r="Q13" i="34"/>
  <c r="Z13" i="34" s="1"/>
  <c r="Q12" i="34"/>
  <c r="Z12" i="34"/>
  <c r="H12" i="34"/>
  <c r="Q11" i="34"/>
  <c r="Z11" i="34"/>
  <c r="Q10" i="34"/>
  <c r="Z10" i="34" s="1"/>
  <c r="Q9" i="34"/>
  <c r="Z9" i="34" s="1"/>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G66" i="33"/>
  <c r="H66" i="33" s="1"/>
  <c r="C63" i="33"/>
  <c r="F9" i="33" s="1"/>
  <c r="P49" i="33"/>
  <c r="P48" i="33"/>
  <c r="V47" i="33"/>
  <c r="T47" i="33"/>
  <c r="R47" i="33"/>
  <c r="P47" i="33"/>
  <c r="Q46" i="33"/>
  <c r="Z46" i="33" s="1"/>
  <c r="Q45" i="33"/>
  <c r="Z45" i="33" s="1"/>
  <c r="Q44" i="33"/>
  <c r="Z44" i="33"/>
  <c r="Q43" i="33"/>
  <c r="Z43" i="33"/>
  <c r="Q42" i="33"/>
  <c r="Z42" i="33" s="1"/>
  <c r="J42" i="33"/>
  <c r="AC42" i="33" s="1"/>
  <c r="AC41" i="33"/>
  <c r="Q41" i="33"/>
  <c r="Z41" i="33"/>
  <c r="Q40" i="33"/>
  <c r="Z40" i="33" s="1"/>
  <c r="J40" i="33"/>
  <c r="AC40" i="33" s="1"/>
  <c r="H40" i="33"/>
  <c r="AB40" i="33" s="1"/>
  <c r="Q39" i="33"/>
  <c r="Z39" i="33"/>
  <c r="J39" i="33"/>
  <c r="AC39" i="33" s="1"/>
  <c r="Q38" i="33"/>
  <c r="Z38" i="33"/>
  <c r="J38" i="33"/>
  <c r="AC38" i="33" s="1"/>
  <c r="H38" i="33"/>
  <c r="U38" i="33" s="1"/>
  <c r="F38" i="33"/>
  <c r="AA38" i="33" s="1"/>
  <c r="Q37" i="33"/>
  <c r="Z37" i="33"/>
  <c r="Q36" i="33"/>
  <c r="Z36" i="33" s="1"/>
  <c r="Q35" i="33"/>
  <c r="Z35" i="33"/>
  <c r="H35" i="33"/>
  <c r="AB35" i="33" s="1"/>
  <c r="Q34" i="33"/>
  <c r="Z34" i="33"/>
  <c r="Q33" i="33"/>
  <c r="Z33" i="33" s="1"/>
  <c r="J33" i="33"/>
  <c r="AC33" i="33" s="1"/>
  <c r="H33" i="33"/>
  <c r="U33" i="33" s="1"/>
  <c r="F33" i="33"/>
  <c r="AA33" i="33" s="1"/>
  <c r="Q32" i="33"/>
  <c r="Z32" i="33" s="1"/>
  <c r="Q31" i="33"/>
  <c r="Z31" i="33"/>
  <c r="Q30" i="33"/>
  <c r="Z30" i="33"/>
  <c r="Q29" i="33"/>
  <c r="Z29" i="33"/>
  <c r="Q28" i="33"/>
  <c r="Z28" i="33" s="1"/>
  <c r="Q27" i="33"/>
  <c r="Z27" i="33"/>
  <c r="Q26" i="33"/>
  <c r="Z26" i="33"/>
  <c r="Q25" i="33"/>
  <c r="Z25" i="33"/>
  <c r="Q23" i="33"/>
  <c r="Z23" i="33" s="1"/>
  <c r="Q19" i="33"/>
  <c r="Z19" i="33"/>
  <c r="Q17" i="33"/>
  <c r="Z17" i="33"/>
  <c r="Q15" i="33"/>
  <c r="Z15" i="33"/>
  <c r="Q14" i="33"/>
  <c r="Z14" i="33"/>
  <c r="Q13" i="33"/>
  <c r="Z13" i="33"/>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s="1"/>
  <c r="F66" i="21" s="1"/>
  <c r="G66" i="21" s="1"/>
  <c r="H66" i="21" s="1"/>
  <c r="I66" i="21" s="1"/>
  <c r="D111" i="21"/>
  <c r="E111" i="21"/>
  <c r="F111" i="21"/>
  <c r="C111" i="21"/>
  <c r="D79" i="21"/>
  <c r="D85" i="21"/>
  <c r="F19" i="21"/>
  <c r="AA19" i="21" s="1"/>
  <c r="E81" i="21"/>
  <c r="H19" i="21" s="1"/>
  <c r="F81" i="21"/>
  <c r="G81" i="21" s="1"/>
  <c r="D77" i="21"/>
  <c r="E77" i="21" s="1"/>
  <c r="B130" i="21"/>
  <c r="B128" i="21"/>
  <c r="J45" i="21"/>
  <c r="W45" i="21" s="1"/>
  <c r="B126" i="21"/>
  <c r="J44" i="21" s="1"/>
  <c r="W44" i="21" s="1"/>
  <c r="B98" i="21"/>
  <c r="H31" i="21"/>
  <c r="B96" i="21"/>
  <c r="B94" i="21"/>
  <c r="J29" i="21"/>
  <c r="AC29" i="21"/>
  <c r="B92" i="21"/>
  <c r="B90" i="21"/>
  <c r="J27" i="21" s="1"/>
  <c r="W27" i="21" s="1"/>
  <c r="B74" i="21"/>
  <c r="B72" i="21"/>
  <c r="H13" i="21" s="1"/>
  <c r="B70" i="21"/>
  <c r="H12" i="21" s="1"/>
  <c r="AB12" i="21" s="1"/>
  <c r="F12" i="21"/>
  <c r="S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s="1"/>
  <c r="Q35" i="21"/>
  <c r="Z35" i="21" s="1"/>
  <c r="Q36" i="21"/>
  <c r="Z36" i="21"/>
  <c r="Q37" i="21"/>
  <c r="Z37" i="21"/>
  <c r="J38" i="21"/>
  <c r="W38" i="21" s="1"/>
  <c r="Q38" i="21"/>
  <c r="Z38" i="21"/>
  <c r="J39" i="21"/>
  <c r="AC39" i="21" s="1"/>
  <c r="Q39" i="21"/>
  <c r="Z39" i="21"/>
  <c r="H40" i="21"/>
  <c r="AB40" i="21" s="1"/>
  <c r="Q40" i="21"/>
  <c r="Z40" i="21" s="1"/>
  <c r="Q41" i="21"/>
  <c r="Z41" i="21"/>
  <c r="Q42" i="21"/>
  <c r="Z42" i="21"/>
  <c r="J43" i="21"/>
  <c r="AC43" i="21" s="1"/>
  <c r="Q43" i="21"/>
  <c r="Z43" i="2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L586" i="3" s="1"/>
  <c r="BT586" i="3"/>
  <c r="BB587" i="3"/>
  <c r="BC587" i="3"/>
  <c r="BD587" i="3"/>
  <c r="BE587" i="3"/>
  <c r="BF587" i="3"/>
  <c r="BG587" i="3"/>
  <c r="BH587" i="3"/>
  <c r="BI587" i="3"/>
  <c r="BJ587" i="3"/>
  <c r="BK587" i="3"/>
  <c r="BM587" i="3"/>
  <c r="BN587" i="3"/>
  <c r="BO587" i="3"/>
  <c r="BP587" i="3"/>
  <c r="BQ587" i="3"/>
  <c r="BL587" i="3" s="1"/>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J26" i="21"/>
  <c r="W26" i="21" s="1"/>
  <c r="F26" i="21"/>
  <c r="S26" i="21"/>
  <c r="AB41" i="21"/>
  <c r="S41" i="21"/>
  <c r="AA41" i="21"/>
  <c r="F45" i="39"/>
  <c r="S45" i="39" s="1"/>
  <c r="J45" i="39"/>
  <c r="W45" i="39"/>
  <c r="J44" i="39"/>
  <c r="AC44" i="39"/>
  <c r="F36" i="39"/>
  <c r="S36" i="39" s="1"/>
  <c r="H36" i="39"/>
  <c r="AB36" i="39" s="1"/>
  <c r="J35" i="39"/>
  <c r="AC35" i="39"/>
  <c r="F35" i="39"/>
  <c r="AA35" i="39"/>
  <c r="J36" i="39"/>
  <c r="AC36" i="39" s="1"/>
  <c r="U9" i="39"/>
  <c r="W40" i="39"/>
  <c r="U30" i="37"/>
  <c r="W31" i="37"/>
  <c r="E103" i="37"/>
  <c r="F103" i="37"/>
  <c r="G103" i="37" s="1"/>
  <c r="H103" i="37" s="1"/>
  <c r="I103" i="37" s="1"/>
  <c r="J103" i="37" s="1"/>
  <c r="K103" i="37" s="1"/>
  <c r="L103" i="37" s="1"/>
  <c r="M103" i="37" s="1"/>
  <c r="F39" i="37"/>
  <c r="F29" i="36"/>
  <c r="AA29" i="36" s="1"/>
  <c r="F16" i="36"/>
  <c r="AA16" i="36"/>
  <c r="W28" i="36"/>
  <c r="S30" i="36"/>
  <c r="AA31" i="36"/>
  <c r="W31" i="36"/>
  <c r="U31" i="36"/>
  <c r="J33" i="36"/>
  <c r="W33" i="36"/>
  <c r="H22" i="35"/>
  <c r="AB22" i="35"/>
  <c r="W28" i="35"/>
  <c r="U31" i="35"/>
  <c r="S34" i="35"/>
  <c r="W22" i="35"/>
  <c r="S31" i="35"/>
  <c r="U34" i="35"/>
  <c r="F36" i="34"/>
  <c r="AA36" i="34" s="1"/>
  <c r="J35" i="34"/>
  <c r="S34" i="34"/>
  <c r="H39" i="33"/>
  <c r="AB39" i="33" s="1"/>
  <c r="F26" i="33"/>
  <c r="AA26" i="33" s="1"/>
  <c r="H39" i="37"/>
  <c r="AB39" i="37" s="1"/>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s="1"/>
  <c r="E109" i="39"/>
  <c r="H31" i="39"/>
  <c r="AB31" i="39" s="1"/>
  <c r="F31" i="39"/>
  <c r="AA31" i="39"/>
  <c r="E101" i="39"/>
  <c r="F101" i="39" s="1"/>
  <c r="G101" i="39" s="1"/>
  <c r="H19" i="39"/>
  <c r="AB19" i="39" s="1"/>
  <c r="F19" i="39"/>
  <c r="AA19" i="39" s="1"/>
  <c r="H17" i="39"/>
  <c r="AB17" i="39"/>
  <c r="F17" i="39"/>
  <c r="AA17" i="39"/>
  <c r="J23" i="40"/>
  <c r="AC23" i="40" s="1"/>
  <c r="F21" i="40"/>
  <c r="AA21" i="40" s="1"/>
  <c r="J21" i="40"/>
  <c r="W21" i="40"/>
  <c r="H42" i="39"/>
  <c r="AB42" i="39"/>
  <c r="J34" i="39"/>
  <c r="AC34" i="39" s="1"/>
  <c r="F109" i="39"/>
  <c r="G109" i="39" s="1"/>
  <c r="H109" i="39" s="1"/>
  <c r="I109" i="39" s="1"/>
  <c r="J109" i="39" s="1"/>
  <c r="K109" i="39" s="1"/>
  <c r="L109" i="39"/>
  <c r="M109" i="39" s="1"/>
  <c r="J31" i="39"/>
  <c r="H27" i="39"/>
  <c r="U27" i="39"/>
  <c r="J19" i="39"/>
  <c r="AC19" i="39" s="1"/>
  <c r="J17" i="39"/>
  <c r="J27" i="39"/>
  <c r="AC27" i="39"/>
  <c r="F27" i="39"/>
  <c r="F11" i="21"/>
  <c r="S11" i="21" s="1"/>
  <c r="S40" i="21"/>
  <c r="C27" i="39"/>
  <c r="H11" i="39"/>
  <c r="S40" i="39"/>
  <c r="H11" i="21"/>
  <c r="U11" i="21" s="1"/>
  <c r="J11" i="21"/>
  <c r="W11" i="21" s="1"/>
  <c r="H37" i="40"/>
  <c r="U37" i="40"/>
  <c r="H36" i="40"/>
  <c r="AB36" i="40"/>
  <c r="F35" i="40"/>
  <c r="AA35" i="40"/>
  <c r="H23" i="40"/>
  <c r="U23" i="40" s="1"/>
  <c r="H17" i="40"/>
  <c r="U17" i="40"/>
  <c r="J15" i="40"/>
  <c r="W15" i="40"/>
  <c r="J11" i="40"/>
  <c r="W11" i="40"/>
  <c r="AB8" i="39"/>
  <c r="AB12" i="36"/>
  <c r="W32" i="40"/>
  <c r="F37" i="39"/>
  <c r="AA37" i="39" s="1"/>
  <c r="J34" i="36"/>
  <c r="W34" i="36"/>
  <c r="U30" i="36"/>
  <c r="J30" i="35"/>
  <c r="H30" i="35"/>
  <c r="AB30" i="35" s="1"/>
  <c r="F22" i="35"/>
  <c r="AA22" i="35"/>
  <c r="H10" i="35"/>
  <c r="U10" i="35"/>
  <c r="AC16" i="36"/>
  <c r="F33" i="36"/>
  <c r="AA33" i="36"/>
  <c r="W30" i="36"/>
  <c r="H16" i="36"/>
  <c r="AB16" i="36"/>
  <c r="E85" i="36"/>
  <c r="F85" i="36"/>
  <c r="G85" i="36"/>
  <c r="H85" i="36" s="1"/>
  <c r="I85" i="36" s="1"/>
  <c r="J85" i="36" s="1"/>
  <c r="K85" i="36" s="1"/>
  <c r="L85" i="36" s="1"/>
  <c r="M85" i="36" s="1"/>
  <c r="J29" i="36"/>
  <c r="AC29" i="36"/>
  <c r="F12" i="36"/>
  <c r="F24" i="36"/>
  <c r="AA24" i="36" s="1"/>
  <c r="F34" i="36"/>
  <c r="S34" i="36"/>
  <c r="AB8" i="36"/>
  <c r="S8" i="36"/>
  <c r="F14" i="35"/>
  <c r="AA14" i="35" s="1"/>
  <c r="F23" i="35"/>
  <c r="AA23" i="35"/>
  <c r="J32" i="35"/>
  <c r="AC32" i="35"/>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H17" i="34"/>
  <c r="U17" i="34" s="1"/>
  <c r="W8" i="34"/>
  <c r="J28" i="34"/>
  <c r="W28" i="34" s="1"/>
  <c r="F41" i="33"/>
  <c r="S41" i="33" s="1"/>
  <c r="AA41" i="33"/>
  <c r="E113" i="33"/>
  <c r="J19" i="33"/>
  <c r="W19"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s="1"/>
  <c r="F33" i="37"/>
  <c r="AA33" i="37"/>
  <c r="U34" i="37"/>
  <c r="W33" i="37"/>
  <c r="S34" i="37"/>
  <c r="AA34" i="37"/>
  <c r="J43" i="34"/>
  <c r="AB42" i="34"/>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1" i="33"/>
  <c r="AB11" i="33" s="1"/>
  <c r="F28" i="40"/>
  <c r="AA28" i="40" s="1"/>
  <c r="AA29" i="35"/>
  <c r="AA42" i="34"/>
  <c r="S42" i="34"/>
  <c r="AC38" i="34"/>
  <c r="AA38" i="34"/>
  <c r="J11" i="33"/>
  <c r="W11" i="33" s="1"/>
  <c r="J44" i="34"/>
  <c r="F44" i="34"/>
  <c r="AA44" i="34" s="1"/>
  <c r="J10" i="35"/>
  <c r="W10" i="35" s="1"/>
  <c r="J14" i="21"/>
  <c r="W14" i="21"/>
  <c r="F14" i="21"/>
  <c r="S14" i="21"/>
  <c r="H14" i="21"/>
  <c r="U14" i="21" s="1"/>
  <c r="H28" i="21"/>
  <c r="AB28" i="21"/>
  <c r="F28" i="21"/>
  <c r="AA28" i="21"/>
  <c r="J28" i="21"/>
  <c r="W28" i="21"/>
  <c r="H30" i="21"/>
  <c r="U30" i="21" s="1"/>
  <c r="F30" i="21"/>
  <c r="S30" i="21"/>
  <c r="J30" i="21"/>
  <c r="AC30" i="21"/>
  <c r="AC44" i="21"/>
  <c r="H44" i="21"/>
  <c r="U44" i="21" s="1"/>
  <c r="H46" i="21"/>
  <c r="U46" i="21"/>
  <c r="J46" i="21"/>
  <c r="W46" i="21"/>
  <c r="F46" i="21"/>
  <c r="AA46" i="21" s="1"/>
  <c r="H119" i="21"/>
  <c r="I119" i="21" s="1"/>
  <c r="J119" i="21"/>
  <c r="K119" i="21" s="1"/>
  <c r="L119" i="21" s="1"/>
  <c r="M119" i="21" s="1"/>
  <c r="H26" i="33"/>
  <c r="AB26" i="33" s="1"/>
  <c r="H28" i="33"/>
  <c r="U28" i="33" s="1"/>
  <c r="F28" i="33"/>
  <c r="AA28" i="33" s="1"/>
  <c r="J28" i="33"/>
  <c r="W28" i="33" s="1"/>
  <c r="F33" i="35"/>
  <c r="S33" i="35" s="1"/>
  <c r="J33" i="35"/>
  <c r="AC33" i="35" s="1"/>
  <c r="F30" i="35"/>
  <c r="S30" i="35" s="1"/>
  <c r="I89" i="35"/>
  <c r="J89" i="35" s="1"/>
  <c r="K89" i="35" s="1"/>
  <c r="L89" i="35" s="1"/>
  <c r="M89" i="35" s="1"/>
  <c r="H10" i="36"/>
  <c r="AB10" i="36"/>
  <c r="J14" i="36"/>
  <c r="AC14" i="36"/>
  <c r="H14" i="36"/>
  <c r="U14" i="36"/>
  <c r="F28" i="36"/>
  <c r="AA28" i="36" s="1"/>
  <c r="J13" i="21"/>
  <c r="AC13" i="21"/>
  <c r="H27" i="21"/>
  <c r="AB27" i="21" s="1"/>
  <c r="F27" i="21"/>
  <c r="AA27" i="21" s="1"/>
  <c r="H29" i="21"/>
  <c r="U29" i="21"/>
  <c r="J31" i="21"/>
  <c r="AC31" i="21" s="1"/>
  <c r="F31" i="21"/>
  <c r="S31" i="21"/>
  <c r="F45" i="21"/>
  <c r="AA45" i="21"/>
  <c r="F27" i="33"/>
  <c r="AA27" i="33" s="1"/>
  <c r="J29" i="33"/>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H32" i="34"/>
  <c r="F32" i="34"/>
  <c r="J32" i="34"/>
  <c r="W32" i="34" s="1"/>
  <c r="F46" i="34"/>
  <c r="H11" i="35"/>
  <c r="U11" i="35" s="1"/>
  <c r="J11" i="35"/>
  <c r="AC11" i="35" s="1"/>
  <c r="F11" i="35"/>
  <c r="S11" i="35" s="1"/>
  <c r="J26" i="36"/>
  <c r="W26" i="36" s="1"/>
  <c r="H28" i="36"/>
  <c r="U28" i="36" s="1"/>
  <c r="H32" i="36"/>
  <c r="AB32" i="36" s="1"/>
  <c r="J32" i="36"/>
  <c r="AC32" i="36" s="1"/>
  <c r="J11" i="36"/>
  <c r="H11" i="36"/>
  <c r="F11" i="36"/>
  <c r="AA11" i="36" s="1"/>
  <c r="H13" i="36"/>
  <c r="AB13" i="36" s="1"/>
  <c r="J13" i="36"/>
  <c r="AC13" i="36" s="1"/>
  <c r="F13" i="36"/>
  <c r="S13" i="36"/>
  <c r="E89" i="37"/>
  <c r="F89" i="37" s="1"/>
  <c r="G89" i="37" s="1"/>
  <c r="H89" i="37" s="1"/>
  <c r="I89" i="37" s="1"/>
  <c r="J89" i="37"/>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AA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W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s="1"/>
  <c r="AB30" i="21"/>
  <c r="AA14" i="37"/>
  <c r="W31" i="34"/>
  <c r="W13" i="36"/>
  <c r="S11" i="36"/>
  <c r="AA14" i="34"/>
  <c r="AC28" i="21"/>
  <c r="S44" i="34"/>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AZ572" i="3" s="1"/>
  <c r="BL568" i="3"/>
  <c r="BL564" i="3"/>
  <c r="BL560" i="3"/>
  <c r="BL554" i="3"/>
  <c r="BL546" i="3"/>
  <c r="AZ546" i="3" s="1"/>
  <c r="BL542" i="3"/>
  <c r="BL538" i="3"/>
  <c r="BL534" i="3"/>
  <c r="BL530" i="3"/>
  <c r="BL526" i="3"/>
  <c r="BL522" i="3"/>
  <c r="BL516" i="3"/>
  <c r="BL512" i="3"/>
  <c r="BL506" i="3"/>
  <c r="AZ506" i="3" s="1"/>
  <c r="BL502" i="3"/>
  <c r="BL498" i="3"/>
  <c r="BL494" i="3"/>
  <c r="BL582" i="3"/>
  <c r="BL578" i="3"/>
  <c r="BL574" i="3"/>
  <c r="BL570" i="3"/>
  <c r="BL566" i="3"/>
  <c r="AZ566" i="3" s="1"/>
  <c r="BL562" i="3"/>
  <c r="BL556" i="3"/>
  <c r="BL552" i="3"/>
  <c r="BL544" i="3"/>
  <c r="BL540" i="3"/>
  <c r="BL536" i="3"/>
  <c r="G533" i="3"/>
  <c r="BL532" i="3"/>
  <c r="G529" i="3"/>
  <c r="BL528" i="3"/>
  <c r="AZ528" i="3" s="1"/>
  <c r="G525" i="3"/>
  <c r="BL524" i="3"/>
  <c r="BL518" i="3"/>
  <c r="BL514" i="3"/>
  <c r="BL510" i="3"/>
  <c r="BL504" i="3"/>
  <c r="BL500" i="3"/>
  <c r="BL496" i="3"/>
  <c r="G493" i="3"/>
  <c r="BA584" i="3"/>
  <c r="BA582" i="3"/>
  <c r="AZ582" i="3"/>
  <c r="BA580" i="3"/>
  <c r="AZ580" i="3"/>
  <c r="BA578" i="3"/>
  <c r="AZ578" i="3"/>
  <c r="BA576" i="3"/>
  <c r="AZ576" i="3" s="1"/>
  <c r="BA574" i="3"/>
  <c r="AZ574" i="3"/>
  <c r="BA572" i="3"/>
  <c r="BA570" i="3"/>
  <c r="AZ570" i="3"/>
  <c r="BA568" i="3"/>
  <c r="AZ568" i="3" s="1"/>
  <c r="BA566" i="3"/>
  <c r="BA564" i="3"/>
  <c r="AZ564" i="3"/>
  <c r="BA562" i="3"/>
  <c r="AZ562" i="3"/>
  <c r="BA560" i="3"/>
  <c r="AZ560" i="3" s="1"/>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BA532" i="3"/>
  <c r="BA530" i="3"/>
  <c r="BA528" i="3"/>
  <c r="BA526" i="3"/>
  <c r="AZ526" i="3"/>
  <c r="BA524" i="3"/>
  <c r="AZ524" i="3"/>
  <c r="BA522" i="3"/>
  <c r="BA520" i="3"/>
  <c r="BA518" i="3"/>
  <c r="AZ518" i="3"/>
  <c r="BA516" i="3"/>
  <c r="AZ516" i="3"/>
  <c r="BA514" i="3"/>
  <c r="BA512" i="3"/>
  <c r="AZ512" i="3" s="1"/>
  <c r="BA510" i="3"/>
  <c r="AZ510" i="3" s="1"/>
  <c r="BA508" i="3"/>
  <c r="BA506" i="3"/>
  <c r="BA504" i="3"/>
  <c r="BA502" i="3"/>
  <c r="AZ502" i="3" s="1"/>
  <c r="BA500" i="3"/>
  <c r="BA498" i="3"/>
  <c r="AZ498" i="3" s="1"/>
  <c r="BA496" i="3"/>
  <c r="BA494" i="3"/>
  <c r="BA587" i="3"/>
  <c r="AZ587" i="3" s="1"/>
  <c r="BA583" i="3"/>
  <c r="AZ583" i="3" s="1"/>
  <c r="BA581" i="3"/>
  <c r="BA579" i="3"/>
  <c r="BA577" i="3"/>
  <c r="BA575" i="3"/>
  <c r="BA573" i="3"/>
  <c r="BA571" i="3"/>
  <c r="BA569" i="3"/>
  <c r="AZ569" i="3" s="1"/>
  <c r="BA567" i="3"/>
  <c r="BA565" i="3"/>
  <c r="BA563" i="3"/>
  <c r="BA561" i="3"/>
  <c r="BA559" i="3"/>
  <c r="AZ559" i="3" s="1"/>
  <c r="BA555" i="3"/>
  <c r="BA553" i="3"/>
  <c r="BA549" i="3"/>
  <c r="BA547" i="3"/>
  <c r="BA545" i="3"/>
  <c r="BA543" i="3"/>
  <c r="BA541" i="3"/>
  <c r="BA539" i="3"/>
  <c r="BA537" i="3"/>
  <c r="BA535" i="3"/>
  <c r="AZ535" i="3" s="1"/>
  <c r="BA533" i="3"/>
  <c r="BA531" i="3"/>
  <c r="BA529" i="3"/>
  <c r="BA527" i="3"/>
  <c r="BA525" i="3"/>
  <c r="AZ525" i="3" s="1"/>
  <c r="BA523" i="3"/>
  <c r="BA519" i="3"/>
  <c r="AZ519" i="3" s="1"/>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s="1"/>
  <c r="BQ579" i="3"/>
  <c r="BL579" i="3" s="1"/>
  <c r="AZ579" i="3"/>
  <c r="BQ577" i="3"/>
  <c r="BL577" i="3"/>
  <c r="BQ575" i="3"/>
  <c r="BL575" i="3" s="1"/>
  <c r="AZ575" i="3" s="1"/>
  <c r="BQ573" i="3"/>
  <c r="BL573" i="3"/>
  <c r="BQ571" i="3"/>
  <c r="BL571" i="3" s="1"/>
  <c r="AZ571" i="3" s="1"/>
  <c r="BQ569" i="3"/>
  <c r="BL569" i="3"/>
  <c r="BQ567" i="3"/>
  <c r="BL567" i="3" s="1"/>
  <c r="AZ567" i="3"/>
  <c r="BQ565" i="3"/>
  <c r="BL565" i="3" s="1"/>
  <c r="BQ563" i="3"/>
  <c r="BL563" i="3" s="1"/>
  <c r="BQ561" i="3"/>
  <c r="BL561" i="3" s="1"/>
  <c r="AZ561" i="3"/>
  <c r="BQ559" i="3"/>
  <c r="BL559" i="3" s="1"/>
  <c r="G559" i="3"/>
  <c r="G555" i="3"/>
  <c r="G553" i="3"/>
  <c r="G549" i="3"/>
  <c r="G547" i="3"/>
  <c r="G545" i="3"/>
  <c r="G543" i="3"/>
  <c r="G541" i="3"/>
  <c r="G539" i="3"/>
  <c r="G537" i="3"/>
  <c r="BQ555" i="3"/>
  <c r="BL555" i="3" s="1"/>
  <c r="AZ555" i="3" s="1"/>
  <c r="BQ553" i="3"/>
  <c r="BL553" i="3" s="1"/>
  <c r="BQ551" i="3"/>
  <c r="BL551" i="3" s="1"/>
  <c r="BQ549" i="3"/>
  <c r="BQ547" i="3"/>
  <c r="BL547" i="3"/>
  <c r="AZ547" i="3" s="1"/>
  <c r="BQ545" i="3"/>
  <c r="BL545" i="3" s="1"/>
  <c r="AZ545" i="3" s="1"/>
  <c r="BQ543" i="3"/>
  <c r="BL543" i="3"/>
  <c r="AZ543" i="3" s="1"/>
  <c r="BQ541" i="3"/>
  <c r="BL541" i="3" s="1"/>
  <c r="BQ539" i="3"/>
  <c r="BL539" i="3"/>
  <c r="AZ539" i="3" s="1"/>
  <c r="BQ537" i="3"/>
  <c r="BL537" i="3" s="1"/>
  <c r="AZ537" i="3"/>
  <c r="BQ535" i="3"/>
  <c r="BL535" i="3" s="1"/>
  <c r="BQ533" i="3"/>
  <c r="BL533" i="3" s="1"/>
  <c r="AZ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AZ520" i="3" s="1"/>
  <c r="G519" i="3"/>
  <c r="G517" i="3"/>
  <c r="G515" i="3"/>
  <c r="G513" i="3"/>
  <c r="G511" i="3"/>
  <c r="BQ519" i="3"/>
  <c r="BL519" i="3"/>
  <c r="BQ517" i="3"/>
  <c r="BL517" i="3" s="1"/>
  <c r="AZ517" i="3"/>
  <c r="BQ515" i="3"/>
  <c r="BL515" i="3" s="1"/>
  <c r="BQ513" i="3"/>
  <c r="BL513" i="3" s="1"/>
  <c r="AZ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c r="BQ501" i="3"/>
  <c r="BL501" i="3" s="1"/>
  <c r="BQ499" i="3"/>
  <c r="BL499" i="3" s="1"/>
  <c r="AZ499" i="3" s="1"/>
  <c r="BQ497" i="3"/>
  <c r="BL497" i="3" s="1"/>
  <c r="AZ497" i="3" s="1"/>
  <c r="BQ495" i="3"/>
  <c r="BQ493" i="3"/>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J36" i="40"/>
  <c r="W36" i="40"/>
  <c r="H19" i="37"/>
  <c r="AB19" i="37" s="1"/>
  <c r="F123" i="33"/>
  <c r="G123" i="33" s="1"/>
  <c r="H123" i="33" s="1"/>
  <c r="I123" i="33" s="1"/>
  <c r="J123" i="33" s="1"/>
  <c r="K123" i="33" s="1"/>
  <c r="L123" i="33" s="1"/>
  <c r="M123" i="33" s="1"/>
  <c r="H42" i="33"/>
  <c r="U42" i="33" s="1"/>
  <c r="J43" i="33"/>
  <c r="AC43" i="33" s="1"/>
  <c r="U14" i="40"/>
  <c r="AC33" i="36"/>
  <c r="U35" i="35"/>
  <c r="AA12" i="35"/>
  <c r="W23" i="35"/>
  <c r="W14" i="37"/>
  <c r="AB28" i="37"/>
  <c r="U33" i="37"/>
  <c r="U39" i="37"/>
  <c r="AC8" i="37"/>
  <c r="W47" i="34"/>
  <c r="AB13" i="34"/>
  <c r="AC31" i="33"/>
  <c r="AC45" i="33"/>
  <c r="U26" i="21"/>
  <c r="AC46" i="21"/>
  <c r="U12" i="21"/>
  <c r="F43" i="33"/>
  <c r="AA43" i="33" s="1"/>
  <c r="H107" i="37"/>
  <c r="I107" i="37" s="1"/>
  <c r="J107" i="37" s="1"/>
  <c r="K107" i="37" s="1"/>
  <c r="L107" i="37" s="1"/>
  <c r="M107" i="37" s="1"/>
  <c r="H19" i="34"/>
  <c r="AB19" i="34" s="1"/>
  <c r="J9" i="37"/>
  <c r="W9" i="37"/>
  <c r="H9" i="37"/>
  <c r="AB9" i="37" s="1"/>
  <c r="F9" i="37"/>
  <c r="S9" i="37"/>
  <c r="J12" i="37"/>
  <c r="AC12" i="37" s="1"/>
  <c r="W12" i="37"/>
  <c r="H12" i="37"/>
  <c r="AB12" i="37"/>
  <c r="F12" i="37"/>
  <c r="S12" i="37" s="1"/>
  <c r="E71" i="37"/>
  <c r="F15" i="37"/>
  <c r="AA15" i="37" s="1"/>
  <c r="E94" i="37"/>
  <c r="F31" i="37"/>
  <c r="S31" i="37"/>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H37" i="39"/>
  <c r="AB37" i="39"/>
  <c r="AC37" i="39"/>
  <c r="W37" i="39"/>
  <c r="H25" i="39"/>
  <c r="AB25" i="39"/>
  <c r="J25" i="39"/>
  <c r="F25" i="39"/>
  <c r="AA25" i="39" s="1"/>
  <c r="F15" i="39"/>
  <c r="AA15" i="39" s="1"/>
  <c r="H15" i="39"/>
  <c r="U15" i="39" s="1"/>
  <c r="J15" i="39"/>
  <c r="W15" i="39"/>
  <c r="H41" i="39"/>
  <c r="W27" i="39"/>
  <c r="AB34" i="39"/>
  <c r="U40" i="39"/>
  <c r="S42" i="39"/>
  <c r="AA41" i="39"/>
  <c r="W9" i="39"/>
  <c r="W8" i="39"/>
  <c r="J19" i="40"/>
  <c r="AC19" i="40"/>
  <c r="J50" i="40"/>
  <c r="H103" i="9"/>
  <c r="D8" i="53" s="1"/>
  <c r="B16" i="53"/>
  <c r="B33" i="72" s="1"/>
  <c r="C7" i="37"/>
  <c r="C7" i="34"/>
  <c r="C7" i="36"/>
  <c r="W35" i="40"/>
  <c r="A118" i="9"/>
  <c r="A4" i="52"/>
  <c r="B41" i="72" s="1"/>
  <c r="J11" i="39"/>
  <c r="F11" i="39"/>
  <c r="S11" i="39" s="1"/>
  <c r="AA11" i="39"/>
  <c r="G4" i="4"/>
  <c r="I4" i="4"/>
  <c r="A2" i="9"/>
  <c r="F59" i="43"/>
  <c r="H62" i="43" s="1"/>
  <c r="AZ20" i="3"/>
  <c r="AZ24" i="3"/>
  <c r="AZ28" i="3"/>
  <c r="AZ32" i="3"/>
  <c r="BL549" i="3"/>
  <c r="AZ494"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AZ362" i="3"/>
  <c r="G370" i="3"/>
  <c r="BL371" i="3"/>
  <c r="G372" i="3"/>
  <c r="BL373" i="3"/>
  <c r="AZ373" i="3" s="1"/>
  <c r="BA375" i="3"/>
  <c r="AZ375" i="3" s="1"/>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G137" i="3"/>
  <c r="BA139" i="3"/>
  <c r="BL140" i="3"/>
  <c r="AZ140" i="3" s="1"/>
  <c r="G141" i="3"/>
  <c r="BA143" i="3"/>
  <c r="BL144" i="3"/>
  <c r="G145" i="3"/>
  <c r="BA147" i="3"/>
  <c r="AZ147" i="3" s="1"/>
  <c r="BL148" i="3"/>
  <c r="AZ148" i="3"/>
  <c r="G149" i="3"/>
  <c r="BA151" i="3"/>
  <c r="BL152" i="3"/>
  <c r="G153" i="3"/>
  <c r="BA155" i="3"/>
  <c r="BL156" i="3"/>
  <c r="G157" i="3"/>
  <c r="BA159" i="3"/>
  <c r="BL160" i="3"/>
  <c r="G161" i="3"/>
  <c r="BA163" i="3"/>
  <c r="AZ163" i="3"/>
  <c r="BL164" i="3"/>
  <c r="AZ164" i="3" s="1"/>
  <c r="G165" i="3"/>
  <c r="BA167" i="3"/>
  <c r="AZ167" i="3"/>
  <c r="BL168" i="3"/>
  <c r="G169" i="3"/>
  <c r="BA171" i="3"/>
  <c r="AZ171" i="3"/>
  <c r="BL172" i="3"/>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s="1"/>
  <c r="BL204" i="3"/>
  <c r="AZ204" i="3" s="1"/>
  <c r="AZ39" i="3"/>
  <c r="AZ43" i="3"/>
  <c r="AZ47" i="3"/>
  <c r="AZ51" i="3"/>
  <c r="AZ55" i="3"/>
  <c r="AZ59" i="3"/>
  <c r="AZ63" i="3"/>
  <c r="AZ67" i="3"/>
  <c r="AZ71" i="3"/>
  <c r="AZ75" i="3"/>
  <c r="AZ79" i="3"/>
  <c r="AZ83" i="3"/>
  <c r="AZ136" i="3"/>
  <c r="AZ144" i="3"/>
  <c r="AZ176" i="3"/>
  <c r="AZ85" i="3"/>
  <c r="AZ89" i="3"/>
  <c r="AZ93" i="3"/>
  <c r="AZ97" i="3"/>
  <c r="AZ101" i="3"/>
  <c r="AZ109" i="3"/>
  <c r="AZ120" i="3"/>
  <c r="AZ128" i="3"/>
  <c r="G534" i="3"/>
  <c r="G530" i="3"/>
  <c r="G522" i="3"/>
  <c r="G516" i="3"/>
  <c r="G512" i="3"/>
  <c r="G506" i="3"/>
  <c r="G498" i="3"/>
  <c r="G494" i="3"/>
  <c r="G16" i="3"/>
  <c r="BA304" i="3"/>
  <c r="AZ304" i="3" s="1"/>
  <c r="BA305" i="3"/>
  <c r="AZ305" i="3" s="1"/>
  <c r="BL305" i="3"/>
  <c r="G306" i="3"/>
  <c r="G309" i="3"/>
  <c r="BL310" i="3"/>
  <c r="BA312" i="3"/>
  <c r="AZ312" i="3"/>
  <c r="BA313" i="3"/>
  <c r="BL313" i="3"/>
  <c r="AZ313" i="3"/>
  <c r="G314" i="3"/>
  <c r="G317" i="3"/>
  <c r="BL318" i="3"/>
  <c r="BA320" i="3"/>
  <c r="AZ320" i="3"/>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AZ363" i="3"/>
  <c r="BA364" i="3"/>
  <c r="AZ364" i="3" s="1"/>
  <c r="BL364" i="3"/>
  <c r="G365" i="3"/>
  <c r="G368" i="3"/>
  <c r="BL369" i="3"/>
  <c r="BA371" i="3"/>
  <c r="AZ371" i="3" s="1"/>
  <c r="BA372" i="3"/>
  <c r="BL372" i="3"/>
  <c r="AZ372" i="3" s="1"/>
  <c r="G373" i="3"/>
  <c r="G376" i="3"/>
  <c r="BL377" i="3"/>
  <c r="BL379" i="3"/>
  <c r="BA381" i="3"/>
  <c r="AZ381" i="3"/>
  <c r="BA382" i="3"/>
  <c r="BL382" i="3"/>
  <c r="G383" i="3"/>
  <c r="G386" i="3"/>
  <c r="BL387" i="3"/>
  <c r="AZ387" i="3" s="1"/>
  <c r="BA389" i="3"/>
  <c r="AZ389" i="3" s="1"/>
  <c r="BA390" i="3"/>
  <c r="BL390" i="3"/>
  <c r="G391" i="3"/>
  <c r="G394" i="3"/>
  <c r="AZ138" i="3"/>
  <c r="AZ158" i="3"/>
  <c r="AZ162" i="3"/>
  <c r="AZ166" i="3"/>
  <c r="AZ174" i="3"/>
  <c r="AZ178" i="3"/>
  <c r="AZ182" i="3"/>
  <c r="AZ186" i="3"/>
  <c r="AZ190" i="3"/>
  <c r="AZ194" i="3"/>
  <c r="AZ198" i="3"/>
  <c r="AZ202" i="3"/>
  <c r="AZ206" i="3"/>
  <c r="AZ500" i="3"/>
  <c r="BA16" i="3"/>
  <c r="BL303" i="3"/>
  <c r="AZ303" i="3" s="1"/>
  <c r="G304" i="3"/>
  <c r="BA306" i="3"/>
  <c r="AZ306" i="3" s="1"/>
  <c r="BL307" i="3"/>
  <c r="AZ307" i="3"/>
  <c r="G308" i="3"/>
  <c r="BA310" i="3"/>
  <c r="AZ310" i="3"/>
  <c r="BL311" i="3"/>
  <c r="AZ311" i="3" s="1"/>
  <c r="G312" i="3"/>
  <c r="BA314" i="3"/>
  <c r="BL315" i="3"/>
  <c r="AZ315" i="3" s="1"/>
  <c r="G316" i="3"/>
  <c r="BA318" i="3"/>
  <c r="AZ318" i="3"/>
  <c r="BL319" i="3"/>
  <c r="G320" i="3"/>
  <c r="BA322" i="3"/>
  <c r="AZ322" i="3" s="1"/>
  <c r="BL323" i="3"/>
  <c r="G324" i="3"/>
  <c r="BA326" i="3"/>
  <c r="AZ326" i="3" s="1"/>
  <c r="BL327" i="3"/>
  <c r="AZ327" i="3" s="1"/>
  <c r="G328" i="3"/>
  <c r="BA330" i="3"/>
  <c r="BL331" i="3"/>
  <c r="G332" i="3"/>
  <c r="BA334" i="3"/>
  <c r="AZ334" i="3" s="1"/>
  <c r="BL335" i="3"/>
  <c r="G336" i="3"/>
  <c r="BA338" i="3"/>
  <c r="AZ338" i="3"/>
  <c r="BL339" i="3"/>
  <c r="G340" i="3"/>
  <c r="BL343" i="3"/>
  <c r="G344" i="3"/>
  <c r="G348" i="3"/>
  <c r="G355" i="3"/>
  <c r="AZ209" i="3"/>
  <c r="AZ214" i="3"/>
  <c r="AZ319" i="3"/>
  <c r="G342" i="3"/>
  <c r="BL345" i="3"/>
  <c r="AZ345" i="3" s="1"/>
  <c r="G346" i="3"/>
  <c r="BL349" i="3"/>
  <c r="BL352" i="3"/>
  <c r="G353" i="3"/>
  <c r="BA357" i="3"/>
  <c r="AZ357" i="3"/>
  <c r="BL358" i="3"/>
  <c r="G359" i="3"/>
  <c r="BA361" i="3"/>
  <c r="AZ361" i="3" s="1"/>
  <c r="BL362" i="3"/>
  <c r="G363" i="3"/>
  <c r="BA365" i="3"/>
  <c r="AZ365" i="3" s="1"/>
  <c r="BL366" i="3"/>
  <c r="AZ366" i="3" s="1"/>
  <c r="G367" i="3"/>
  <c r="BA369" i="3"/>
  <c r="AZ369" i="3"/>
  <c r="BL370" i="3"/>
  <c r="AZ370" i="3" s="1"/>
  <c r="G371" i="3"/>
  <c r="BA373" i="3"/>
  <c r="BL374" i="3"/>
  <c r="AZ374" i="3" s="1"/>
  <c r="G375" i="3"/>
  <c r="BA377" i="3"/>
  <c r="AZ377" i="3"/>
  <c r="AZ229" i="3"/>
  <c r="AZ233" i="3"/>
  <c r="AZ241" i="3"/>
  <c r="AZ245" i="3"/>
  <c r="AZ249" i="3"/>
  <c r="AZ261" i="3"/>
  <c r="AZ265" i="3"/>
  <c r="AZ269" i="3"/>
  <c r="BA379" i="3"/>
  <c r="AZ379" i="3"/>
  <c r="BL380" i="3"/>
  <c r="G381" i="3"/>
  <c r="BA383" i="3"/>
  <c r="AZ383" i="3"/>
  <c r="BL384" i="3"/>
  <c r="G385" i="3"/>
  <c r="BA387" i="3"/>
  <c r="BL388" i="3"/>
  <c r="G389" i="3"/>
  <c r="BA391" i="3"/>
  <c r="AZ391" i="3"/>
  <c r="BL392" i="3"/>
  <c r="G393" i="3"/>
  <c r="AZ263" i="3"/>
  <c r="AZ275" i="3"/>
  <c r="AZ283" i="3"/>
  <c r="AZ287" i="3"/>
  <c r="AZ291" i="3"/>
  <c r="AZ295" i="3"/>
  <c r="AZ299" i="3"/>
  <c r="BM5" i="3"/>
  <c r="BJ5" i="3"/>
  <c r="BF5" i="3"/>
  <c r="BD5" i="3"/>
  <c r="AZ317" i="3"/>
  <c r="AZ325" i="3"/>
  <c r="AZ333" i="3"/>
  <c r="AC5" i="3"/>
  <c r="AZ549" i="3"/>
  <c r="G548" i="3"/>
  <c r="G538" i="3"/>
  <c r="G520" i="3"/>
  <c r="G502" i="3"/>
  <c r="BS5" i="3"/>
  <c r="BP5" i="3"/>
  <c r="BN5" i="3"/>
  <c r="G29" i="6" s="1"/>
  <c r="BK5" i="3"/>
  <c r="BI5" i="3"/>
  <c r="BG5" i="3"/>
  <c r="BE5" i="3"/>
  <c r="BC5" i="3"/>
  <c r="G17" i="3"/>
  <c r="BA17" i="3"/>
  <c r="BT5" i="3"/>
  <c r="AZ352" i="3"/>
  <c r="BA15" i="3"/>
  <c r="BB5" i="3"/>
  <c r="BR5" i="3"/>
  <c r="AZ380" i="3"/>
  <c r="AZ384" i="3"/>
  <c r="AZ396" i="3"/>
  <c r="AZ394" i="3"/>
  <c r="G509" i="3"/>
  <c r="BL493" i="3"/>
  <c r="AZ493" i="3" s="1"/>
  <c r="AZ491" i="3"/>
  <c r="AZ390" i="3"/>
  <c r="U36" i="40"/>
  <c r="F36" i="43"/>
  <c r="F81" i="43"/>
  <c r="H83" i="43" s="1"/>
  <c r="H113" i="43"/>
  <c r="F48" i="43"/>
  <c r="H52" i="43" s="1"/>
  <c r="F70" i="43"/>
  <c r="H73" i="43"/>
  <c r="M11" i="43"/>
  <c r="D17" i="43"/>
  <c r="F39" i="43"/>
  <c r="I17" i="43"/>
  <c r="F35" i="43"/>
  <c r="J17" i="43"/>
  <c r="F6" i="1"/>
  <c r="G6" i="1" s="1"/>
  <c r="U17" i="39"/>
  <c r="S14" i="35"/>
  <c r="G8" i="1"/>
  <c r="G9" i="1"/>
  <c r="G10" i="1"/>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c r="J39" i="39"/>
  <c r="AC39" i="39"/>
  <c r="E97" i="39"/>
  <c r="F97" i="39"/>
  <c r="G97" i="39" s="1"/>
  <c r="AZ353" i="3"/>
  <c r="AZ354" i="3"/>
  <c r="C40" i="11"/>
  <c r="AZ227" i="3"/>
  <c r="AZ232" i="3"/>
  <c r="AZ235" i="3"/>
  <c r="AZ240" i="3"/>
  <c r="AZ243" i="3"/>
  <c r="AZ248" i="3"/>
  <c r="AZ268" i="3"/>
  <c r="AZ288" i="3"/>
  <c r="AZ296" i="3"/>
  <c r="AZ117" i="3"/>
  <c r="AZ21" i="3"/>
  <c r="AZ29" i="3"/>
  <c r="AZ31" i="3"/>
  <c r="AZ33" i="3"/>
  <c r="AZ37" i="3"/>
  <c r="AZ42" i="3"/>
  <c r="AZ45" i="3"/>
  <c r="AZ50" i="3"/>
  <c r="AZ53" i="3"/>
  <c r="AZ58" i="3"/>
  <c r="AZ61" i="3"/>
  <c r="AZ66" i="3"/>
  <c r="AZ69" i="3"/>
  <c r="AZ72" i="3"/>
  <c r="AZ74" i="3"/>
  <c r="AZ77" i="3"/>
  <c r="AZ82" i="3"/>
  <c r="AZ86" i="3"/>
  <c r="AZ94" i="3"/>
  <c r="H75" i="43"/>
  <c r="H50" i="43"/>
  <c r="I20" i="43"/>
  <c r="C20" i="43" s="1"/>
  <c r="F23" i="39"/>
  <c r="AA23" i="39" s="1"/>
  <c r="H27" i="36"/>
  <c r="F27" i="36"/>
  <c r="AA27" i="36" s="1"/>
  <c r="H33" i="34"/>
  <c r="U33" i="34" s="1"/>
  <c r="F32" i="37"/>
  <c r="AA32" i="37"/>
  <c r="G96" i="37"/>
  <c r="H96" i="37" s="1"/>
  <c r="I96" i="37" s="1"/>
  <c r="J96" i="37" s="1"/>
  <c r="K96" i="37" s="1"/>
  <c r="L96" i="37" s="1"/>
  <c r="M96" i="37" s="1"/>
  <c r="F20" i="36"/>
  <c r="AA20" i="36"/>
  <c r="J33" i="34"/>
  <c r="AC33" i="34" s="1"/>
  <c r="H23" i="39"/>
  <c r="U23" i="39"/>
  <c r="D48" i="9"/>
  <c r="M52" i="9" s="1"/>
  <c r="H86" i="43"/>
  <c r="H82" i="43"/>
  <c r="H87" i="43"/>
  <c r="K9" i="1"/>
  <c r="M9" i="1" s="1"/>
  <c r="O9" i="1" s="1"/>
  <c r="P9" i="1" s="1"/>
  <c r="AE9" i="1"/>
  <c r="K6" i="1"/>
  <c r="M6" i="1" s="1"/>
  <c r="O6" i="1" s="1"/>
  <c r="P6" i="1" s="1"/>
  <c r="C13" i="12" s="1"/>
  <c r="AB34" i="36"/>
  <c r="U34" i="36"/>
  <c r="AB33" i="36"/>
  <c r="U33" i="36"/>
  <c r="AC12" i="39"/>
  <c r="W12" i="39"/>
  <c r="AC39" i="40"/>
  <c r="W39" i="40"/>
  <c r="AZ417" i="3"/>
  <c r="AZ428" i="3"/>
  <c r="AZ465" i="3"/>
  <c r="W12" i="33"/>
  <c r="AC12" i="33"/>
  <c r="AA32" i="36"/>
  <c r="S32" i="36"/>
  <c r="AZ437" i="3"/>
  <c r="AZ266" i="3"/>
  <c r="U30" i="33"/>
  <c r="AC13" i="34"/>
  <c r="AA47" i="34"/>
  <c r="W28" i="37"/>
  <c r="S19" i="39"/>
  <c r="F12" i="33"/>
  <c r="H12" i="39"/>
  <c r="AB12" i="39" s="1"/>
  <c r="F39" i="40"/>
  <c r="AZ213" i="3"/>
  <c r="AZ224" i="3"/>
  <c r="AZ238" i="3"/>
  <c r="AZ250" i="3"/>
  <c r="AZ281" i="3"/>
  <c r="AZ286" i="3"/>
  <c r="AZ297" i="3"/>
  <c r="AZ165" i="3"/>
  <c r="AZ181" i="3"/>
  <c r="AZ189" i="3"/>
  <c r="AZ197" i="3"/>
  <c r="AZ19" i="3"/>
  <c r="AZ26" i="3"/>
  <c r="AZ35" i="3"/>
  <c r="AZ41" i="3"/>
  <c r="S12" i="1"/>
  <c r="AR12" i="1" s="1"/>
  <c r="R12" i="1"/>
  <c r="B12" i="1"/>
  <c r="E12" i="1"/>
  <c r="S10" i="1"/>
  <c r="AQ10" i="1" s="1"/>
  <c r="R10" i="1"/>
  <c r="B10" i="1"/>
  <c r="E10" i="1"/>
  <c r="AZ80" i="3"/>
  <c r="AZ84" i="3"/>
  <c r="AZ111" i="3"/>
  <c r="K12" i="1"/>
  <c r="M12" i="1" s="1"/>
  <c r="S13" i="1"/>
  <c r="AR13" i="1" s="1"/>
  <c r="R13" i="1"/>
  <c r="S11" i="1"/>
  <c r="AQ11" i="1" s="1"/>
  <c r="R11" i="1"/>
  <c r="S9" i="1"/>
  <c r="AR9" i="1" s="1"/>
  <c r="R9" i="1"/>
  <c r="J51" i="67"/>
  <c r="C42" i="1"/>
  <c r="H100" i="43"/>
  <c r="C30" i="66"/>
  <c r="J100" i="43"/>
  <c r="AB37" i="40"/>
  <c r="S35" i="40"/>
  <c r="U35" i="40"/>
  <c r="AC36" i="40"/>
  <c r="W38" i="40"/>
  <c r="AA32" i="40"/>
  <c r="S17" i="40"/>
  <c r="S23" i="40"/>
  <c r="AC15" i="40"/>
  <c r="AB27" i="40"/>
  <c r="S30" i="40"/>
  <c r="AA19" i="40"/>
  <c r="S28" i="40"/>
  <c r="AA27" i="40"/>
  <c r="U21" i="40"/>
  <c r="AB19" i="40"/>
  <c r="W42" i="39"/>
  <c r="U37" i="39"/>
  <c r="W39" i="39"/>
  <c r="S43" i="39"/>
  <c r="S37" i="39"/>
  <c r="U35" i="39"/>
  <c r="F32" i="39"/>
  <c r="AA32" i="39" s="1"/>
  <c r="G107" i="39"/>
  <c r="U25" i="39"/>
  <c r="AB27" i="39"/>
  <c r="U31" i="39"/>
  <c r="S25" i="39"/>
  <c r="J21" i="39"/>
  <c r="F21" i="39"/>
  <c r="H21" i="39"/>
  <c r="AB21" i="39" s="1"/>
  <c r="W19" i="39"/>
  <c r="S17" i="39"/>
  <c r="AC15" i="39"/>
  <c r="S15" i="39"/>
  <c r="AB15" i="39"/>
  <c r="AA12" i="39"/>
  <c r="S9" i="39"/>
  <c r="U14" i="39"/>
  <c r="AC13" i="39"/>
  <c r="U12"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S32"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S23" i="37"/>
  <c r="U23" i="37"/>
  <c r="U15" i="37"/>
  <c r="AC13" i="37"/>
  <c r="U9" i="37"/>
  <c r="AA13" i="37"/>
  <c r="AA12" i="37"/>
  <c r="AA9" i="37"/>
  <c r="H10" i="37"/>
  <c r="H60" i="37"/>
  <c r="F63" i="37"/>
  <c r="F11" i="37"/>
  <c r="S11" i="37"/>
  <c r="AB8" i="34"/>
  <c r="AA33" i="34"/>
  <c r="U43" i="34"/>
  <c r="AC39" i="34"/>
  <c r="AC42" i="34"/>
  <c r="AB35" i="34"/>
  <c r="U39" i="34"/>
  <c r="S43" i="34"/>
  <c r="AB41" i="34"/>
  <c r="AA45" i="34"/>
  <c r="W34" i="34"/>
  <c r="AA25" i="34"/>
  <c r="S17" i="34"/>
  <c r="AA29" i="34"/>
  <c r="S13" i="34"/>
  <c r="H10" i="34"/>
  <c r="AB10" i="34" s="1"/>
  <c r="F70" i="34"/>
  <c r="F11" i="34" s="1"/>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H27" i="33"/>
  <c r="U27" i="33" s="1"/>
  <c r="F81" i="33"/>
  <c r="G81" i="33" s="1"/>
  <c r="F19" i="33"/>
  <c r="S19" i="33" s="1"/>
  <c r="J17" i="33"/>
  <c r="AC17" i="33" s="1"/>
  <c r="F79" i="33"/>
  <c r="U9" i="33"/>
  <c r="I66" i="33"/>
  <c r="J10" i="33"/>
  <c r="AC10" i="33" s="1"/>
  <c r="H10" i="33"/>
  <c r="U10" i="33" s="1"/>
  <c r="AB14" i="33"/>
  <c r="W43" i="21"/>
  <c r="W36" i="21"/>
  <c r="W41" i="21"/>
  <c r="AB39" i="21"/>
  <c r="AA36" i="21"/>
  <c r="AC40" i="21"/>
  <c r="E85" i="21"/>
  <c r="F23" i="21" s="1"/>
  <c r="S23" i="21" s="1"/>
  <c r="AC11" i="21"/>
  <c r="AA14" i="21"/>
  <c r="AB8" i="21"/>
  <c r="S8" i="21"/>
  <c r="M3" i="43"/>
  <c r="M1" i="43"/>
  <c r="N8" i="43"/>
  <c r="D120" i="9"/>
  <c r="D121" i="9" s="1"/>
  <c r="D7" i="52" s="1"/>
  <c r="G13" i="3"/>
  <c r="BA13" i="3"/>
  <c r="BL17" i="3"/>
  <c r="AZ17" i="3" s="1"/>
  <c r="BL13" i="3"/>
  <c r="J56" i="9"/>
  <c r="J57" i="9" s="1"/>
  <c r="J59" i="9" s="1"/>
  <c r="J61" i="9" s="1"/>
  <c r="A24" i="51"/>
  <c r="B18" i="72" s="1"/>
  <c r="U29" i="34"/>
  <c r="E5" i="6"/>
  <c r="D9" i="11" s="1"/>
  <c r="C9" i="11" s="1"/>
  <c r="E32" i="6"/>
  <c r="L19" i="6" s="1"/>
  <c r="G1" i="68"/>
  <c r="K1" i="12"/>
  <c r="E19" i="69"/>
  <c r="E19" i="68"/>
  <c r="E19" i="11"/>
  <c r="E1" i="73"/>
  <c r="G22" i="69"/>
  <c r="G22" i="68"/>
  <c r="G26" i="12"/>
  <c r="G22" i="11"/>
  <c r="C100" i="43"/>
  <c r="E11" i="43"/>
  <c r="E10" i="43"/>
  <c r="E9" i="43"/>
  <c r="E8" i="43"/>
  <c r="C7" i="43" s="1"/>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B6" i="1"/>
  <c r="E6" i="1" s="1"/>
  <c r="K11" i="1"/>
  <c r="M11" i="1" s="1"/>
  <c r="O11" i="1" s="1"/>
  <c r="P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AC14" i="34"/>
  <c r="AC32" i="34"/>
  <c r="AC29" i="34"/>
  <c r="W29" i="34"/>
  <c r="S32" i="34"/>
  <c r="AA32" i="34"/>
  <c r="U30" i="34"/>
  <c r="AB30" i="34"/>
  <c r="S19" i="34"/>
  <c r="S36" i="34"/>
  <c r="AA8" i="34"/>
  <c r="S8" i="34"/>
  <c r="AB9" i="34"/>
  <c r="U9" i="34"/>
  <c r="S46" i="34"/>
  <c r="AA46" i="34"/>
  <c r="U32" i="34"/>
  <c r="AB32" i="34"/>
  <c r="U14" i="34"/>
  <c r="AB14" i="34"/>
  <c r="AC43" i="34"/>
  <c r="W43" i="34"/>
  <c r="W23" i="34"/>
  <c r="AC35" i="34"/>
  <c r="W35" i="34"/>
  <c r="U12" i="34"/>
  <c r="AB12" i="34"/>
  <c r="W46" i="33"/>
  <c r="U44" i="33"/>
  <c r="AB44" i="33"/>
  <c r="S30" i="33"/>
  <c r="AA30" i="33"/>
  <c r="AC14" i="33"/>
  <c r="W14" i="33"/>
  <c r="AC30" i="33"/>
  <c r="W30" i="33"/>
  <c r="S31" i="33"/>
  <c r="AA31" i="33"/>
  <c r="S11" i="33"/>
  <c r="W8" i="33"/>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s="1"/>
  <c r="F13" i="21"/>
  <c r="AA13" i="21"/>
  <c r="H9" i="21"/>
  <c r="AB9" i="21" s="1"/>
  <c r="J9" i="21"/>
  <c r="W9" i="21" s="1"/>
  <c r="AA31" i="21"/>
  <c r="W29" i="21"/>
  <c r="S19" i="21"/>
  <c r="S9" i="21"/>
  <c r="AA9" i="21"/>
  <c r="K141" i="21"/>
  <c r="K144" i="21"/>
  <c r="K143" i="21"/>
  <c r="U27" i="21"/>
  <c r="AB44" i="21"/>
  <c r="AA30" i="21"/>
  <c r="W13" i="21"/>
  <c r="AC45" i="21"/>
  <c r="F10" i="21"/>
  <c r="AA10" i="21" s="1"/>
  <c r="K145" i="21"/>
  <c r="W31" i="21"/>
  <c r="AC27" i="21"/>
  <c r="AC26" i="21"/>
  <c r="AB29" i="21"/>
  <c r="S28" i="21"/>
  <c r="W10" i="21"/>
  <c r="W12" i="21"/>
  <c r="AB36" i="21"/>
  <c r="W30" i="40"/>
  <c r="C15" i="40"/>
  <c r="C17" i="40"/>
  <c r="C23" i="40"/>
  <c r="C21" i="40"/>
  <c r="U30" i="40"/>
  <c r="B54" i="43"/>
  <c r="B49" i="43"/>
  <c r="D23" i="15"/>
  <c r="D22" i="15"/>
  <c r="E4" i="4"/>
  <c r="B5" i="62" s="1"/>
  <c r="B73" i="72" s="1"/>
  <c r="C4" i="4"/>
  <c r="AA39" i="40"/>
  <c r="S39" i="40"/>
  <c r="S12" i="33"/>
  <c r="AA12" i="33"/>
  <c r="J32" i="39"/>
  <c r="H107" i="39"/>
  <c r="I107" i="39" s="1"/>
  <c r="J107" i="39" s="1"/>
  <c r="K107" i="39" s="1"/>
  <c r="L107" i="39" s="1"/>
  <c r="M107" i="39" s="1"/>
  <c r="H32" i="39"/>
  <c r="AA21" i="39"/>
  <c r="S21" i="39"/>
  <c r="AC21" i="39"/>
  <c r="W21" i="39"/>
  <c r="S26" i="35"/>
  <c r="U9" i="35"/>
  <c r="AB9" i="35"/>
  <c r="AA9" i="35"/>
  <c r="S9" i="35"/>
  <c r="AC26" i="35"/>
  <c r="W26" i="35"/>
  <c r="AB26" i="35"/>
  <c r="U26" i="35"/>
  <c r="AC17" i="37"/>
  <c r="S17" i="37"/>
  <c r="J19" i="37"/>
  <c r="S19" i="37"/>
  <c r="AA19" i="37"/>
  <c r="AA23" i="37"/>
  <c r="J23" i="37"/>
  <c r="G79" i="37"/>
  <c r="J10" i="37"/>
  <c r="AC10" i="37" s="1"/>
  <c r="I60" i="37"/>
  <c r="G63" i="37"/>
  <c r="H63" i="37" s="1"/>
  <c r="I63" i="37" s="1"/>
  <c r="J63" i="37" s="1"/>
  <c r="K63" i="37" s="1"/>
  <c r="L63" i="37" s="1"/>
  <c r="M63" i="37" s="1"/>
  <c r="H11" i="37"/>
  <c r="U11" i="37" s="1"/>
  <c r="AB10" i="37"/>
  <c r="U10" i="37"/>
  <c r="G70" i="34"/>
  <c r="H70" i="34" s="1"/>
  <c r="I70" i="34" s="1"/>
  <c r="J70" i="34" s="1"/>
  <c r="K70" i="34" s="1"/>
  <c r="L70" i="34" s="1"/>
  <c r="M70" i="34" s="1"/>
  <c r="H11" i="34"/>
  <c r="U11" i="34" s="1"/>
  <c r="U10" i="34"/>
  <c r="J10" i="34"/>
  <c r="H19" i="33"/>
  <c r="AB19" i="33" s="1"/>
  <c r="G79" i="33"/>
  <c r="H17" i="33"/>
  <c r="AB17" i="33" s="1"/>
  <c r="F17" i="33"/>
  <c r="AA17" i="33" s="1"/>
  <c r="J23" i="21"/>
  <c r="AC23" i="21" s="1"/>
  <c r="F85" i="21"/>
  <c r="G85" i="21" s="1"/>
  <c r="H23" i="21"/>
  <c r="S13" i="21"/>
  <c r="D6" i="52"/>
  <c r="AP7" i="1"/>
  <c r="O7" i="1"/>
  <c r="AB45" i="21"/>
  <c r="D3" i="21"/>
  <c r="U32" i="39"/>
  <c r="AB32" i="39"/>
  <c r="AC32" i="39"/>
  <c r="W32" i="39"/>
  <c r="W19" i="37"/>
  <c r="AC19" i="37"/>
  <c r="W23" i="37"/>
  <c r="AC23" i="37"/>
  <c r="AB11" i="37"/>
  <c r="J11" i="37"/>
  <c r="AC11" i="37" s="1"/>
  <c r="W10" i="37"/>
  <c r="AC10" i="34"/>
  <c r="W10" i="34"/>
  <c r="J11" i="34"/>
  <c r="AC11" i="34" s="1"/>
  <c r="U23" i="21"/>
  <c r="AB23" i="21"/>
  <c r="W11" i="34"/>
  <c r="F34" i="11"/>
  <c r="F11" i="12"/>
  <c r="C23" i="12" s="1"/>
  <c r="F34" i="68"/>
  <c r="AE8" i="1"/>
  <c r="AG6" i="1"/>
  <c r="H109" i="9"/>
  <c r="H110" i="9" s="1"/>
  <c r="D18" i="53" s="1"/>
  <c r="B35" i="72" s="1"/>
  <c r="D124" i="9"/>
  <c r="H14" i="74" s="1"/>
  <c r="B7" i="74" s="1"/>
  <c r="D16" i="53"/>
  <c r="B34" i="72" s="1"/>
  <c r="D17" i="53"/>
  <c r="B36" i="72" s="1"/>
  <c r="D125" i="9"/>
  <c r="D11" i="52" s="1"/>
  <c r="H112" i="9"/>
  <c r="D21" i="53" s="1"/>
  <c r="B39" i="72" s="1"/>
  <c r="H111" i="9"/>
  <c r="D126" i="9"/>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6" i="71"/>
  <c r="D16" i="71" s="1"/>
  <c r="D17" i="71"/>
  <c r="D18" i="71"/>
  <c r="U18" i="71" s="1"/>
  <c r="S18" i="71"/>
  <c r="T18" i="71"/>
  <c r="AB16" i="71"/>
  <c r="X14" i="71"/>
  <c r="X13" i="71"/>
  <c r="AA14" i="71"/>
  <c r="AA13" i="71"/>
  <c r="X17" i="71"/>
  <c r="Y13" i="71"/>
  <c r="Z13" i="71" s="1"/>
  <c r="AB14" i="71"/>
  <c r="AB13" i="71"/>
  <c r="S14" i="71"/>
  <c r="Y14" i="71"/>
  <c r="Z14" i="71" s="1"/>
  <c r="X3" i="71"/>
  <c r="C15" i="71"/>
  <c r="D15" i="71" s="1"/>
  <c r="G20" i="43"/>
  <c r="E41" i="43"/>
  <c r="C41" i="43"/>
  <c r="I59" i="34"/>
  <c r="J59" i="34" s="1"/>
  <c r="M24" i="15"/>
  <c r="M27" i="67"/>
  <c r="E8" i="76"/>
  <c r="M8" i="67"/>
  <c r="B7" i="76"/>
  <c r="F16" i="67"/>
  <c r="F4" i="73"/>
  <c r="E10" i="76"/>
  <c r="B13" i="76"/>
  <c r="M6" i="15"/>
  <c r="D2" i="21"/>
  <c r="M26" i="67"/>
  <c r="F20" i="31"/>
  <c r="M29" i="67"/>
  <c r="M27" i="15"/>
  <c r="AO9" i="1"/>
  <c r="D2" i="33"/>
  <c r="F42" i="15"/>
  <c r="M8" i="15"/>
  <c r="F43" i="67"/>
  <c r="D2" i="36"/>
  <c r="M28" i="67"/>
  <c r="F3" i="73"/>
  <c r="D4" i="73"/>
  <c r="D35" i="9"/>
  <c r="F38" i="15"/>
  <c r="F13" i="15"/>
  <c r="E7" i="76"/>
  <c r="M29" i="15"/>
  <c r="F26" i="67"/>
  <c r="L48" i="15"/>
  <c r="L47" i="15"/>
  <c r="F6" i="15"/>
  <c r="AO10" i="1"/>
  <c r="F36" i="67"/>
  <c r="F36" i="15"/>
  <c r="J15" i="67"/>
  <c r="B10" i="76"/>
  <c r="F16" i="15"/>
  <c r="L47" i="67"/>
  <c r="F42" i="67"/>
  <c r="F9" i="15"/>
  <c r="B11" i="76"/>
  <c r="M23" i="15"/>
  <c r="M9" i="67"/>
  <c r="F40" i="67"/>
  <c r="L48" i="67"/>
  <c r="F5" i="73"/>
  <c r="M22" i="67"/>
  <c r="F43" i="15"/>
  <c r="B12" i="76"/>
  <c r="B8" i="76"/>
  <c r="F37" i="67"/>
  <c r="D2" i="37"/>
  <c r="E9" i="76"/>
  <c r="C76" i="15"/>
  <c r="D6" i="73"/>
  <c r="AO11" i="1"/>
  <c r="D3" i="73"/>
  <c r="E2" i="68"/>
  <c r="E11" i="76"/>
  <c r="F38" i="67"/>
  <c r="AO12" i="1"/>
  <c r="D34" i="9"/>
  <c r="M23" i="67"/>
  <c r="D2" i="35"/>
  <c r="E12" i="76"/>
  <c r="AO13" i="1"/>
  <c r="F13" i="67"/>
  <c r="J15" i="15"/>
  <c r="F8" i="15"/>
  <c r="F7" i="73"/>
  <c r="AO8" i="1"/>
  <c r="M9" i="15"/>
  <c r="D7" i="73"/>
  <c r="F9" i="67"/>
  <c r="M6" i="67"/>
  <c r="F8" i="67"/>
  <c r="M24" i="67"/>
  <c r="F6" i="73"/>
  <c r="F6" i="67"/>
  <c r="E2" i="69"/>
  <c r="F26" i="15"/>
  <c r="F40" i="15"/>
  <c r="M22" i="15"/>
  <c r="B9" i="76"/>
  <c r="F37" i="15"/>
  <c r="E13" i="76"/>
  <c r="D5" i="73"/>
  <c r="C76" i="67"/>
  <c r="D2" i="34"/>
  <c r="M26" i="15"/>
  <c r="M28" i="15"/>
  <c r="H15" i="33" l="1"/>
  <c r="AB15" i="33" s="1"/>
  <c r="J15" i="33"/>
  <c r="AC15" i="33" s="1"/>
  <c r="F15" i="33"/>
  <c r="F34" i="15"/>
  <c r="F62" i="15" s="1"/>
  <c r="M20" i="67"/>
  <c r="BO5" i="3"/>
  <c r="G28" i="6"/>
  <c r="BL16" i="3"/>
  <c r="AZ16" i="3"/>
  <c r="BH5" i="3"/>
  <c r="E10" i="6" s="1"/>
  <c r="F29" i="6"/>
  <c r="E29" i="6" s="1"/>
  <c r="K15" i="1" s="1"/>
  <c r="BL14" i="3"/>
  <c r="BA14" i="3"/>
  <c r="AQ13" i="1"/>
  <c r="AR10" i="1"/>
  <c r="T12" i="1"/>
  <c r="AQ12" i="1"/>
  <c r="S33" i="33"/>
  <c r="U11" i="33"/>
  <c r="AC11" i="33"/>
  <c r="W33" i="33"/>
  <c r="G111" i="33"/>
  <c r="H111" i="33" s="1"/>
  <c r="I111" i="33" s="1"/>
  <c r="J111" i="33" s="1"/>
  <c r="K111" i="33" s="1"/>
  <c r="L111" i="33" s="1"/>
  <c r="M111" i="33" s="1"/>
  <c r="J36" i="33"/>
  <c r="AC36" i="33" s="1"/>
  <c r="H36" i="33"/>
  <c r="F36" i="33"/>
  <c r="W38" i="33"/>
  <c r="F32" i="33"/>
  <c r="AA32" i="33" s="1"/>
  <c r="H32" i="33"/>
  <c r="AB32" i="33" s="1"/>
  <c r="U40" i="33"/>
  <c r="U41" i="33"/>
  <c r="S40" i="33"/>
  <c r="U43" i="33"/>
  <c r="W43" i="33"/>
  <c r="S43" i="33"/>
  <c r="S39" i="33"/>
  <c r="AA37" i="33"/>
  <c r="AC37" i="33"/>
  <c r="U37" i="33"/>
  <c r="AA34" i="33"/>
  <c r="AC28" i="33"/>
  <c r="AB28" i="33"/>
  <c r="F91" i="33"/>
  <c r="G91" i="33" s="1"/>
  <c r="H91" i="33" s="1"/>
  <c r="I91" i="33" s="1"/>
  <c r="J91" i="33" s="1"/>
  <c r="K91" i="33" s="1"/>
  <c r="L91" i="33" s="1"/>
  <c r="M91" i="33" s="1"/>
  <c r="J27" i="33"/>
  <c r="W27" i="33" s="1"/>
  <c r="S27" i="33"/>
  <c r="F87" i="33"/>
  <c r="G87" i="33" s="1"/>
  <c r="H87" i="33" s="1"/>
  <c r="I87" i="33" s="1"/>
  <c r="J87" i="33" s="1"/>
  <c r="K87" i="33" s="1"/>
  <c r="L87" i="33" s="1"/>
  <c r="M87" i="33" s="1"/>
  <c r="H25" i="33"/>
  <c r="U25" i="33" s="1"/>
  <c r="F25" i="33"/>
  <c r="AA25" i="33" s="1"/>
  <c r="J25" i="33"/>
  <c r="AC25" i="33" s="1"/>
  <c r="W39" i="33"/>
  <c r="U39" i="33"/>
  <c r="AB38" i="33"/>
  <c r="S38" i="33"/>
  <c r="AB42" i="33"/>
  <c r="S42" i="33"/>
  <c r="W42" i="33"/>
  <c r="AA35" i="33"/>
  <c r="U35" i="33"/>
  <c r="AC34" i="33"/>
  <c r="AB34" i="33"/>
  <c r="AB33" i="33"/>
  <c r="W32" i="33"/>
  <c r="S28" i="33"/>
  <c r="AB27" i="33"/>
  <c r="W26" i="33"/>
  <c r="F85" i="33"/>
  <c r="G85" i="33" s="1"/>
  <c r="H23" i="33"/>
  <c r="AB23" i="33" s="1"/>
  <c r="F23" i="33"/>
  <c r="S23" i="33" s="1"/>
  <c r="J23" i="33"/>
  <c r="W23" i="33" s="1"/>
  <c r="AB21" i="33"/>
  <c r="W21" i="33"/>
  <c r="AA19" i="33"/>
  <c r="AC19" i="33"/>
  <c r="W17" i="33"/>
  <c r="S8" i="33"/>
  <c r="AA10" i="33"/>
  <c r="AB10" i="33"/>
  <c r="W10" i="33"/>
  <c r="S11" i="34"/>
  <c r="AA11" i="34"/>
  <c r="C14" i="71"/>
  <c r="U9" i="21"/>
  <c r="U17" i="33"/>
  <c r="AC35" i="33"/>
  <c r="AQ9" i="1"/>
  <c r="AA29" i="21"/>
  <c r="U19" i="39"/>
  <c r="W30" i="34"/>
  <c r="AC30" i="34"/>
  <c r="AA9" i="33"/>
  <c r="S9" i="33"/>
  <c r="AC34" i="35"/>
  <c r="W34" i="35"/>
  <c r="W27" i="35"/>
  <c r="AC27" i="35"/>
  <c r="S17" i="33"/>
  <c r="AC20" i="36"/>
  <c r="S27" i="36"/>
  <c r="AZ343" i="3"/>
  <c r="BL495" i="3"/>
  <c r="AZ495" i="3" s="1"/>
  <c r="BQ5" i="3"/>
  <c r="F28" i="6" s="1"/>
  <c r="AZ565" i="3"/>
  <c r="AZ581" i="3"/>
  <c r="AZ504" i="3"/>
  <c r="S39" i="37"/>
  <c r="AA39" i="37"/>
  <c r="AB46" i="33"/>
  <c r="U46" i="33"/>
  <c r="AB31" i="33"/>
  <c r="U31" i="33"/>
  <c r="AC16" i="35"/>
  <c r="W16" i="35"/>
  <c r="H36" i="35"/>
  <c r="J36" i="35"/>
  <c r="F36" i="35"/>
  <c r="AB14" i="37"/>
  <c r="U14" i="37"/>
  <c r="AC26" i="37"/>
  <c r="W26" i="37"/>
  <c r="U27" i="36"/>
  <c r="AB27" i="36"/>
  <c r="W40" i="37"/>
  <c r="AZ557" i="3"/>
  <c r="AZ515" i="3"/>
  <c r="AZ508" i="3"/>
  <c r="AZ532" i="3"/>
  <c r="AB11" i="36"/>
  <c r="U11" i="36"/>
  <c r="W11" i="37"/>
  <c r="U19" i="33"/>
  <c r="D20" i="53"/>
  <c r="B40" i="72" s="1"/>
  <c r="D10" i="52"/>
  <c r="S10" i="21"/>
  <c r="U21" i="39"/>
  <c r="AZ382" i="3"/>
  <c r="AZ553" i="3"/>
  <c r="AZ534" i="3"/>
  <c r="AC11" i="36"/>
  <c r="W11" i="36"/>
  <c r="E79" i="21"/>
  <c r="F79" i="21" s="1"/>
  <c r="G79" i="21" s="1"/>
  <c r="F17" i="21"/>
  <c r="H17" i="21"/>
  <c r="AB12" i="33"/>
  <c r="U12" i="33"/>
  <c r="AA36" i="39"/>
  <c r="AZ573" i="3"/>
  <c r="AZ496" i="3"/>
  <c r="AB45" i="33"/>
  <c r="S14" i="33"/>
  <c r="AA14" i="33"/>
  <c r="BA586" i="3"/>
  <c r="AZ586" i="3" s="1"/>
  <c r="AB8" i="35"/>
  <c r="U8" i="35"/>
  <c r="J13" i="33"/>
  <c r="H13" i="33"/>
  <c r="F13" i="33"/>
  <c r="F12" i="34"/>
  <c r="J12" i="34"/>
  <c r="J46" i="34"/>
  <c r="H46" i="34"/>
  <c r="S32" i="39"/>
  <c r="T9" i="1"/>
  <c r="M7" i="1"/>
  <c r="AH7" i="1"/>
  <c r="W11" i="39"/>
  <c r="AC11" i="39"/>
  <c r="AB44" i="39"/>
  <c r="AC44" i="33"/>
  <c r="W44" i="33"/>
  <c r="AC29" i="33"/>
  <c r="W29" i="33"/>
  <c r="W30" i="35"/>
  <c r="AC30" i="35"/>
  <c r="E125" i="21"/>
  <c r="F125" i="21" s="1"/>
  <c r="G125" i="21" s="1"/>
  <c r="F43" i="21"/>
  <c r="H43" i="21"/>
  <c r="AB43" i="21" s="1"/>
  <c r="C77" i="9"/>
  <c r="C74" i="9" s="1"/>
  <c r="AZ321" i="3"/>
  <c r="AZ541" i="3"/>
  <c r="AZ577" i="3"/>
  <c r="AZ558" i="3"/>
  <c r="E78" i="34"/>
  <c r="F78" i="34" s="1"/>
  <c r="G78" i="34" s="1"/>
  <c r="F15" i="34"/>
  <c r="J15" i="34"/>
  <c r="AC15" i="34" s="1"/>
  <c r="H15" i="34"/>
  <c r="G67" i="34"/>
  <c r="H67" i="34" s="1"/>
  <c r="I67" i="34" s="1"/>
  <c r="F10" i="34"/>
  <c r="AA10" i="34" s="1"/>
  <c r="U12" i="35"/>
  <c r="AB12" i="35"/>
  <c r="AC14" i="39"/>
  <c r="W32" i="36"/>
  <c r="AA45" i="33"/>
  <c r="U26" i="33"/>
  <c r="S10" i="36"/>
  <c r="W9" i="34"/>
  <c r="H9" i="36"/>
  <c r="F26" i="37"/>
  <c r="F44" i="39"/>
  <c r="AC17" i="40"/>
  <c r="AP6" i="1"/>
  <c r="C36" i="69" s="1"/>
  <c r="AH6" i="1"/>
  <c r="S21" i="40"/>
  <c r="AB11" i="21"/>
  <c r="W11" i="35"/>
  <c r="S44" i="33"/>
  <c r="F44" i="21"/>
  <c r="U30" i="35"/>
  <c r="W40" i="33"/>
  <c r="W8" i="36"/>
  <c r="J9" i="33"/>
  <c r="BA550" i="3"/>
  <c r="AZ550" i="3" s="1"/>
  <c r="AB23" i="40"/>
  <c r="W25" i="37"/>
  <c r="J35" i="21"/>
  <c r="F9" i="34"/>
  <c r="H26" i="37"/>
  <c r="G566" i="3"/>
  <c r="AZ410" i="3"/>
  <c r="S26" i="33"/>
  <c r="H35" i="21"/>
  <c r="BA551" i="3"/>
  <c r="AZ551" i="3" s="1"/>
  <c r="AZ411" i="3"/>
  <c r="AZ477" i="3"/>
  <c r="AZ460" i="3"/>
  <c r="AZ474" i="3"/>
  <c r="BL409" i="3"/>
  <c r="AZ409" i="3" s="1"/>
  <c r="G410" i="3"/>
  <c r="BL426" i="3"/>
  <c r="AZ426" i="3" s="1"/>
  <c r="G427" i="3"/>
  <c r="BA429" i="3"/>
  <c r="BL441" i="3"/>
  <c r="AZ441" i="3" s="1"/>
  <c r="G442" i="3"/>
  <c r="BA445" i="3"/>
  <c r="AZ445" i="3" s="1"/>
  <c r="BA447" i="3"/>
  <c r="AZ447" i="3" s="1"/>
  <c r="BL451" i="3"/>
  <c r="AZ451" i="3" s="1"/>
  <c r="BL454" i="3"/>
  <c r="G455" i="3"/>
  <c r="AZ242" i="3"/>
  <c r="AZ161" i="3"/>
  <c r="BL398" i="3"/>
  <c r="AZ398" i="3" s="1"/>
  <c r="BA419" i="3"/>
  <c r="AZ419" i="3" s="1"/>
  <c r="BA444" i="3"/>
  <c r="AZ448" i="3"/>
  <c r="AZ208" i="3"/>
  <c r="AZ282" i="3"/>
  <c r="AZ118" i="3"/>
  <c r="M20" i="15"/>
  <c r="BA402" i="3"/>
  <c r="AZ402" i="3" s="1"/>
  <c r="BA413" i="3"/>
  <c r="AZ413" i="3" s="1"/>
  <c r="BL429" i="3"/>
  <c r="BL444" i="3"/>
  <c r="BA450" i="3"/>
  <c r="AZ450" i="3" s="1"/>
  <c r="BL460" i="3"/>
  <c r="BA463" i="3"/>
  <c r="AZ463" i="3" s="1"/>
  <c r="BA467" i="3"/>
  <c r="BA470" i="3"/>
  <c r="AZ470" i="3" s="1"/>
  <c r="BA472" i="3"/>
  <c r="AZ472" i="3" s="1"/>
  <c r="BA473" i="3"/>
  <c r="AZ473" i="3" s="1"/>
  <c r="BA475" i="3"/>
  <c r="AZ475" i="3" s="1"/>
  <c r="BA478" i="3"/>
  <c r="AZ478" i="3" s="1"/>
  <c r="BA480" i="3"/>
  <c r="BA481" i="3"/>
  <c r="AZ481" i="3" s="1"/>
  <c r="BA483" i="3"/>
  <c r="AZ483" i="3" s="1"/>
  <c r="BA486" i="3"/>
  <c r="AZ486" i="3" s="1"/>
  <c r="BL490" i="3"/>
  <c r="AZ490" i="3" s="1"/>
  <c r="BL308" i="3"/>
  <c r="AZ308" i="3" s="1"/>
  <c r="BA323" i="3"/>
  <c r="AZ323" i="3" s="1"/>
  <c r="BA331" i="3"/>
  <c r="AZ331" i="3" s="1"/>
  <c r="BA349" i="3"/>
  <c r="AZ349" i="3" s="1"/>
  <c r="BA358" i="3"/>
  <c r="AZ358" i="3" s="1"/>
  <c r="BA388" i="3"/>
  <c r="AZ388" i="3" s="1"/>
  <c r="AZ397" i="3"/>
  <c r="BA218" i="3"/>
  <c r="AZ218" i="3" s="1"/>
  <c r="BL223" i="3"/>
  <c r="AZ223" i="3" s="1"/>
  <c r="BL226" i="3"/>
  <c r="BL242" i="3"/>
  <c r="BA257" i="3"/>
  <c r="AZ257" i="3" s="1"/>
  <c r="BL262" i="3"/>
  <c r="AZ262" i="3" s="1"/>
  <c r="BA280" i="3"/>
  <c r="AZ280" i="3" s="1"/>
  <c r="BL285" i="3"/>
  <c r="AZ285" i="3" s="1"/>
  <c r="BA114" i="3"/>
  <c r="AZ114" i="3" s="1"/>
  <c r="BA407" i="3"/>
  <c r="AZ407" i="3" s="1"/>
  <c r="BA408" i="3"/>
  <c r="AZ408" i="3" s="1"/>
  <c r="BA424" i="3"/>
  <c r="AZ424" i="3" s="1"/>
  <c r="BA433" i="3"/>
  <c r="AZ433" i="3" s="1"/>
  <c r="BL443" i="3"/>
  <c r="AZ443" i="3" s="1"/>
  <c r="BL446" i="3"/>
  <c r="AZ446" i="3" s="1"/>
  <c r="G447" i="3"/>
  <c r="BL463" i="3"/>
  <c r="BL464" i="3"/>
  <c r="AZ464" i="3" s="1"/>
  <c r="BA466" i="3"/>
  <c r="BA468" i="3"/>
  <c r="AZ468" i="3" s="1"/>
  <c r="BA469" i="3"/>
  <c r="AZ469" i="3" s="1"/>
  <c r="BA479" i="3"/>
  <c r="AZ479" i="3" s="1"/>
  <c r="BL488" i="3"/>
  <c r="AZ488" i="3" s="1"/>
  <c r="BL324" i="3"/>
  <c r="AZ324" i="3" s="1"/>
  <c r="BA339" i="3"/>
  <c r="AZ339" i="3" s="1"/>
  <c r="BL350" i="3"/>
  <c r="AZ350" i="3" s="1"/>
  <c r="BA368" i="3"/>
  <c r="AZ368" i="3" s="1"/>
  <c r="BA395" i="3"/>
  <c r="AZ395" i="3" s="1"/>
  <c r="BL208" i="3"/>
  <c r="AZ221" i="3"/>
  <c r="BL222" i="3"/>
  <c r="AZ222" i="3" s="1"/>
  <c r="BA234" i="3"/>
  <c r="AZ234" i="3" s="1"/>
  <c r="BA237" i="3"/>
  <c r="AZ237" i="3" s="1"/>
  <c r="BA254" i="3"/>
  <c r="AZ254" i="3" s="1"/>
  <c r="AZ258" i="3"/>
  <c r="BL259" i="3"/>
  <c r="AZ259" i="3" s="1"/>
  <c r="BA274" i="3"/>
  <c r="AZ274" i="3" s="1"/>
  <c r="BA277" i="3"/>
  <c r="AZ277" i="3" s="1"/>
  <c r="AZ278" i="3"/>
  <c r="BL282" i="3"/>
  <c r="AZ284" i="3"/>
  <c r="BA302" i="3"/>
  <c r="AZ302" i="3" s="1"/>
  <c r="BL115" i="3"/>
  <c r="AZ115" i="3" s="1"/>
  <c r="BL135" i="3"/>
  <c r="AZ135" i="3" s="1"/>
  <c r="AZ141" i="3"/>
  <c r="A15" i="62"/>
  <c r="B61" i="72" s="1"/>
  <c r="BL401" i="3"/>
  <c r="AZ401" i="3" s="1"/>
  <c r="G402" i="3"/>
  <c r="G407" i="3"/>
  <c r="BL412" i="3"/>
  <c r="AZ412" i="3" s="1"/>
  <c r="G413" i="3"/>
  <c r="BL418" i="3"/>
  <c r="AZ418" i="3" s="1"/>
  <c r="G419" i="3"/>
  <c r="BA436" i="3"/>
  <c r="AZ436" i="3" s="1"/>
  <c r="BA439" i="3"/>
  <c r="AZ439" i="3" s="1"/>
  <c r="BL462" i="3"/>
  <c r="AZ462" i="3" s="1"/>
  <c r="BL466" i="3"/>
  <c r="BL467" i="3"/>
  <c r="BL469" i="3"/>
  <c r="BL480" i="3"/>
  <c r="BA485" i="3"/>
  <c r="AZ485" i="3" s="1"/>
  <c r="BL487" i="3"/>
  <c r="AZ487" i="3" s="1"/>
  <c r="BL314" i="3"/>
  <c r="AZ314" i="3" s="1"/>
  <c r="BA367" i="3"/>
  <c r="AZ367" i="3" s="1"/>
  <c r="BA386" i="3"/>
  <c r="AZ386" i="3" s="1"/>
  <c r="BL397" i="3"/>
  <c r="BA215" i="3"/>
  <c r="AZ215" i="3" s="1"/>
  <c r="AZ216" i="3"/>
  <c r="BA217" i="3"/>
  <c r="AZ217" i="3" s="1"/>
  <c r="BL219" i="3"/>
  <c r="AZ219" i="3" s="1"/>
  <c r="BL239" i="3"/>
  <c r="AZ239" i="3" s="1"/>
  <c r="BA251" i="3"/>
  <c r="AZ251" i="3" s="1"/>
  <c r="AZ252" i="3"/>
  <c r="BL256" i="3"/>
  <c r="AZ256" i="3" s="1"/>
  <c r="BA271" i="3"/>
  <c r="AZ271" i="3" s="1"/>
  <c r="BL279" i="3"/>
  <c r="AZ279" i="3" s="1"/>
  <c r="BL406" i="3"/>
  <c r="AZ406" i="3" s="1"/>
  <c r="BL423" i="3"/>
  <c r="AZ423" i="3" s="1"/>
  <c r="G424" i="3"/>
  <c r="BA427" i="3"/>
  <c r="AZ427" i="3" s="1"/>
  <c r="BL432" i="3"/>
  <c r="AZ432" i="3" s="1"/>
  <c r="BA435" i="3"/>
  <c r="BL449" i="3"/>
  <c r="AZ449" i="3" s="1"/>
  <c r="G450" i="3"/>
  <c r="BA453" i="3"/>
  <c r="AZ454" i="3"/>
  <c r="AZ455" i="3"/>
  <c r="BL471" i="3"/>
  <c r="AZ471" i="3" s="1"/>
  <c r="G472" i="3"/>
  <c r="BL474" i="3"/>
  <c r="G475" i="3"/>
  <c r="BL477" i="3"/>
  <c r="BL482" i="3"/>
  <c r="AZ482" i="3" s="1"/>
  <c r="G483" i="3"/>
  <c r="BL485" i="3"/>
  <c r="BL330" i="3"/>
  <c r="AZ330" i="3" s="1"/>
  <c r="BL348" i="3"/>
  <c r="AZ348" i="3" s="1"/>
  <c r="BL236" i="3"/>
  <c r="AZ236" i="3" s="1"/>
  <c r="BL253" i="3"/>
  <c r="AZ253" i="3" s="1"/>
  <c r="AZ267" i="3"/>
  <c r="BL273" i="3"/>
  <c r="AZ273" i="3" s="1"/>
  <c r="BL276" i="3"/>
  <c r="AZ276" i="3" s="1"/>
  <c r="AZ298" i="3"/>
  <c r="AZ121" i="3"/>
  <c r="D78" i="9"/>
  <c r="AZ399" i="3"/>
  <c r="AZ416" i="3"/>
  <c r="BA452" i="3"/>
  <c r="AZ452" i="3" s="1"/>
  <c r="BL476" i="3"/>
  <c r="AZ476" i="3" s="1"/>
  <c r="BL484" i="3"/>
  <c r="AZ484" i="3" s="1"/>
  <c r="BA492" i="3"/>
  <c r="AZ492" i="3" s="1"/>
  <c r="AZ246" i="3"/>
  <c r="AZ289" i="3"/>
  <c r="AZ292" i="3"/>
  <c r="BA294" i="3"/>
  <c r="AZ294" i="3" s="1"/>
  <c r="AZ122" i="3"/>
  <c r="AZ125" i="3"/>
  <c r="AZ137" i="3"/>
  <c r="BL142" i="3"/>
  <c r="AZ142" i="3" s="1"/>
  <c r="BA405" i="3"/>
  <c r="AZ405" i="3" s="1"/>
  <c r="BA422" i="3"/>
  <c r="AZ422" i="3" s="1"/>
  <c r="BL425" i="3"/>
  <c r="AZ425" i="3" s="1"/>
  <c r="BA430" i="3"/>
  <c r="AZ430" i="3" s="1"/>
  <c r="BL435" i="3"/>
  <c r="G436" i="3"/>
  <c r="BL438" i="3"/>
  <c r="AZ438" i="3" s="1"/>
  <c r="G439" i="3"/>
  <c r="BL452" i="3"/>
  <c r="BL453" i="3"/>
  <c r="BA457" i="3"/>
  <c r="AZ457" i="3" s="1"/>
  <c r="BA458" i="3"/>
  <c r="AZ458" i="3" s="1"/>
  <c r="BA459" i="3"/>
  <c r="AZ459" i="3" s="1"/>
  <c r="BA461" i="3"/>
  <c r="AZ461" i="3" s="1"/>
  <c r="BA335" i="3"/>
  <c r="AZ335" i="3" s="1"/>
  <c r="BA392" i="3"/>
  <c r="AZ392" i="3" s="1"/>
  <c r="BA211" i="3"/>
  <c r="AZ211" i="3" s="1"/>
  <c r="AZ226" i="3"/>
  <c r="AZ293" i="3"/>
  <c r="BA129" i="3"/>
  <c r="AZ129" i="3" s="1"/>
  <c r="BA157" i="3"/>
  <c r="AZ99" i="3"/>
  <c r="BL127" i="3"/>
  <c r="AZ127" i="3" s="1"/>
  <c r="BA130" i="3"/>
  <c r="AZ130" i="3" s="1"/>
  <c r="BL139" i="3"/>
  <c r="AZ139" i="3" s="1"/>
  <c r="G140" i="3"/>
  <c r="BA145" i="3"/>
  <c r="AZ145" i="3" s="1"/>
  <c r="BA146" i="3"/>
  <c r="AZ146" i="3" s="1"/>
  <c r="BA153" i="3"/>
  <c r="AZ153" i="3" s="1"/>
  <c r="BA156" i="3"/>
  <c r="AZ156" i="3" s="1"/>
  <c r="BA160" i="3"/>
  <c r="AZ160" i="3" s="1"/>
  <c r="G162" i="3"/>
  <c r="BA173" i="3"/>
  <c r="AZ173" i="3" s="1"/>
  <c r="G179" i="3"/>
  <c r="AZ205" i="3"/>
  <c r="AZ18" i="3"/>
  <c r="G127" i="3"/>
  <c r="G139" i="3"/>
  <c r="BL143" i="3"/>
  <c r="AZ143" i="3" s="1"/>
  <c r="BA152" i="3"/>
  <c r="AZ152" i="3" s="1"/>
  <c r="BL157" i="3"/>
  <c r="BL159" i="3"/>
  <c r="AZ159" i="3" s="1"/>
  <c r="BA172" i="3"/>
  <c r="AZ172" i="3" s="1"/>
  <c r="AZ38" i="3"/>
  <c r="BL145" i="3"/>
  <c r="BL161" i="3"/>
  <c r="AZ64" i="3"/>
  <c r="AZ68" i="3"/>
  <c r="AZ81" i="3"/>
  <c r="BA124" i="3"/>
  <c r="AZ124" i="3" s="1"/>
  <c r="BL149" i="3"/>
  <c r="AZ149" i="3" s="1"/>
  <c r="BL151" i="3"/>
  <c r="AZ151" i="3" s="1"/>
  <c r="BL154" i="3"/>
  <c r="AZ154" i="3" s="1"/>
  <c r="BA168" i="3"/>
  <c r="AZ168" i="3" s="1"/>
  <c r="AZ25" i="3"/>
  <c r="AZ100" i="3"/>
  <c r="BL122" i="3"/>
  <c r="BA134" i="3"/>
  <c r="AZ134" i="3" s="1"/>
  <c r="BL150" i="3"/>
  <c r="AZ150" i="3" s="1"/>
  <c r="G151" i="3"/>
  <c r="BL170" i="3"/>
  <c r="AZ170" i="3" s="1"/>
  <c r="AZ54" i="3"/>
  <c r="AZ56" i="3"/>
  <c r="AZ57" i="3"/>
  <c r="AZ90" i="3"/>
  <c r="BL133" i="3"/>
  <c r="AZ133" i="3" s="1"/>
  <c r="BL155" i="3"/>
  <c r="AZ155" i="3" s="1"/>
  <c r="C46" i="71"/>
  <c r="D45" i="71"/>
  <c r="BA102" i="3"/>
  <c r="AZ102" i="3" s="1"/>
  <c r="BA107" i="3"/>
  <c r="BA108" i="3"/>
  <c r="AZ108" i="3" s="1"/>
  <c r="E59" i="43"/>
  <c r="B57" i="43" s="1"/>
  <c r="O60" i="71"/>
  <c r="D60" i="71"/>
  <c r="O59" i="71"/>
  <c r="AA20" i="71"/>
  <c r="AA24" i="71"/>
  <c r="AA22" i="71"/>
  <c r="C57" i="71"/>
  <c r="D56" i="71"/>
  <c r="X18" i="71"/>
  <c r="AA9" i="71"/>
  <c r="AA8" i="71"/>
  <c r="AA7" i="71"/>
  <c r="BL100" i="3"/>
  <c r="G101" i="3"/>
  <c r="P27" i="6"/>
  <c r="D44" i="71"/>
  <c r="B30" i="71"/>
  <c r="S30" i="71" s="1"/>
  <c r="AB24" i="71"/>
  <c r="B45" i="71"/>
  <c r="B46" i="71" s="1"/>
  <c r="S46" i="71" s="1"/>
  <c r="Q62" i="71"/>
  <c r="F61" i="71"/>
  <c r="Y17" i="71"/>
  <c r="Z17" i="71" s="1"/>
  <c r="AA15" i="71"/>
  <c r="AB9" i="71"/>
  <c r="AB8" i="71"/>
  <c r="AB7" i="71"/>
  <c r="AB5" i="71"/>
  <c r="AB6" i="71"/>
  <c r="G98" i="3"/>
  <c r="G5" i="3" s="1"/>
  <c r="B3" i="3" s="1"/>
  <c r="BL107" i="3"/>
  <c r="I15" i="66"/>
  <c r="X32" i="71"/>
  <c r="AA23" i="71"/>
  <c r="X31" i="71"/>
  <c r="C37" i="71"/>
  <c r="D36" i="71"/>
  <c r="AJ10" i="43"/>
  <c r="AB12" i="43"/>
  <c r="AB10" i="43"/>
  <c r="X19" i="71"/>
  <c r="AZ104" i="3"/>
  <c r="I10" i="66"/>
  <c r="T50" i="71"/>
  <c r="AA3" i="71"/>
  <c r="C25" i="71"/>
  <c r="D24" i="71"/>
  <c r="Y28" i="71"/>
  <c r="Z28" i="71" s="1"/>
  <c r="Y26" i="71"/>
  <c r="Z26" i="71" s="1"/>
  <c r="C32" i="71"/>
  <c r="Y22" i="71"/>
  <c r="Z22" i="71" s="1"/>
  <c r="Y31" i="71"/>
  <c r="Z31" i="71" s="1"/>
  <c r="Y30" i="71"/>
  <c r="Z30" i="71" s="1"/>
  <c r="U66" i="71"/>
  <c r="E65" i="71"/>
  <c r="E64" i="71" s="1"/>
  <c r="AB19" i="71"/>
  <c r="AB20" i="71"/>
  <c r="Y16" i="71"/>
  <c r="Z16" i="71" s="1"/>
  <c r="X16" i="71"/>
  <c r="AZ112" i="3"/>
  <c r="Y25" i="71"/>
  <c r="Z25" i="71" s="1"/>
  <c r="X30" i="71"/>
  <c r="F37" i="71"/>
  <c r="F38" i="71" s="1"/>
  <c r="V38" i="71" s="1"/>
  <c r="C41" i="71"/>
  <c r="D41" i="71" s="1"/>
  <c r="D40" i="71"/>
  <c r="N61" i="71"/>
  <c r="B60" i="71"/>
  <c r="T74" i="71"/>
  <c r="C73" i="71"/>
  <c r="N56" i="9"/>
  <c r="M56" i="9"/>
  <c r="K56" i="9"/>
  <c r="AA16" i="71"/>
  <c r="AA6" i="71"/>
  <c r="BL91" i="3"/>
  <c r="AZ91" i="3" s="1"/>
  <c r="BA105" i="3"/>
  <c r="AZ105" i="3" s="1"/>
  <c r="BL110" i="3"/>
  <c r="AZ110" i="3" s="1"/>
  <c r="G111" i="3"/>
  <c r="AA25" i="40"/>
  <c r="X20" i="71"/>
  <c r="X22" i="71"/>
  <c r="B22" i="71"/>
  <c r="C53" i="71"/>
  <c r="AA18" i="71"/>
  <c r="AA17" i="71"/>
  <c r="X12" i="71"/>
  <c r="Y12" i="71"/>
  <c r="Z12" i="71" s="1"/>
  <c r="AA11" i="71"/>
  <c r="AA5" i="71"/>
  <c r="BL88" i="3"/>
  <c r="AZ88" i="3" s="1"/>
  <c r="AB21" i="37"/>
  <c r="U21" i="37"/>
  <c r="E58" i="71"/>
  <c r="U58" i="71" s="1"/>
  <c r="X24" i="71"/>
  <c r="AB28" i="71"/>
  <c r="AB27" i="71"/>
  <c r="D78" i="71"/>
  <c r="C77" i="71"/>
  <c r="AB17" i="71"/>
  <c r="X8" i="71"/>
  <c r="F3" i="35"/>
  <c r="B75" i="43"/>
  <c r="B66" i="43"/>
  <c r="C29" i="39"/>
  <c r="Y20" i="71"/>
  <c r="Z20" i="71" s="1"/>
  <c r="AB23" i="71"/>
  <c r="AB21" i="71"/>
  <c r="AB22" i="71"/>
  <c r="X23" i="71"/>
  <c r="X25" i="71"/>
  <c r="X27" i="71"/>
  <c r="X28" i="71"/>
  <c r="AF12" i="43"/>
  <c r="AF10" i="43"/>
  <c r="AB12" i="71"/>
  <c r="Y8" i="71"/>
  <c r="Z8" i="71" s="1"/>
  <c r="X11" i="71"/>
  <c r="X6" i="71"/>
  <c r="K108" i="43"/>
  <c r="G108" i="43"/>
  <c r="C32" i="66"/>
  <c r="E26" i="66" s="1"/>
  <c r="B86" i="43"/>
  <c r="Y19" i="71"/>
  <c r="Z19" i="71" s="1"/>
  <c r="AA27" i="71"/>
  <c r="AA10" i="43"/>
  <c r="P61" i="15"/>
  <c r="Y18" i="71"/>
  <c r="Z18" i="71" s="1"/>
  <c r="F18" i="71"/>
  <c r="F17" i="71" s="1"/>
  <c r="F16" i="71" s="1"/>
  <c r="F15" i="71" s="1"/>
  <c r="F14" i="71" s="1"/>
  <c r="F13" i="71" s="1"/>
  <c r="F12" i="71" s="1"/>
  <c r="F11" i="71" s="1"/>
  <c r="AB15" i="71"/>
  <c r="X15" i="71"/>
  <c r="X7" i="71"/>
  <c r="C65" i="71"/>
  <c r="E24" i="71"/>
  <c r="E25" i="71" s="1"/>
  <c r="E26" i="71" s="1"/>
  <c r="U26" i="71" s="1"/>
  <c r="Y29" i="71"/>
  <c r="Z29" i="71" s="1"/>
  <c r="S62" i="71"/>
  <c r="AD10" i="43"/>
  <c r="Z12" i="43"/>
  <c r="AB18" i="71"/>
  <c r="M100" i="43"/>
  <c r="AB21" i="21"/>
  <c r="Y7" i="71"/>
  <c r="Z7" i="71" s="1"/>
  <c r="AA21" i="71"/>
  <c r="X21" i="71"/>
  <c r="AA30" i="71"/>
  <c r="Y27" i="71"/>
  <c r="Z27" i="71" s="1"/>
  <c r="AB11" i="71"/>
  <c r="Y5" i="71"/>
  <c r="Z5" i="71" s="1"/>
  <c r="I100" i="43"/>
  <c r="C51" i="10"/>
  <c r="A13" i="51" s="1"/>
  <c r="B11" i="72" s="1"/>
  <c r="C40" i="68"/>
  <c r="S21" i="33"/>
  <c r="Y21" i="71"/>
  <c r="Z21" i="71" s="1"/>
  <c r="E18" i="71"/>
  <c r="Y15" i="71"/>
  <c r="Z15" i="71" s="1"/>
  <c r="X9" i="71"/>
  <c r="Y6" i="71"/>
  <c r="Z6" i="71" s="1"/>
  <c r="AA19" i="71"/>
  <c r="N62" i="71"/>
  <c r="G17" i="43"/>
  <c r="C16" i="43" s="1"/>
  <c r="K5" i="4"/>
  <c r="B47" i="48" s="1"/>
  <c r="F90" i="34"/>
  <c r="G90" i="34" s="1"/>
  <c r="H90" i="34" s="1"/>
  <c r="I90" i="34" s="1"/>
  <c r="J90" i="34" s="1"/>
  <c r="K90" i="34" s="1"/>
  <c r="L90" i="34" s="1"/>
  <c r="M90" i="34" s="1"/>
  <c r="J27" i="34"/>
  <c r="F27" i="34"/>
  <c r="AA27" i="34" s="1"/>
  <c r="H27" i="34"/>
  <c r="U34" i="34"/>
  <c r="AA41" i="34"/>
  <c r="F118" i="34"/>
  <c r="G118" i="34" s="1"/>
  <c r="H40" i="34"/>
  <c r="J40" i="34"/>
  <c r="AC40" i="34" s="1"/>
  <c r="F40" i="34"/>
  <c r="H37" i="34"/>
  <c r="G112" i="34"/>
  <c r="H112" i="34" s="1"/>
  <c r="I112" i="34" s="1"/>
  <c r="J112" i="34" s="1"/>
  <c r="K112" i="34" s="1"/>
  <c r="L112" i="34" s="1"/>
  <c r="M112" i="34" s="1"/>
  <c r="F37" i="34"/>
  <c r="J37" i="34"/>
  <c r="AC37" i="34" s="1"/>
  <c r="S35" i="34"/>
  <c r="W33" i="34"/>
  <c r="W41" i="34"/>
  <c r="U44" i="34"/>
  <c r="AB36" i="34"/>
  <c r="AC36" i="34"/>
  <c r="AB33" i="34"/>
  <c r="U28" i="34"/>
  <c r="W25" i="34"/>
  <c r="AA39" i="34"/>
  <c r="U38" i="34"/>
  <c r="AC28" i="34"/>
  <c r="S28" i="34"/>
  <c r="S27" i="34"/>
  <c r="U19" i="34"/>
  <c r="AC17" i="34"/>
  <c r="AB17" i="34"/>
  <c r="S21" i="34"/>
  <c r="S23" i="34"/>
  <c r="AB23" i="34"/>
  <c r="W15" i="34"/>
  <c r="AB11" i="34"/>
  <c r="S10" i="34"/>
  <c r="B56" i="43"/>
  <c r="C19" i="39"/>
  <c r="L27" i="6"/>
  <c r="BL5" i="3"/>
  <c r="AZ15" i="3"/>
  <c r="AZ13" i="3"/>
  <c r="E8" i="6"/>
  <c r="E51" i="40" s="1"/>
  <c r="E13" i="6"/>
  <c r="E15" i="6"/>
  <c r="W33" i="21"/>
  <c r="T13" i="1"/>
  <c r="AR11" i="1"/>
  <c r="T11" i="1"/>
  <c r="T10" i="1"/>
  <c r="D9" i="68"/>
  <c r="C9" i="68" s="1"/>
  <c r="D19" i="12"/>
  <c r="C19" i="12" s="1"/>
  <c r="H16" i="1"/>
  <c r="D12" i="52"/>
  <c r="D127" i="9"/>
  <c r="D13" i="52" s="1"/>
  <c r="C70" i="39"/>
  <c r="D68" i="39"/>
  <c r="G7" i="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S6" i="43"/>
  <c r="S4" i="43"/>
  <c r="T4" i="43" s="1"/>
  <c r="V4" i="43" s="1"/>
  <c r="S7" i="43"/>
  <c r="T7" i="43" s="1"/>
  <c r="V7" i="43" s="1"/>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T3" i="43" s="1"/>
  <c r="V3" i="43" s="1"/>
  <c r="J22" i="43"/>
  <c r="B14" i="74"/>
  <c r="E6" i="31"/>
  <c r="E528" i="31" s="1"/>
  <c r="E529" i="31"/>
  <c r="E531"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D22" i="67"/>
  <c r="P7" i="1"/>
  <c r="Q16" i="1"/>
  <c r="F27" i="68" s="1"/>
  <c r="C29" i="68" s="1"/>
  <c r="D27" i="68" s="1"/>
  <c r="D9" i="69"/>
  <c r="C9" i="69" s="1"/>
  <c r="D3" i="34"/>
  <c r="M18" i="9"/>
  <c r="B118" i="9" s="1"/>
  <c r="G30" i="6"/>
  <c r="G31" i="6" s="1"/>
  <c r="O8" i="1"/>
  <c r="P8" i="1" s="1"/>
  <c r="O12" i="1"/>
  <c r="P12" i="1"/>
  <c r="C5" i="43"/>
  <c r="D5" i="43"/>
  <c r="C36" i="43" s="1"/>
  <c r="T35" i="4"/>
  <c r="A19" i="51" s="1"/>
  <c r="B14" i="72" s="1"/>
  <c r="G11" i="1"/>
  <c r="T14" i="43"/>
  <c r="V14" i="43"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T9" i="43"/>
  <c r="V9" i="43" s="1"/>
  <c r="B10" i="71"/>
  <c r="X10" i="71"/>
  <c r="AB10" i="71"/>
  <c r="T15" i="43"/>
  <c r="V15" i="43" s="1"/>
  <c r="Y3" i="71"/>
  <c r="Z3" i="71" s="1"/>
  <c r="F10" i="71"/>
  <c r="F9" i="71" s="1"/>
  <c r="F8" i="71" s="1"/>
  <c r="F7" i="71" s="1"/>
  <c r="F6" i="71" s="1"/>
  <c r="F5" i="71" s="1"/>
  <c r="AF3" i="71"/>
  <c r="P22" i="43" s="1"/>
  <c r="T10" i="43"/>
  <c r="V10" i="43" s="1"/>
  <c r="T16" i="43"/>
  <c r="V16" i="43" s="1"/>
  <c r="T13" i="43"/>
  <c r="V13" i="43" s="1"/>
  <c r="T8" i="43"/>
  <c r="V8"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F7" i="15"/>
  <c r="G1" i="73"/>
  <c r="C16" i="67"/>
  <c r="C16" i="15"/>
  <c r="F7" i="67"/>
  <c r="B1" i="74" l="1"/>
  <c r="C7" i="74" s="1"/>
  <c r="U15" i="33"/>
  <c r="W15" i="33"/>
  <c r="AA15" i="33"/>
  <c r="S15" i="33"/>
  <c r="W36" i="33"/>
  <c r="S37" i="21"/>
  <c r="C6" i="15"/>
  <c r="M7" i="15"/>
  <c r="J6" i="15" s="1"/>
  <c r="F50" i="15"/>
  <c r="C49" i="15" s="1"/>
  <c r="AZ14" i="3"/>
  <c r="E11" i="6"/>
  <c r="E61" i="39" s="1"/>
  <c r="F30" i="6"/>
  <c r="E28" i="6"/>
  <c r="E14" i="6"/>
  <c r="E64" i="39" s="1"/>
  <c r="E12" i="6"/>
  <c r="AA36" i="33"/>
  <c r="S36" i="33"/>
  <c r="U36" i="33"/>
  <c r="AB36" i="33"/>
  <c r="S32" i="33"/>
  <c r="U32" i="33"/>
  <c r="AC27" i="33"/>
  <c r="AB25" i="33"/>
  <c r="S25" i="33"/>
  <c r="W25" i="33"/>
  <c r="AA23" i="33"/>
  <c r="U23" i="33"/>
  <c r="AC23" i="33"/>
  <c r="C6" i="67"/>
  <c r="C32" i="67" s="1"/>
  <c r="M7" i="67"/>
  <c r="J6" i="67" s="1"/>
  <c r="F50" i="67"/>
  <c r="C49" i="67" s="1"/>
  <c r="E379" i="3"/>
  <c r="E367" i="3"/>
  <c r="E546" i="3"/>
  <c r="E92" i="3"/>
  <c r="E272" i="3"/>
  <c r="E332" i="3"/>
  <c r="E356" i="3"/>
  <c r="E42" i="3"/>
  <c r="E488" i="3"/>
  <c r="E18" i="3"/>
  <c r="E190" i="3"/>
  <c r="E235" i="3"/>
  <c r="E522" i="3"/>
  <c r="E49" i="3"/>
  <c r="E340" i="3"/>
  <c r="E50" i="3"/>
  <c r="E62" i="3"/>
  <c r="E218" i="3"/>
  <c r="E365" i="3"/>
  <c r="E121" i="3"/>
  <c r="E74" i="3"/>
  <c r="E79" i="3"/>
  <c r="AQ6" i="3"/>
  <c r="E123" i="3"/>
  <c r="E81" i="3"/>
  <c r="E309" i="3"/>
  <c r="E118" i="3"/>
  <c r="U6" i="3"/>
  <c r="E505" i="3"/>
  <c r="E404" i="3"/>
  <c r="E315" i="3"/>
  <c r="E137" i="3"/>
  <c r="E68" i="3"/>
  <c r="E21" i="3"/>
  <c r="E414" i="3"/>
  <c r="E444" i="3"/>
  <c r="E88" i="3"/>
  <c r="E166" i="3"/>
  <c r="E394" i="3"/>
  <c r="E32" i="3"/>
  <c r="E15" i="3"/>
  <c r="E234" i="3"/>
  <c r="E289" i="3"/>
  <c r="E283" i="3"/>
  <c r="E260" i="3"/>
  <c r="E399" i="3"/>
  <c r="E411" i="3"/>
  <c r="E547" i="3"/>
  <c r="E210" i="3"/>
  <c r="E346" i="3"/>
  <c r="E372" i="3"/>
  <c r="E60" i="3"/>
  <c r="E428" i="3"/>
  <c r="E96" i="3"/>
  <c r="E174" i="3"/>
  <c r="E324" i="3"/>
  <c r="E35" i="3"/>
  <c r="E206" i="3"/>
  <c r="E370" i="3"/>
  <c r="E102" i="3"/>
  <c r="E113" i="3"/>
  <c r="E287" i="3"/>
  <c r="E326" i="3"/>
  <c r="E83" i="3"/>
  <c r="E551" i="3"/>
  <c r="E478" i="3"/>
  <c r="AS6" i="3"/>
  <c r="E28" i="3"/>
  <c r="E182" i="3"/>
  <c r="E257" i="3"/>
  <c r="E357" i="3"/>
  <c r="E14" i="3"/>
  <c r="E93" i="3"/>
  <c r="E473" i="3"/>
  <c r="E38" i="3"/>
  <c r="E194" i="3"/>
  <c r="E339" i="3"/>
  <c r="E52" i="3"/>
  <c r="E147" i="3"/>
  <c r="E341" i="3"/>
  <c r="E51" i="3"/>
  <c r="E154" i="3"/>
  <c r="E222" i="3"/>
  <c r="E373" i="3"/>
  <c r="E294" i="3"/>
  <c r="E548" i="3"/>
  <c r="E403" i="3"/>
  <c r="E71" i="3"/>
  <c r="E126" i="3"/>
  <c r="E243" i="3"/>
  <c r="E391" i="3"/>
  <c r="AL6" i="3"/>
  <c r="E94" i="3"/>
  <c r="E482" i="3"/>
  <c r="E78" i="3"/>
  <c r="E220" i="3"/>
  <c r="E383" i="3"/>
  <c r="E86" i="3"/>
  <c r="E232" i="3"/>
  <c r="E364" i="3"/>
  <c r="E20" i="3"/>
  <c r="E265" i="3"/>
  <c r="E524" i="3"/>
  <c r="E36" i="3"/>
  <c r="E513" i="3"/>
  <c r="E176" i="3"/>
  <c r="E91" i="3"/>
  <c r="E274" i="3"/>
  <c r="E580" i="3"/>
  <c r="E100" i="3"/>
  <c r="E325" i="3"/>
  <c r="E63" i="3"/>
  <c r="E381" i="3"/>
  <c r="E85" i="3"/>
  <c r="E432" i="3"/>
  <c r="E476" i="3"/>
  <c r="E27" i="3"/>
  <c r="E186" i="3"/>
  <c r="E276" i="3"/>
  <c r="E333" i="3"/>
  <c r="L6" i="3"/>
  <c r="E43" i="3"/>
  <c r="E412" i="3"/>
  <c r="E129" i="3"/>
  <c r="E275" i="3"/>
  <c r="E342" i="3"/>
  <c r="E34" i="3"/>
  <c r="E251" i="3"/>
  <c r="AF6" i="3"/>
  <c r="E80" i="3"/>
  <c r="E158" i="3"/>
  <c r="E308" i="3"/>
  <c r="E22" i="3"/>
  <c r="E116" i="3"/>
  <c r="E477" i="3"/>
  <c r="E489" i="3"/>
  <c r="E70" i="3"/>
  <c r="E211" i="3"/>
  <c r="E351" i="3"/>
  <c r="E318" i="3"/>
  <c r="E31" i="3"/>
  <c r="E75" i="3"/>
  <c r="E170" i="3"/>
  <c r="E219" i="3"/>
  <c r="E392" i="3"/>
  <c r="E112" i="3"/>
  <c r="E284" i="3"/>
  <c r="Y6" i="3"/>
  <c r="E19" i="3"/>
  <c r="E323" i="3"/>
  <c r="E82" i="3"/>
  <c r="E295" i="3"/>
  <c r="E362" i="3"/>
  <c r="E409" i="3"/>
  <c r="E299" i="3"/>
  <c r="E355" i="3"/>
  <c r="E264" i="3"/>
  <c r="X6" i="3"/>
  <c r="AB6" i="3"/>
  <c r="E161" i="3"/>
  <c r="E133" i="3"/>
  <c r="E552" i="3"/>
  <c r="E474" i="3"/>
  <c r="E438" i="3"/>
  <c r="E288" i="3"/>
  <c r="W6" i="3"/>
  <c r="E537" i="3"/>
  <c r="E559" i="3"/>
  <c r="E197" i="3"/>
  <c r="E464" i="3"/>
  <c r="E459" i="3"/>
  <c r="E582" i="3"/>
  <c r="E471" i="3"/>
  <c r="E475" i="3"/>
  <c r="E54" i="3"/>
  <c r="E168" i="3"/>
  <c r="E208" i="3"/>
  <c r="E233" i="3"/>
  <c r="E67" i="3"/>
  <c r="E310" i="3"/>
  <c r="E267" i="3"/>
  <c r="E103" i="3"/>
  <c r="E425" i="3"/>
  <c r="E29" i="3"/>
  <c r="AM6" i="3"/>
  <c r="E317" i="3"/>
  <c r="E291" i="3"/>
  <c r="E155" i="3"/>
  <c r="E90" i="3"/>
  <c r="E460" i="3"/>
  <c r="E400" i="3"/>
  <c r="E180" i="3"/>
  <c r="E565" i="3"/>
  <c r="E539" i="3"/>
  <c r="E165" i="3"/>
  <c r="E561" i="3"/>
  <c r="E231" i="3"/>
  <c r="E228" i="3"/>
  <c r="E77" i="3"/>
  <c r="E199" i="3"/>
  <c r="E519" i="3"/>
  <c r="E573" i="3"/>
  <c r="E526" i="3"/>
  <c r="E322" i="3"/>
  <c r="E509" i="3"/>
  <c r="E431" i="3"/>
  <c r="E201" i="3"/>
  <c r="E495" i="3"/>
  <c r="E586" i="3"/>
  <c r="E350" i="3"/>
  <c r="E301" i="3"/>
  <c r="E99" i="3"/>
  <c r="E69" i="3"/>
  <c r="E336" i="3"/>
  <c r="E387" i="3"/>
  <c r="E117" i="3"/>
  <c r="E286" i="3"/>
  <c r="E502" i="3"/>
  <c r="E469" i="3"/>
  <c r="E408" i="3"/>
  <c r="E360" i="3"/>
  <c r="E497" i="3"/>
  <c r="E494" i="3"/>
  <c r="V6" i="3"/>
  <c r="E173" i="3"/>
  <c r="E466" i="3"/>
  <c r="E255" i="3"/>
  <c r="E517" i="3"/>
  <c r="E470" i="3"/>
  <c r="E26" i="3"/>
  <c r="E41" i="3"/>
  <c r="E198" i="3"/>
  <c r="E225" i="3"/>
  <c r="E250" i="3"/>
  <c r="E24" i="3"/>
  <c r="E386" i="3"/>
  <c r="E248" i="3"/>
  <c r="E65" i="3"/>
  <c r="E521" i="3"/>
  <c r="E110" i="3"/>
  <c r="E504" i="3"/>
  <c r="E378" i="3"/>
  <c r="E259" i="3"/>
  <c r="E132" i="3"/>
  <c r="E56" i="3"/>
  <c r="E435" i="3"/>
  <c r="P6" i="3"/>
  <c r="E130" i="3"/>
  <c r="E183" i="3"/>
  <c r="E545" i="3"/>
  <c r="E128" i="3"/>
  <c r="E506" i="3"/>
  <c r="E298" i="3"/>
  <c r="E269" i="3"/>
  <c r="E252" i="3"/>
  <c r="E164" i="3"/>
  <c r="E525" i="3"/>
  <c r="T6" i="3"/>
  <c r="E53" i="3"/>
  <c r="E501" i="3"/>
  <c r="E426" i="3"/>
  <c r="O6" i="3"/>
  <c r="E359" i="3"/>
  <c r="E97" i="3"/>
  <c r="E511" i="3"/>
  <c r="AK6" i="3"/>
  <c r="E306" i="3"/>
  <c r="E262" i="3"/>
  <c r="E236" i="3"/>
  <c r="E508" i="3"/>
  <c r="E397" i="3"/>
  <c r="E278" i="3"/>
  <c r="E246" i="3"/>
  <c r="E335" i="3"/>
  <c r="E120" i="3"/>
  <c r="E312" i="3"/>
  <c r="E421" i="3"/>
  <c r="E481" i="3"/>
  <c r="E424" i="3"/>
  <c r="E344" i="3"/>
  <c r="AE6" i="3"/>
  <c r="E429" i="3"/>
  <c r="E320" i="3"/>
  <c r="E327" i="3"/>
  <c r="E487" i="3"/>
  <c r="E374" i="3"/>
  <c r="E413" i="3"/>
  <c r="E496" i="3"/>
  <c r="E55" i="3"/>
  <c r="E73" i="3"/>
  <c r="E203" i="3"/>
  <c r="E256" i="3"/>
  <c r="E184" i="3"/>
  <c r="E84" i="3"/>
  <c r="E371" i="3"/>
  <c r="E200" i="3"/>
  <c r="E46" i="3"/>
  <c r="E484" i="3"/>
  <c r="E109" i="3"/>
  <c r="E572" i="3"/>
  <c r="E377" i="3"/>
  <c r="E273" i="3"/>
  <c r="E187" i="3"/>
  <c r="E39" i="3"/>
  <c r="E531" i="3"/>
  <c r="E485" i="3"/>
  <c r="E407" i="3"/>
  <c r="E213" i="3"/>
  <c r="E567" i="3"/>
  <c r="E270" i="3"/>
  <c r="E538" i="3"/>
  <c r="E216" i="3"/>
  <c r="E181" i="3"/>
  <c r="E212" i="3"/>
  <c r="E141" i="3"/>
  <c r="K6" i="3"/>
  <c r="E560" i="3"/>
  <c r="E125" i="3"/>
  <c r="E553" i="3"/>
  <c r="N6" i="3"/>
  <c r="E516" i="3"/>
  <c r="E396" i="3"/>
  <c r="E151" i="3"/>
  <c r="E518" i="3"/>
  <c r="E578" i="3"/>
  <c r="E382" i="3"/>
  <c r="E245" i="3"/>
  <c r="E563" i="3"/>
  <c r="E293" i="3"/>
  <c r="E215" i="3"/>
  <c r="E45" i="3"/>
  <c r="E575" i="3"/>
  <c r="E427" i="3"/>
  <c r="E507" i="3"/>
  <c r="E440" i="3"/>
  <c r="E376" i="3"/>
  <c r="J6" i="3"/>
  <c r="E114" i="3"/>
  <c r="E230" i="3"/>
  <c r="E576" i="3"/>
  <c r="E541" i="3"/>
  <c r="I3" i="6"/>
  <c r="E419" i="3"/>
  <c r="E401" i="3"/>
  <c r="E40" i="3"/>
  <c r="E108" i="3"/>
  <c r="E119" i="3"/>
  <c r="E242" i="3"/>
  <c r="E127" i="3"/>
  <c r="E66" i="3"/>
  <c r="E307" i="3"/>
  <c r="E163" i="3"/>
  <c r="E98" i="3"/>
  <c r="E462" i="3"/>
  <c r="E76" i="3"/>
  <c r="E389" i="3"/>
  <c r="E363" i="3"/>
  <c r="E241" i="3"/>
  <c r="E152" i="3"/>
  <c r="E479" i="3"/>
  <c r="E581" i="3"/>
  <c r="E448" i="3"/>
  <c r="E358" i="3"/>
  <c r="E361" i="3"/>
  <c r="E510" i="3"/>
  <c r="E390" i="3"/>
  <c r="E418" i="3"/>
  <c r="E169" i="3"/>
  <c r="E122" i="3"/>
  <c r="E271" i="3"/>
  <c r="E107" i="3"/>
  <c r="E493" i="3"/>
  <c r="E543" i="3"/>
  <c r="E343" i="3"/>
  <c r="E337" i="3"/>
  <c r="E196" i="3"/>
  <c r="E172" i="3"/>
  <c r="E311" i="3"/>
  <c r="E189" i="3"/>
  <c r="E277" i="3"/>
  <c r="AD6" i="3"/>
  <c r="E458" i="3"/>
  <c r="E527" i="3"/>
  <c r="E457" i="3"/>
  <c r="E562" i="3"/>
  <c r="E571" i="3"/>
  <c r="E395" i="3"/>
  <c r="E254" i="3"/>
  <c r="Z6" i="3"/>
  <c r="E398" i="3"/>
  <c r="E566" i="3"/>
  <c r="E450" i="3"/>
  <c r="E433" i="3"/>
  <c r="E72" i="3"/>
  <c r="E111" i="3"/>
  <c r="E150" i="3"/>
  <c r="E279" i="3"/>
  <c r="E144" i="3"/>
  <c r="E23" i="3"/>
  <c r="E300" i="3"/>
  <c r="E142" i="3"/>
  <c r="E64" i="3"/>
  <c r="E441" i="3"/>
  <c r="E44" i="3"/>
  <c r="E384" i="3"/>
  <c r="E331" i="3"/>
  <c r="E297" i="3"/>
  <c r="E131" i="3"/>
  <c r="E436" i="3"/>
  <c r="E557" i="3"/>
  <c r="E515" i="3"/>
  <c r="E124" i="3"/>
  <c r="E237" i="3"/>
  <c r="E17" i="3"/>
  <c r="E461" i="3"/>
  <c r="E533" i="3"/>
  <c r="E439" i="3"/>
  <c r="E185" i="3"/>
  <c r="E157" i="3"/>
  <c r="E253" i="3"/>
  <c r="E313" i="3"/>
  <c r="E532" i="3"/>
  <c r="E529" i="3"/>
  <c r="E217" i="3"/>
  <c r="E268" i="3"/>
  <c r="AJ6" i="3"/>
  <c r="E579" i="3"/>
  <c r="E247" i="3"/>
  <c r="E353" i="3"/>
  <c r="AN6" i="3"/>
  <c r="E402" i="3"/>
  <c r="E303" i="3"/>
  <c r="E159" i="3"/>
  <c r="E549" i="3"/>
  <c r="E445" i="3"/>
  <c r="E514" i="3"/>
  <c r="E134" i="3"/>
  <c r="E224" i="3"/>
  <c r="E499" i="3"/>
  <c r="E456" i="3"/>
  <c r="E512" i="3"/>
  <c r="E451" i="3"/>
  <c r="E556" i="3"/>
  <c r="E13" i="3"/>
  <c r="E550" i="3"/>
  <c r="E221" i="3"/>
  <c r="AG6" i="3"/>
  <c r="E430" i="3"/>
  <c r="AP6" i="3"/>
  <c r="E452" i="3"/>
  <c r="E420" i="3"/>
  <c r="E104" i="3"/>
  <c r="E115" i="3"/>
  <c r="E139" i="3"/>
  <c r="E281" i="3"/>
  <c r="E87" i="3"/>
  <c r="E584" i="3"/>
  <c r="E266" i="3"/>
  <c r="E195" i="3"/>
  <c r="E47" i="3"/>
  <c r="E540" i="3"/>
  <c r="E58" i="3"/>
  <c r="E375" i="3"/>
  <c r="E348" i="3"/>
  <c r="E258" i="3"/>
  <c r="E95" i="3"/>
  <c r="E417" i="3"/>
  <c r="E558" i="3"/>
  <c r="E585" i="3"/>
  <c r="E347" i="3"/>
  <c r="E261" i="3"/>
  <c r="E503" i="3"/>
  <c r="E352" i="3"/>
  <c r="S6" i="3"/>
  <c r="E338" i="3"/>
  <c r="E61" i="3"/>
  <c r="E89" i="3"/>
  <c r="E204" i="3"/>
  <c r="E369" i="3"/>
  <c r="E534" i="3"/>
  <c r="E405" i="3"/>
  <c r="E319" i="3"/>
  <c r="E153" i="3"/>
  <c r="E328" i="3"/>
  <c r="E574" i="3"/>
  <c r="E285" i="3"/>
  <c r="E314" i="3"/>
  <c r="E16" i="3"/>
  <c r="E434" i="3"/>
  <c r="E296" i="3"/>
  <c r="E136" i="3"/>
  <c r="E535" i="3"/>
  <c r="E570" i="3"/>
  <c r="E135" i="3"/>
  <c r="E177" i="3"/>
  <c r="E542" i="3"/>
  <c r="E472" i="3"/>
  <c r="E406" i="3"/>
  <c r="E465" i="3"/>
  <c r="E587" i="3"/>
  <c r="E577" i="3"/>
  <c r="AA6" i="3"/>
  <c r="E140" i="3"/>
  <c r="AO6" i="3"/>
  <c r="E416" i="3"/>
  <c r="E500" i="3"/>
  <c r="E468" i="3"/>
  <c r="E454" i="3"/>
  <c r="E106" i="3"/>
  <c r="E146" i="3"/>
  <c r="E171" i="3"/>
  <c r="E214" i="3"/>
  <c r="E33" i="3"/>
  <c r="E492" i="3"/>
  <c r="E249" i="3"/>
  <c r="E160" i="3"/>
  <c r="E467" i="3"/>
  <c r="E480" i="3"/>
  <c r="E30" i="3"/>
  <c r="E334" i="3"/>
  <c r="E316" i="3"/>
  <c r="E240" i="3"/>
  <c r="E57" i="3"/>
  <c r="E520" i="3"/>
  <c r="E345" i="3"/>
  <c r="E105" i="3"/>
  <c r="E415" i="3"/>
  <c r="E304" i="3"/>
  <c r="E302" i="3"/>
  <c r="E227" i="3"/>
  <c r="AR6" i="3"/>
  <c r="E380" i="3"/>
  <c r="E188" i="3"/>
  <c r="E149" i="3"/>
  <c r="E167" i="3"/>
  <c r="E330" i="3"/>
  <c r="Q6" i="3"/>
  <c r="E437" i="3"/>
  <c r="E366" i="3"/>
  <c r="E282" i="3"/>
  <c r="E239" i="3"/>
  <c r="E569" i="3"/>
  <c r="E229" i="3"/>
  <c r="E385" i="3"/>
  <c r="AI6" i="3"/>
  <c r="E423" i="3"/>
  <c r="E263" i="3"/>
  <c r="E191" i="3"/>
  <c r="E583" i="3"/>
  <c r="M6" i="3"/>
  <c r="E290" i="3"/>
  <c r="E193" i="3"/>
  <c r="R6" i="3"/>
  <c r="E486" i="3"/>
  <c r="E422" i="3"/>
  <c r="E490" i="3"/>
  <c r="AH6" i="3"/>
  <c r="E498" i="3"/>
  <c r="E280" i="3"/>
  <c r="E223" i="3"/>
  <c r="E442" i="3"/>
  <c r="E449" i="3"/>
  <c r="E554" i="3"/>
  <c r="E483" i="3"/>
  <c r="E463" i="3"/>
  <c r="E25" i="3"/>
  <c r="E178" i="3"/>
  <c r="E202" i="3"/>
  <c r="E226" i="3"/>
  <c r="E48" i="3"/>
  <c r="E354" i="3"/>
  <c r="E209" i="3"/>
  <c r="E138" i="3"/>
  <c r="E446" i="3"/>
  <c r="E59" i="3"/>
  <c r="E544" i="3"/>
  <c r="E349" i="3"/>
  <c r="E292" i="3"/>
  <c r="E192" i="3"/>
  <c r="E37" i="3"/>
  <c r="E491" i="3"/>
  <c r="E443" i="3"/>
  <c r="E238" i="3"/>
  <c r="E528" i="3"/>
  <c r="E329" i="3"/>
  <c r="E205" i="3"/>
  <c r="E523" i="3"/>
  <c r="E321" i="3"/>
  <c r="E148" i="3"/>
  <c r="E207" i="3"/>
  <c r="E145" i="3"/>
  <c r="E393" i="3"/>
  <c r="E564" i="3"/>
  <c r="E530" i="3"/>
  <c r="E305" i="3"/>
  <c r="E388" i="3"/>
  <c r="E410" i="3"/>
  <c r="E143" i="3"/>
  <c r="E568" i="3"/>
  <c r="E536" i="3"/>
  <c r="E453" i="3"/>
  <c r="E244" i="3"/>
  <c r="E156" i="3"/>
  <c r="E175" i="3"/>
  <c r="E555" i="3"/>
  <c r="I6" i="3"/>
  <c r="E368" i="3"/>
  <c r="B9" i="71"/>
  <c r="B8" i="71" s="1"/>
  <c r="B7" i="71" s="1"/>
  <c r="B6" i="71" s="1"/>
  <c r="S10" i="71"/>
  <c r="D22" i="43"/>
  <c r="C54" i="71"/>
  <c r="D53" i="71"/>
  <c r="E101" i="3"/>
  <c r="AZ107" i="3"/>
  <c r="AZ5" i="3" s="1"/>
  <c r="E162" i="3"/>
  <c r="W35" i="21"/>
  <c r="AC35" i="21"/>
  <c r="AB9" i="36"/>
  <c r="U9" i="36"/>
  <c r="AB13" i="33"/>
  <c r="U13" i="33"/>
  <c r="H7" i="34"/>
  <c r="D77" i="71"/>
  <c r="C76" i="71"/>
  <c r="D76" i="71" s="1"/>
  <c r="S22" i="71"/>
  <c r="B21" i="71"/>
  <c r="B20" i="71" s="1"/>
  <c r="C26" i="71"/>
  <c r="D25" i="71"/>
  <c r="Q61" i="71"/>
  <c r="F60" i="71"/>
  <c r="AB35" i="21"/>
  <c r="U35" i="21"/>
  <c r="AA44" i="21"/>
  <c r="S44" i="21"/>
  <c r="AA15" i="34"/>
  <c r="S15" i="34"/>
  <c r="W13" i="33"/>
  <c r="AC13" i="33"/>
  <c r="J7" i="34"/>
  <c r="D73" i="71"/>
  <c r="C72" i="71"/>
  <c r="D72" i="71" s="1"/>
  <c r="AZ435" i="3"/>
  <c r="AZ466" i="3"/>
  <c r="AZ467" i="3"/>
  <c r="C13" i="71"/>
  <c r="D14" i="71"/>
  <c r="U14" i="71" s="1"/>
  <c r="T14" i="71"/>
  <c r="F7" i="34"/>
  <c r="C38" i="71"/>
  <c r="D37" i="71"/>
  <c r="T46" i="71"/>
  <c r="D46" i="71"/>
  <c r="AZ157" i="3"/>
  <c r="AZ429" i="3"/>
  <c r="AB46" i="34"/>
  <c r="U46" i="34"/>
  <c r="BA5" i="3"/>
  <c r="W40" i="34"/>
  <c r="W37" i="34"/>
  <c r="N59" i="71"/>
  <c r="N60" i="71"/>
  <c r="I21" i="66"/>
  <c r="D1" i="66" s="1"/>
  <c r="E10" i="66" s="1"/>
  <c r="AZ480" i="3"/>
  <c r="AZ444" i="3"/>
  <c r="E455" i="3"/>
  <c r="S43" i="21"/>
  <c r="AA43" i="21"/>
  <c r="W46" i="34"/>
  <c r="AC46" i="34"/>
  <c r="E17" i="71"/>
  <c r="E16" i="71" s="1"/>
  <c r="E15" i="71" s="1"/>
  <c r="E14" i="71" s="1"/>
  <c r="V18" i="71"/>
  <c r="D32" i="71"/>
  <c r="C33" i="71"/>
  <c r="E447" i="3"/>
  <c r="AC9" i="33"/>
  <c r="W9" i="33"/>
  <c r="AC12" i="34"/>
  <c r="W12" i="34"/>
  <c r="AB17" i="21"/>
  <c r="U17" i="21"/>
  <c r="S36" i="35"/>
  <c r="AA36" i="35"/>
  <c r="AC15" i="21"/>
  <c r="F27" i="6"/>
  <c r="F31" i="6" s="1"/>
  <c r="D65" i="71"/>
  <c r="C64" i="71"/>
  <c r="D64" i="71" s="1"/>
  <c r="E179" i="3"/>
  <c r="AZ453" i="3"/>
  <c r="AB26" i="37"/>
  <c r="U26" i="37"/>
  <c r="AA44" i="39"/>
  <c r="S44" i="39"/>
  <c r="S12" i="34"/>
  <c r="AA12" i="34"/>
  <c r="AA17" i="21"/>
  <c r="S17" i="21"/>
  <c r="AC36" i="35"/>
  <c r="W36" i="35"/>
  <c r="H7" i="36"/>
  <c r="C58" i="71"/>
  <c r="D57" i="71"/>
  <c r="S9" i="34"/>
  <c r="AA9" i="34"/>
  <c r="AA26" i="37"/>
  <c r="S26" i="37"/>
  <c r="AB15" i="34"/>
  <c r="U15" i="34"/>
  <c r="S13" i="33"/>
  <c r="AA13" i="33"/>
  <c r="AB36" i="35"/>
  <c r="U36" i="35"/>
  <c r="AB27" i="34"/>
  <c r="U27" i="34"/>
  <c r="AC27" i="34"/>
  <c r="W27" i="34"/>
  <c r="E532" i="31"/>
  <c r="E530" i="31"/>
  <c r="S40" i="34"/>
  <c r="AA40" i="34"/>
  <c r="U40" i="34"/>
  <c r="AB40" i="34"/>
  <c r="AA37" i="34"/>
  <c r="S37" i="34"/>
  <c r="U37" i="34"/>
  <c r="AB37" i="34"/>
  <c r="E56" i="39"/>
  <c r="E62" i="39"/>
  <c r="E57" i="40"/>
  <c r="E58" i="40"/>
  <c r="E63" i="39"/>
  <c r="E60" i="40"/>
  <c r="E65" i="39"/>
  <c r="C33" i="43"/>
  <c r="E33" i="43" s="1"/>
  <c r="C39" i="43"/>
  <c r="G39" i="43" s="1"/>
  <c r="I39" i="43" s="1"/>
  <c r="C35" i="43"/>
  <c r="E35" i="43" s="1"/>
  <c r="C29" i="43"/>
  <c r="E29" i="43" s="1"/>
  <c r="T5" i="43"/>
  <c r="V5" i="43" s="1"/>
  <c r="T2" i="43"/>
  <c r="V2" i="43" s="1"/>
  <c r="T6" i="43"/>
  <c r="V6" i="43" s="1"/>
  <c r="D70" i="39"/>
  <c r="E68" i="39"/>
  <c r="G16" i="1"/>
  <c r="J10" i="40" s="1"/>
  <c r="AC10" i="40" s="1"/>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AC6" i="3"/>
  <c r="E30" i="6"/>
  <c r="K14" i="1"/>
  <c r="E36" i="43"/>
  <c r="G36" i="43"/>
  <c r="I36" i="43" s="1"/>
  <c r="C38" i="43"/>
  <c r="E38" i="43" s="1"/>
  <c r="C34" i="43"/>
  <c r="C37" i="43"/>
  <c r="E37" i="43" s="1"/>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S7" i="34"/>
  <c r="F7" i="33"/>
  <c r="E58" i="21"/>
  <c r="AC7" i="36"/>
  <c r="V36" i="36" s="1"/>
  <c r="I36" i="36" s="1"/>
  <c r="W7" i="36"/>
  <c r="F7" i="37"/>
  <c r="W7" i="34"/>
  <c r="AC7" i="34"/>
  <c r="V49" i="34" s="1"/>
  <c r="I49" i="34" s="1"/>
  <c r="M17" i="67"/>
  <c r="M17" i="15"/>
  <c r="F59" i="15"/>
  <c r="P24" i="43"/>
  <c r="B66" i="40" s="1"/>
  <c r="P21" i="43"/>
  <c r="E39" i="43"/>
  <c r="P25" i="43"/>
  <c r="P23" i="43"/>
  <c r="B71" i="39" s="1"/>
  <c r="J18" i="15"/>
  <c r="Q60" i="67"/>
  <c r="Q73" i="67"/>
  <c r="M28" i="43"/>
  <c r="N28" i="43"/>
  <c r="O28" i="43"/>
  <c r="P28" i="43"/>
  <c r="M11" i="67"/>
  <c r="J10" i="67" s="1"/>
  <c r="F11" i="15"/>
  <c r="M11" i="15"/>
  <c r="F11" i="67"/>
  <c r="F1" i="15"/>
  <c r="Q52" i="15"/>
  <c r="C32" i="15"/>
  <c r="F1" i="67"/>
  <c r="Q52" i="67"/>
  <c r="Q60" i="15"/>
  <c r="Q73" i="15"/>
  <c r="Q61" i="67"/>
  <c r="Q74" i="67"/>
  <c r="Q74" i="15"/>
  <c r="Q61" i="15"/>
  <c r="AE6" i="1"/>
  <c r="J10" i="15" l="1"/>
  <c r="J5" i="15" s="1"/>
  <c r="G33" i="43"/>
  <c r="I33" i="43" s="1"/>
  <c r="G37" i="43"/>
  <c r="I37" i="43" s="1"/>
  <c r="R49" i="34"/>
  <c r="E56" i="40"/>
  <c r="E16" i="6"/>
  <c r="E59" i="40"/>
  <c r="E27" i="6"/>
  <c r="K21" i="6" s="1"/>
  <c r="C30" i="43"/>
  <c r="E30" i="43" s="1"/>
  <c r="C26" i="43"/>
  <c r="J10" i="39"/>
  <c r="W10" i="39" s="1"/>
  <c r="F10" i="39"/>
  <c r="AA10" i="39" s="1"/>
  <c r="J5" i="67"/>
  <c r="J26" i="67" s="1"/>
  <c r="J18" i="67"/>
  <c r="E34" i="43"/>
  <c r="G34" i="43"/>
  <c r="I34" i="43" s="1"/>
  <c r="E3" i="6"/>
  <c r="AY6" i="3"/>
  <c r="T26" i="71"/>
  <c r="D26" i="71"/>
  <c r="T54" i="71"/>
  <c r="D54" i="71"/>
  <c r="T38" i="71"/>
  <c r="D38" i="71"/>
  <c r="B5" i="71"/>
  <c r="S6" i="71"/>
  <c r="E66" i="39"/>
  <c r="E13" i="71"/>
  <c r="E12" i="71" s="1"/>
  <c r="E11" i="71" s="1"/>
  <c r="E10" i="71" s="1"/>
  <c r="V14" i="71"/>
  <c r="Q59" i="71"/>
  <c r="Q60" i="71"/>
  <c r="H6" i="3"/>
  <c r="E6" i="3" s="1"/>
  <c r="T58" i="71"/>
  <c r="D58" i="71"/>
  <c r="C34" i="71"/>
  <c r="D33" i="71"/>
  <c r="C12" i="71"/>
  <c r="D13" i="71"/>
  <c r="H10" i="39"/>
  <c r="AB10" i="39" s="1"/>
  <c r="H10" i="40"/>
  <c r="U10" i="40" s="1"/>
  <c r="F10" i="40"/>
  <c r="K24" i="6"/>
  <c r="M24" i="6" s="1"/>
  <c r="I24" i="6" s="1"/>
  <c r="S24" i="6" s="1"/>
  <c r="F68" i="39"/>
  <c r="E70" i="39"/>
  <c r="G38" i="3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C115" i="43"/>
  <c r="D113" i="43" s="1"/>
  <c r="G38" i="43"/>
  <c r="I38" i="43" s="1"/>
  <c r="C48" i="11"/>
  <c r="C30" i="11"/>
  <c r="F48" i="68"/>
  <c r="C30" i="68"/>
  <c r="C48" i="68"/>
  <c r="F48" i="69"/>
  <c r="C30" i="69"/>
  <c r="C48" i="69"/>
  <c r="C47" i="11"/>
  <c r="D45" i="11" s="1"/>
  <c r="C29" i="11"/>
  <c r="D27" i="11" s="1"/>
  <c r="F45" i="69"/>
  <c r="C29" i="69"/>
  <c r="D27" i="69" s="1"/>
  <c r="C47" i="69"/>
  <c r="D45" i="69" s="1"/>
  <c r="W10" i="40"/>
  <c r="M14" i="1"/>
  <c r="K16" i="1"/>
  <c r="C34" i="6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C14" i="67"/>
  <c r="C17" i="67"/>
  <c r="C27" i="43" l="1"/>
  <c r="J24" i="67"/>
  <c r="E31" i="6"/>
  <c r="K26" i="6"/>
  <c r="M26" i="6" s="1"/>
  <c r="I26" i="6" s="1"/>
  <c r="S26" i="6" s="1"/>
  <c r="K19" i="6"/>
  <c r="S6" i="1" s="1"/>
  <c r="AQ6" i="1" s="1"/>
  <c r="K23" i="6"/>
  <c r="M23" i="6" s="1"/>
  <c r="I23" i="6" s="1"/>
  <c r="S23" i="6" s="1"/>
  <c r="K22" i="6"/>
  <c r="M22" i="6" s="1"/>
  <c r="I22" i="6" s="1"/>
  <c r="S22" i="6" s="1"/>
  <c r="K25" i="6"/>
  <c r="M25" i="6" s="1"/>
  <c r="I25" i="6" s="1"/>
  <c r="S25" i="6" s="1"/>
  <c r="K20" i="6"/>
  <c r="M21" i="6"/>
  <c r="I21" i="6" s="1"/>
  <c r="S21" i="6" s="1"/>
  <c r="S8" i="1"/>
  <c r="AB10" i="40"/>
  <c r="AR6" i="1"/>
  <c r="S10" i="39"/>
  <c r="AC10" i="39"/>
  <c r="U10" i="39"/>
  <c r="AY83" i="3"/>
  <c r="AY87" i="3"/>
  <c r="AY115" i="3"/>
  <c r="AY196" i="3"/>
  <c r="AY123" i="3"/>
  <c r="AY252" i="3"/>
  <c r="AY489" i="3"/>
  <c r="AY43" i="3"/>
  <c r="AY379" i="3"/>
  <c r="AY436" i="3"/>
  <c r="AY540" i="3"/>
  <c r="AY69" i="3"/>
  <c r="AY198" i="3"/>
  <c r="AY141" i="3"/>
  <c r="AY255" i="3"/>
  <c r="AY384" i="3"/>
  <c r="BB6" i="3"/>
  <c r="AY181" i="3"/>
  <c r="AY258" i="3"/>
  <c r="AY309" i="3"/>
  <c r="AY449" i="3"/>
  <c r="AY503" i="3"/>
  <c r="AY520" i="3"/>
  <c r="AY496" i="3"/>
  <c r="AY42" i="3"/>
  <c r="AY366" i="3"/>
  <c r="AY260" i="3"/>
  <c r="AY549" i="3"/>
  <c r="AY44" i="3"/>
  <c r="AY283" i="3"/>
  <c r="AY360" i="3"/>
  <c r="AY295" i="3"/>
  <c r="AY475" i="3"/>
  <c r="AY534" i="3"/>
  <c r="AY65" i="3"/>
  <c r="AY58" i="3"/>
  <c r="AY428" i="3"/>
  <c r="AY342" i="3"/>
  <c r="AY553" i="3"/>
  <c r="AY170" i="3"/>
  <c r="AY246" i="3"/>
  <c r="AY41" i="3"/>
  <c r="AY377" i="3"/>
  <c r="AY414" i="3"/>
  <c r="AY16" i="3"/>
  <c r="AY21" i="3"/>
  <c r="AY267" i="3"/>
  <c r="AY337" i="3"/>
  <c r="AY476" i="3"/>
  <c r="AY415" i="3"/>
  <c r="AY515" i="3"/>
  <c r="AY493" i="3"/>
  <c r="AY172" i="3"/>
  <c r="AY248" i="3"/>
  <c r="AY485" i="3"/>
  <c r="AY547" i="3"/>
  <c r="AY54" i="3"/>
  <c r="AY293" i="3"/>
  <c r="AY351" i="3"/>
  <c r="AY400" i="3"/>
  <c r="AY80" i="3"/>
  <c r="AY369" i="3"/>
  <c r="AY410" i="3"/>
  <c r="AY531" i="3"/>
  <c r="AY280" i="3"/>
  <c r="AY405" i="3"/>
  <c r="AY159" i="3"/>
  <c r="AY459" i="3"/>
  <c r="AY158" i="3"/>
  <c r="AY344" i="3"/>
  <c r="AY506" i="3"/>
  <c r="AY63" i="3"/>
  <c r="AY378" i="3"/>
  <c r="BL6" i="3"/>
  <c r="AY241" i="3"/>
  <c r="BD6" i="3"/>
  <c r="AY106" i="3"/>
  <c r="AY389" i="3"/>
  <c r="AY98" i="3"/>
  <c r="AY528" i="3"/>
  <c r="AY511" i="3"/>
  <c r="AY139" i="3"/>
  <c r="AY455" i="3"/>
  <c r="AY343" i="3"/>
  <c r="AY417" i="3"/>
  <c r="AY84" i="3"/>
  <c r="AY193" i="3"/>
  <c r="AY270" i="3"/>
  <c r="AY88" i="3"/>
  <c r="AY161" i="3"/>
  <c r="AY215" i="3"/>
  <c r="AY324" i="3"/>
  <c r="AY438" i="3"/>
  <c r="AY552" i="3"/>
  <c r="AY281" i="3"/>
  <c r="AY473" i="3"/>
  <c r="AY372" i="3"/>
  <c r="AY533" i="3"/>
  <c r="AY247" i="3"/>
  <c r="AY242" i="3"/>
  <c r="AY495" i="3"/>
  <c r="AY18" i="3"/>
  <c r="AY452" i="3"/>
  <c r="AY149" i="3"/>
  <c r="AY197" i="3"/>
  <c r="AY581" i="3"/>
  <c r="AY250" i="3"/>
  <c r="AY445" i="3"/>
  <c r="AY551" i="3"/>
  <c r="AY151" i="3"/>
  <c r="AY451" i="3"/>
  <c r="AY200" i="3"/>
  <c r="AY307" i="3"/>
  <c r="AY189" i="3"/>
  <c r="AY579" i="3"/>
  <c r="AY273" i="3"/>
  <c r="AY287" i="3"/>
  <c r="AY524" i="3"/>
  <c r="AY346" i="3"/>
  <c r="AY391" i="3"/>
  <c r="AY176" i="3"/>
  <c r="AY261" i="3"/>
  <c r="AY209" i="3"/>
  <c r="AY116" i="3"/>
  <c r="AY539" i="3"/>
  <c r="AY373" i="3"/>
  <c r="AY580" i="3"/>
  <c r="AY109" i="3"/>
  <c r="AY514" i="3"/>
  <c r="AY144" i="3"/>
  <c r="AY124" i="3"/>
  <c r="AY23" i="3"/>
  <c r="AY289" i="3"/>
  <c r="AY75" i="3"/>
  <c r="AY387" i="3"/>
  <c r="AY444" i="3"/>
  <c r="AY269" i="3"/>
  <c r="AY311" i="3"/>
  <c r="AY535" i="3"/>
  <c r="AY555" i="3"/>
  <c r="AY68" i="3"/>
  <c r="AY178" i="3"/>
  <c r="AY117" i="3"/>
  <c r="AY254" i="3"/>
  <c r="AY365" i="3"/>
  <c r="AY57" i="3"/>
  <c r="AY130" i="3"/>
  <c r="AY393" i="3"/>
  <c r="AY308" i="3"/>
  <c r="AY422" i="3"/>
  <c r="AY516" i="3"/>
  <c r="AY559" i="3"/>
  <c r="AY112" i="3"/>
  <c r="AY111" i="3"/>
  <c r="AY460" i="3"/>
  <c r="AY327" i="3"/>
  <c r="BE6" i="3"/>
  <c r="AY185" i="3"/>
  <c r="AY262" i="3"/>
  <c r="AY73" i="3"/>
  <c r="AY388" i="3"/>
  <c r="AY430" i="3"/>
  <c r="BG6" i="3"/>
  <c r="AY171" i="3"/>
  <c r="AY225" i="3"/>
  <c r="AY180" i="3"/>
  <c r="AY433" i="3"/>
  <c r="AY45" i="3"/>
  <c r="AY118" i="3"/>
  <c r="AY381" i="3"/>
  <c r="AY177" i="3"/>
  <c r="AY332" i="3"/>
  <c r="BM6" i="3"/>
  <c r="AY519" i="3"/>
  <c r="AY142" i="3"/>
  <c r="AY218" i="3"/>
  <c r="AY336" i="3"/>
  <c r="AY450" i="3"/>
  <c r="AY17" i="3"/>
  <c r="AY530" i="3"/>
  <c r="AY47" i="3"/>
  <c r="AY120" i="3"/>
  <c r="AY383" i="3"/>
  <c r="AY440" i="3"/>
  <c r="AY576" i="3"/>
  <c r="AY195" i="3"/>
  <c r="AY272" i="3"/>
  <c r="AY322" i="3"/>
  <c r="AY15" i="3"/>
  <c r="AY169" i="3"/>
  <c r="AY328" i="3"/>
  <c r="AY499" i="3"/>
  <c r="AY78" i="3"/>
  <c r="AY376" i="3"/>
  <c r="AY587" i="3"/>
  <c r="AY256" i="3"/>
  <c r="BC6" i="3"/>
  <c r="AY251" i="3"/>
  <c r="AY468" i="3"/>
  <c r="AY565" i="3"/>
  <c r="AY156" i="3"/>
  <c r="AY469" i="3"/>
  <c r="AY38" i="3"/>
  <c r="AY354" i="3"/>
  <c r="AY207" i="3"/>
  <c r="AY51" i="3"/>
  <c r="AY95" i="3"/>
  <c r="AY67" i="3"/>
  <c r="AY183" i="3"/>
  <c r="AY284" i="3"/>
  <c r="AY319" i="3"/>
  <c r="AY497" i="3"/>
  <c r="AY212" i="3"/>
  <c r="AY478" i="3"/>
  <c r="AY573" i="3"/>
  <c r="AY100" i="3"/>
  <c r="AY20" i="3"/>
  <c r="AY173" i="3"/>
  <c r="AY286" i="3"/>
  <c r="AY227" i="3"/>
  <c r="AY507" i="3"/>
  <c r="AY29" i="3"/>
  <c r="AY275" i="3"/>
  <c r="AY341" i="3"/>
  <c r="AY480" i="3"/>
  <c r="AY34" i="3"/>
  <c r="AY59" i="3"/>
  <c r="AY50" i="3"/>
  <c r="AY163" i="3"/>
  <c r="AY237" i="3"/>
  <c r="AY334" i="3"/>
  <c r="AY526" i="3"/>
  <c r="AY390" i="3"/>
  <c r="AY447" i="3"/>
  <c r="AY574" i="3"/>
  <c r="AY85" i="3"/>
  <c r="AY25" i="3"/>
  <c r="AY157" i="3"/>
  <c r="AY271" i="3"/>
  <c r="AY211" i="3"/>
  <c r="BI6" i="3"/>
  <c r="AY186" i="3"/>
  <c r="AY243" i="3"/>
  <c r="AY325" i="3"/>
  <c r="AY464" i="3"/>
  <c r="AY403" i="3"/>
  <c r="AY527" i="3"/>
  <c r="AY556" i="3"/>
  <c r="AY132" i="3"/>
  <c r="AY382" i="3"/>
  <c r="AY300" i="3"/>
  <c r="AY401" i="3"/>
  <c r="AY76" i="3"/>
  <c r="AY125" i="3"/>
  <c r="AY374" i="3"/>
  <c r="AY145" i="3"/>
  <c r="AY316" i="3"/>
  <c r="AY585" i="3"/>
  <c r="AY101" i="3"/>
  <c r="AY276" i="3"/>
  <c r="AY470" i="3"/>
  <c r="AY358" i="3"/>
  <c r="AY541" i="3"/>
  <c r="AY201" i="3"/>
  <c r="AY231" i="3"/>
  <c r="AY104" i="3"/>
  <c r="AY210" i="3"/>
  <c r="AY446" i="3"/>
  <c r="AY510" i="3"/>
  <c r="AY32" i="3"/>
  <c r="AY298" i="3"/>
  <c r="AY352" i="3"/>
  <c r="AY492" i="3"/>
  <c r="AY431" i="3"/>
  <c r="AY575" i="3"/>
  <c r="AY563" i="3"/>
  <c r="AY203" i="3"/>
  <c r="AY233" i="3"/>
  <c r="AY330" i="3"/>
  <c r="AY13" i="3"/>
  <c r="AY39" i="3"/>
  <c r="AY136" i="3"/>
  <c r="AY375" i="3"/>
  <c r="AY432" i="3"/>
  <c r="AY567" i="3"/>
  <c r="AY223" i="3"/>
  <c r="AY442" i="3"/>
  <c r="BR6" i="3"/>
  <c r="AY127" i="3"/>
  <c r="AY424" i="3"/>
  <c r="AY179" i="3"/>
  <c r="AY306" i="3"/>
  <c r="AY194" i="3"/>
  <c r="AY329" i="3"/>
  <c r="AY407" i="3"/>
  <c r="AY99" i="3"/>
  <c r="AY232" i="3"/>
  <c r="AY560" i="3"/>
  <c r="AY277" i="3"/>
  <c r="AY429" i="3"/>
  <c r="AY155" i="3"/>
  <c r="AY160" i="3"/>
  <c r="AY292" i="3"/>
  <c r="AY220" i="3"/>
  <c r="AY486" i="3"/>
  <c r="AY199" i="3"/>
  <c r="AY355" i="3"/>
  <c r="AY404" i="3"/>
  <c r="BO6" i="3"/>
  <c r="AY53" i="3"/>
  <c r="AY182" i="3"/>
  <c r="AY126" i="3"/>
  <c r="AY239" i="3"/>
  <c r="AY93" i="3"/>
  <c r="AY150" i="3"/>
  <c r="AY226" i="3"/>
  <c r="AY340" i="3"/>
  <c r="AY454" i="3"/>
  <c r="AY525" i="3"/>
  <c r="AY518" i="3"/>
  <c r="AY577" i="3"/>
  <c r="AY152" i="3"/>
  <c r="AY303" i="3"/>
  <c r="AY217" i="3"/>
  <c r="AY544" i="3"/>
  <c r="AY33" i="3"/>
  <c r="AY278" i="3"/>
  <c r="BH6" i="3"/>
  <c r="AY259" i="3"/>
  <c r="AY472" i="3"/>
  <c r="AY571" i="3"/>
  <c r="AY297" i="3"/>
  <c r="AY409" i="3"/>
  <c r="AY465" i="3"/>
  <c r="AY108" i="3"/>
  <c r="AY138" i="3"/>
  <c r="AY214" i="3"/>
  <c r="AY24" i="3"/>
  <c r="AY349" i="3"/>
  <c r="AY427" i="3"/>
  <c r="AY584" i="3"/>
  <c r="AY205" i="3"/>
  <c r="AY235" i="3"/>
  <c r="AY321" i="3"/>
  <c r="AY461" i="3"/>
  <c r="AY399" i="3"/>
  <c r="AY537" i="3"/>
  <c r="AY110" i="3"/>
  <c r="AY140" i="3"/>
  <c r="AY216" i="3"/>
  <c r="AY482" i="3"/>
  <c r="AY22" i="3"/>
  <c r="AY288" i="3"/>
  <c r="AY339" i="3"/>
  <c r="AY413" i="3"/>
  <c r="AY37" i="3"/>
  <c r="AY345" i="3"/>
  <c r="AY423" i="3"/>
  <c r="BA6" i="3"/>
  <c r="AY264" i="3"/>
  <c r="AY517" i="3"/>
  <c r="AY119" i="3"/>
  <c r="AY416" i="3"/>
  <c r="AY137" i="3"/>
  <c r="AY312" i="3"/>
  <c r="AY14" i="3"/>
  <c r="AY46" i="3"/>
  <c r="AY362" i="3"/>
  <c r="AY91" i="3"/>
  <c r="AY224" i="3"/>
  <c r="AY134" i="3"/>
  <c r="AY523" i="3"/>
  <c r="AY190" i="3"/>
  <c r="AY462" i="3"/>
  <c r="AY268" i="3"/>
  <c r="AY77" i="3"/>
  <c r="AY392" i="3"/>
  <c r="AY317" i="3"/>
  <c r="AY174" i="3"/>
  <c r="AY305" i="3"/>
  <c r="AY505" i="3"/>
  <c r="AY79" i="3"/>
  <c r="AY394" i="3"/>
  <c r="AY568" i="3"/>
  <c r="AY257" i="3"/>
  <c r="AY521" i="3"/>
  <c r="AY313" i="3"/>
  <c r="AY512" i="3"/>
  <c r="AY550" i="3"/>
  <c r="AY471" i="3"/>
  <c r="AY192" i="3"/>
  <c r="AY55" i="3"/>
  <c r="AY467" i="3"/>
  <c r="AY385" i="3"/>
  <c r="AY363" i="3"/>
  <c r="AY291" i="3"/>
  <c r="AY419" i="3"/>
  <c r="AY310" i="3"/>
  <c r="AY333" i="3"/>
  <c r="AY294" i="3"/>
  <c r="AY304" i="3"/>
  <c r="AY102" i="3"/>
  <c r="AY204" i="3"/>
  <c r="AY326" i="3"/>
  <c r="AY162" i="3"/>
  <c r="AY72" i="3"/>
  <c r="AY406" i="3"/>
  <c r="AY532" i="3"/>
  <c r="AY529" i="3"/>
  <c r="AY154" i="3"/>
  <c r="AY166" i="3"/>
  <c r="AY494" i="3"/>
  <c r="AY245" i="3"/>
  <c r="AY206" i="3"/>
  <c r="AY290" i="3"/>
  <c r="AY96" i="3"/>
  <c r="AY361" i="3"/>
  <c r="AY564" i="3"/>
  <c r="AY301" i="3"/>
  <c r="AY500" i="3"/>
  <c r="AY208" i="3"/>
  <c r="AY129" i="3"/>
  <c r="AY509" i="3"/>
  <c r="AY466" i="3"/>
  <c r="AY498" i="3"/>
  <c r="AY542" i="3"/>
  <c r="AY558" i="3"/>
  <c r="AY147" i="3"/>
  <c r="AY481" i="3"/>
  <c r="AY146" i="3"/>
  <c r="AY40" i="3"/>
  <c r="AY435" i="3"/>
  <c r="AY81" i="3"/>
  <c r="AY26" i="3"/>
  <c r="AY165" i="3"/>
  <c r="AY353" i="3"/>
  <c r="AY582" i="3"/>
  <c r="AY228" i="3"/>
  <c r="AY299" i="3"/>
  <c r="AY274" i="3"/>
  <c r="AY49" i="3"/>
  <c r="AY320" i="3"/>
  <c r="AY522" i="3"/>
  <c r="AY296" i="3"/>
  <c r="AY107" i="3"/>
  <c r="AY386" i="3"/>
  <c r="AY282" i="3"/>
  <c r="AY94" i="3"/>
  <c r="AY86" i="3"/>
  <c r="AY48" i="3"/>
  <c r="AY570" i="3"/>
  <c r="AY184" i="3"/>
  <c r="AY557" i="3"/>
  <c r="AY121" i="3"/>
  <c r="AY82" i="3"/>
  <c r="AY133" i="3"/>
  <c r="AY90" i="3"/>
  <c r="AY395" i="3"/>
  <c r="AY491" i="3"/>
  <c r="AY64" i="3"/>
  <c r="AY545" i="3"/>
  <c r="AY265" i="3"/>
  <c r="AY477" i="3"/>
  <c r="AY266" i="3"/>
  <c r="AY35" i="3"/>
  <c r="AY70" i="3"/>
  <c r="AY234" i="3"/>
  <c r="AY578" i="3"/>
  <c r="AY350" i="3"/>
  <c r="AY562" i="3"/>
  <c r="AY302" i="3"/>
  <c r="AY279" i="3"/>
  <c r="AY572" i="3"/>
  <c r="AY191" i="3"/>
  <c r="AY463" i="3"/>
  <c r="AY230" i="3"/>
  <c r="AY348" i="3"/>
  <c r="AY188" i="3"/>
  <c r="AY513" i="3"/>
  <c r="AY263" i="3"/>
  <c r="AY488" i="3"/>
  <c r="AY153" i="3"/>
  <c r="AY479" i="3"/>
  <c r="AY548" i="3"/>
  <c r="AY359" i="3"/>
  <c r="AY71" i="3"/>
  <c r="AY474" i="3"/>
  <c r="AY487" i="3"/>
  <c r="AY187" i="3"/>
  <c r="AY27" i="3"/>
  <c r="AY380" i="3"/>
  <c r="AY135" i="3"/>
  <c r="AY128" i="3"/>
  <c r="AY66" i="3"/>
  <c r="AY412" i="3"/>
  <c r="AY105" i="3"/>
  <c r="AY238" i="3"/>
  <c r="AY370" i="3"/>
  <c r="BN6" i="3"/>
  <c r="AY168" i="3"/>
  <c r="AY420" i="3"/>
  <c r="AY219" i="3"/>
  <c r="AY398" i="3"/>
  <c r="AY131" i="3"/>
  <c r="BK6" i="3"/>
  <c r="AY357" i="3"/>
  <c r="AY457" i="3"/>
  <c r="AY122" i="3"/>
  <c r="AY434" i="3"/>
  <c r="BP6" i="3"/>
  <c r="AY347" i="3"/>
  <c r="AY164" i="3"/>
  <c r="AY443" i="3"/>
  <c r="AY484" i="3"/>
  <c r="AY167" i="3"/>
  <c r="AY213" i="3"/>
  <c r="AY364" i="3"/>
  <c r="AY285" i="3"/>
  <c r="AY338" i="3"/>
  <c r="AY103" i="3"/>
  <c r="AY425" i="3"/>
  <c r="AY89" i="3"/>
  <c r="AY222" i="3"/>
  <c r="AY356" i="3"/>
  <c r="AY536" i="3"/>
  <c r="AY253" i="3"/>
  <c r="AY97" i="3"/>
  <c r="AY397" i="3"/>
  <c r="AY411" i="3"/>
  <c r="AY371" i="3"/>
  <c r="AY569" i="3"/>
  <c r="AY554" i="3"/>
  <c r="AY561" i="3"/>
  <c r="AY113" i="3"/>
  <c r="AY418" i="3"/>
  <c r="AY62" i="3"/>
  <c r="AY315" i="3"/>
  <c r="AY175" i="3"/>
  <c r="AY566" i="3"/>
  <c r="AY453" i="3"/>
  <c r="AY221" i="3"/>
  <c r="AY367" i="3"/>
  <c r="AY458" i="3"/>
  <c r="AY249" i="3"/>
  <c r="AY490" i="3"/>
  <c r="AY61" i="3"/>
  <c r="AY502" i="3"/>
  <c r="AY437" i="3"/>
  <c r="AY148" i="3"/>
  <c r="AY74" i="3"/>
  <c r="AY229" i="3"/>
  <c r="AY52" i="3"/>
  <c r="AY368" i="3"/>
  <c r="AY483" i="3"/>
  <c r="AY543" i="3"/>
  <c r="AY236" i="3"/>
  <c r="AY92" i="3"/>
  <c r="AY56" i="3"/>
  <c r="BQ6" i="3"/>
  <c r="AY335" i="3"/>
  <c r="AY60" i="3"/>
  <c r="BJ6" i="3"/>
  <c r="BF6" i="3"/>
  <c r="AY396" i="3"/>
  <c r="AY402" i="3"/>
  <c r="AY30" i="3"/>
  <c r="AY408" i="3"/>
  <c r="AY143" i="3"/>
  <c r="AY583" i="3"/>
  <c r="D3" i="6"/>
  <c r="AY331" i="3"/>
  <c r="AY323" i="3"/>
  <c r="AY426" i="3"/>
  <c r="AY456" i="3"/>
  <c r="AY448" i="3"/>
  <c r="AY31" i="3"/>
  <c r="AY244" i="3"/>
  <c r="AY36" i="3"/>
  <c r="BS6" i="3"/>
  <c r="AY508" i="3"/>
  <c r="AY441" i="3"/>
  <c r="AY202" i="3"/>
  <c r="AY501" i="3"/>
  <c r="AY318" i="3"/>
  <c r="AY28" i="3"/>
  <c r="AY114" i="3"/>
  <c r="AY546" i="3"/>
  <c r="AY538" i="3"/>
  <c r="AY19" i="3"/>
  <c r="AY421" i="3"/>
  <c r="AY240" i="3"/>
  <c r="BT6" i="3"/>
  <c r="AY314" i="3"/>
  <c r="AY504" i="3"/>
  <c r="AY439" i="3"/>
  <c r="AY586" i="3"/>
  <c r="C17" i="4"/>
  <c r="B4" i="52" s="1"/>
  <c r="B43" i="72" s="1"/>
  <c r="D37" i="11"/>
  <c r="C37" i="11" s="1"/>
  <c r="D14" i="12"/>
  <c r="D3" i="33"/>
  <c r="D3" i="37"/>
  <c r="E6" i="6"/>
  <c r="D19" i="11"/>
  <c r="C19" i="11" s="1"/>
  <c r="C24" i="11" s="1"/>
  <c r="C11" i="71"/>
  <c r="D12" i="71"/>
  <c r="E9" i="71"/>
  <c r="E8" i="71" s="1"/>
  <c r="E7" i="71" s="1"/>
  <c r="E6" i="71" s="1"/>
  <c r="V10" i="71"/>
  <c r="T34" i="71"/>
  <c r="D34" i="71"/>
  <c r="C18" i="67"/>
  <c r="C15" i="67"/>
  <c r="S10" i="40"/>
  <c r="AA10" i="40"/>
  <c r="F70" i="39"/>
  <c r="G68" i="39"/>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6" i="69"/>
  <c r="D22" i="69" s="1"/>
  <c r="C44" i="69"/>
  <c r="D41" i="69" s="1"/>
  <c r="C44" i="68"/>
  <c r="D41" i="68" s="1"/>
  <c r="C23" i="68"/>
  <c r="C26" i="68"/>
  <c r="D22" i="68" s="1"/>
  <c r="C26" i="12"/>
  <c r="D25" i="12" s="1"/>
  <c r="C44" i="11"/>
  <c r="D41" i="11" s="1"/>
  <c r="C23" i="11"/>
  <c r="C26" i="11"/>
  <c r="D22" i="11" s="1"/>
  <c r="C38" i="67"/>
  <c r="C38" i="15"/>
  <c r="C66" i="67"/>
  <c r="C60" i="67"/>
  <c r="AE7" i="1"/>
  <c r="F41" i="67"/>
  <c r="E6" i="76"/>
  <c r="B6" i="76"/>
  <c r="F41" i="15"/>
  <c r="J29" i="67" l="1"/>
  <c r="F69" i="67"/>
  <c r="E2" i="76"/>
  <c r="F69" i="15"/>
  <c r="J29" i="15"/>
  <c r="K27" i="6"/>
  <c r="M19" i="6"/>
  <c r="T6" i="1"/>
  <c r="E6" i="70"/>
  <c r="M20" i="6"/>
  <c r="I20" i="6" s="1"/>
  <c r="S20" i="6" s="1"/>
  <c r="S7" i="1"/>
  <c r="AQ8" i="1"/>
  <c r="T8" i="1"/>
  <c r="AR8" i="1"/>
  <c r="I19" i="6"/>
  <c r="B3" i="34"/>
  <c r="D17" i="12"/>
  <c r="C17" i="12" s="1"/>
  <c r="C14" i="12"/>
  <c r="D11" i="71"/>
  <c r="C10" i="71"/>
  <c r="D6" i="6"/>
  <c r="D28" i="6"/>
  <c r="D12" i="6"/>
  <c r="D25" i="6"/>
  <c r="H26" i="6"/>
  <c r="D15" i="6"/>
  <c r="D22" i="6"/>
  <c r="H22" i="6"/>
  <c r="D26" i="6"/>
  <c r="D9" i="6"/>
  <c r="D19" i="6"/>
  <c r="D21" i="6"/>
  <c r="D24" i="6"/>
  <c r="H24" i="6"/>
  <c r="C18" i="4"/>
  <c r="D5" i="6"/>
  <c r="D29" i="6"/>
  <c r="D20" i="6"/>
  <c r="H20" i="6"/>
  <c r="H25" i="6"/>
  <c r="R25" i="6" s="1"/>
  <c r="D10" i="6"/>
  <c r="D14" i="6"/>
  <c r="D8" i="6"/>
  <c r="D11" i="6"/>
  <c r="E61" i="40"/>
  <c r="D23" i="6"/>
  <c r="D13" i="6"/>
  <c r="H23" i="6"/>
  <c r="H21" i="6"/>
  <c r="L18" i="9"/>
  <c r="E5" i="71"/>
  <c r="V6" i="71"/>
  <c r="C20" i="11"/>
  <c r="C25" i="11" s="1"/>
  <c r="C22" i="11" s="1"/>
  <c r="D10" i="68"/>
  <c r="D10" i="11"/>
  <c r="C10" i="11" s="1"/>
  <c r="D20" i="12"/>
  <c r="C20" i="12" s="1"/>
  <c r="C18" i="12" s="1"/>
  <c r="D10" i="69"/>
  <c r="C19" i="67"/>
  <c r="C20" i="67" s="1"/>
  <c r="C26" i="67" s="1"/>
  <c r="G70" i="39"/>
  <c r="H68" i="39"/>
  <c r="H19" i="6"/>
  <c r="L19" i="9" s="1"/>
  <c r="S19" i="6"/>
  <c r="S27" i="6" s="1"/>
  <c r="I27" i="6"/>
  <c r="N16" i="1"/>
  <c r="L16" i="1"/>
  <c r="C34" i="11"/>
  <c r="C34" i="68"/>
  <c r="P14" i="1"/>
  <c r="P16" i="1" s="1"/>
  <c r="C11" i="12" s="1"/>
  <c r="G65" i="40"/>
  <c r="H63" i="40"/>
  <c r="C43" i="37"/>
  <c r="B2" i="37" s="1"/>
  <c r="B3" i="37" s="1"/>
  <c r="C42" i="37"/>
  <c r="I48" i="35"/>
  <c r="C48" i="33"/>
  <c r="C49" i="33"/>
  <c r="B2" i="33" s="1"/>
  <c r="H58" i="21"/>
  <c r="E47" i="37"/>
  <c r="F47" i="37" s="1"/>
  <c r="E46" i="37"/>
  <c r="F46" i="37" s="1"/>
  <c r="I47" i="37"/>
  <c r="J47" i="37" s="1"/>
  <c r="E53" i="33"/>
  <c r="F53" i="33" s="1"/>
  <c r="E52" i="33"/>
  <c r="F52" i="33" s="1"/>
  <c r="B2" i="76"/>
  <c r="B3" i="43"/>
  <c r="C33" i="67"/>
  <c r="C17" i="15"/>
  <c r="B3" i="76" l="1"/>
  <c r="S16" i="1"/>
  <c r="M27" i="6"/>
  <c r="E7" i="70"/>
  <c r="E2" i="70" s="1"/>
  <c r="AR7" i="1"/>
  <c r="AQ7" i="1"/>
  <c r="T7" i="1"/>
  <c r="R21" i="6"/>
  <c r="R8" i="1" s="1"/>
  <c r="R20" i="6"/>
  <c r="R7" i="1" s="1"/>
  <c r="C28" i="11"/>
  <c r="C27" i="11" s="1"/>
  <c r="C31" i="11" s="1"/>
  <c r="D30" i="6"/>
  <c r="R22" i="6"/>
  <c r="R24" i="6"/>
  <c r="B3" i="33"/>
  <c r="D16" i="6"/>
  <c r="A7" i="51"/>
  <c r="B7" i="72" s="1"/>
  <c r="A10" i="51"/>
  <c r="B9" i="72" s="1"/>
  <c r="C4" i="52"/>
  <c r="B45" i="72" s="1"/>
  <c r="C10" i="68"/>
  <c r="D19" i="68"/>
  <c r="C9" i="71"/>
  <c r="T10" i="71"/>
  <c r="D10" i="71"/>
  <c r="U10" i="71" s="1"/>
  <c r="R26" i="6"/>
  <c r="M19" i="9"/>
  <c r="C118" i="9" s="1"/>
  <c r="C14" i="74" s="1"/>
  <c r="B2" i="74" s="1"/>
  <c r="D27" i="6"/>
  <c r="D19" i="69"/>
  <c r="C10" i="69"/>
  <c r="C8" i="69" s="1"/>
  <c r="C5" i="69" s="1"/>
  <c r="C23" i="69" s="1"/>
  <c r="R23" i="6"/>
  <c r="C23" i="67"/>
  <c r="C29" i="67" s="1"/>
  <c r="Q49" i="67" s="1"/>
  <c r="H70" i="39"/>
  <c r="I68" i="39"/>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C14" i="15"/>
  <c r="F35" i="15"/>
  <c r="M21" i="15"/>
  <c r="J20" i="15" l="1"/>
  <c r="C34" i="15"/>
  <c r="F63" i="15"/>
  <c r="C62" i="15" s="1"/>
  <c r="C18" i="15"/>
  <c r="C15" i="15"/>
  <c r="T16" i="1"/>
  <c r="D31" i="6"/>
  <c r="I6" i="6" s="1"/>
  <c r="C8" i="71"/>
  <c r="D9" i="71"/>
  <c r="D37" i="68"/>
  <c r="C37" i="68" s="1"/>
  <c r="C33" i="68" s="1"/>
  <c r="C42" i="68" s="1"/>
  <c r="C19" i="68"/>
  <c r="D8" i="74"/>
  <c r="D7" i="74"/>
  <c r="C19" i="69"/>
  <c r="D37" i="69"/>
  <c r="C37" i="69" s="1"/>
  <c r="C33" i="69" s="1"/>
  <c r="J14" i="67"/>
  <c r="C36" i="67"/>
  <c r="C13" i="67"/>
  <c r="F3" i="77" s="1"/>
  <c r="J59" i="67"/>
  <c r="J60" i="67" s="1"/>
  <c r="Q48" i="67" s="1"/>
  <c r="J19" i="67"/>
  <c r="C57" i="67"/>
  <c r="J68" i="39"/>
  <c r="I70" i="39"/>
  <c r="C33" i="11"/>
  <c r="C39" i="11" s="1"/>
  <c r="R27" i="6"/>
  <c r="R6" i="1"/>
  <c r="C16" i="12"/>
  <c r="C21" i="12" s="1"/>
  <c r="C22" i="12" s="1"/>
  <c r="C30" i="12" s="1"/>
  <c r="C28" i="12" s="1"/>
  <c r="U7" i="21"/>
  <c r="AB7" i="21"/>
  <c r="T48" i="21" s="1"/>
  <c r="G48" i="21" s="1"/>
  <c r="S7" i="21"/>
  <c r="AA7" i="21"/>
  <c r="R48" i="21" s="1"/>
  <c r="J63" i="40"/>
  <c r="I65" i="40"/>
  <c r="K48" i="35"/>
  <c r="L48" i="35" s="1"/>
  <c r="M48" i="35" s="1"/>
  <c r="N48" i="35" s="1"/>
  <c r="O48" i="35" s="1"/>
  <c r="H7" i="35" s="1"/>
  <c r="J7" i="35"/>
  <c r="AC7" i="21"/>
  <c r="V48" i="21" s="1"/>
  <c r="I48" i="21" s="1"/>
  <c r="W7" i="21"/>
  <c r="F35" i="67"/>
  <c r="M21" i="67"/>
  <c r="H3" i="77" l="1"/>
  <c r="F5" i="77" s="1"/>
  <c r="C19" i="15"/>
  <c r="C20" i="15" s="1"/>
  <c r="C26" i="15" s="1"/>
  <c r="I5" i="6"/>
  <c r="C24" i="68"/>
  <c r="C20" i="68"/>
  <c r="C25" i="68" s="1"/>
  <c r="C20" i="69"/>
  <c r="C24" i="69"/>
  <c r="C7" i="71"/>
  <c r="D8" i="71"/>
  <c r="C39" i="69"/>
  <c r="C42" i="69"/>
  <c r="J22" i="67"/>
  <c r="J13" i="67"/>
  <c r="J23" i="67" s="1"/>
  <c r="C61" i="67"/>
  <c r="C64" i="67"/>
  <c r="C56" i="67"/>
  <c r="C65" i="67" s="1"/>
  <c r="Q70" i="67"/>
  <c r="C75" i="67"/>
  <c r="C37" i="67"/>
  <c r="C42" i="11"/>
  <c r="J70" i="39"/>
  <c r="K68" i="39"/>
  <c r="C39" i="68"/>
  <c r="C46" i="68" s="1"/>
  <c r="C45" i="68" s="1"/>
  <c r="C34" i="67"/>
  <c r="C31" i="67" s="1"/>
  <c r="F63" i="67"/>
  <c r="C62" i="67" s="1"/>
  <c r="J20" i="67"/>
  <c r="J17" i="67" s="1"/>
  <c r="R16" i="1"/>
  <c r="C27" i="12"/>
  <c r="C25"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F4" i="77" l="1"/>
  <c r="H4" i="77" s="1"/>
  <c r="H5" i="77"/>
  <c r="C23" i="15"/>
  <c r="C29" i="15" s="1"/>
  <c r="J59" i="15" s="1"/>
  <c r="J60" i="15" s="1"/>
  <c r="Q48" i="15" s="1"/>
  <c r="C43" i="69"/>
  <c r="C41" i="69" s="1"/>
  <c r="C46" i="69"/>
  <c r="C45" i="69" s="1"/>
  <c r="C28" i="69"/>
  <c r="C27" i="69" s="1"/>
  <c r="C25" i="69"/>
  <c r="C22" i="69" s="1"/>
  <c r="C28" i="68"/>
  <c r="C27" i="68" s="1"/>
  <c r="C22" i="68"/>
  <c r="D7" i="71"/>
  <c r="C6" i="71"/>
  <c r="J16" i="67"/>
  <c r="J25" i="67" s="1"/>
  <c r="C30" i="67"/>
  <c r="C39" i="67" s="1"/>
  <c r="C80" i="67" s="1"/>
  <c r="C79" i="67" s="1"/>
  <c r="C59" i="67"/>
  <c r="C58" i="67" s="1"/>
  <c r="C67" i="67" s="1"/>
  <c r="C68" i="67" s="1"/>
  <c r="C71" i="67" s="1"/>
  <c r="C41" i="11"/>
  <c r="C49" i="11" s="1"/>
  <c r="C51" i="11" s="1"/>
  <c r="C52" i="11" s="1"/>
  <c r="B2" i="11" s="1"/>
  <c r="B3" i="11" s="1"/>
  <c r="L68" i="39"/>
  <c r="K70" i="39"/>
  <c r="C43" i="68"/>
  <c r="C41" i="68" s="1"/>
  <c r="C49" i="68" s="1"/>
  <c r="C51" i="68" s="1"/>
  <c r="L57" i="67"/>
  <c r="L60" i="67" s="1"/>
  <c r="S7" i="35"/>
  <c r="AA7" i="35"/>
  <c r="R38" i="35" s="1"/>
  <c r="C49" i="21"/>
  <c r="B2" i="21" s="1"/>
  <c r="C48" i="21"/>
  <c r="E52" i="21"/>
  <c r="F52" i="21" s="1"/>
  <c r="E53" i="21"/>
  <c r="F53" i="21" s="1"/>
  <c r="G42" i="35"/>
  <c r="H42" i="35" s="1"/>
  <c r="G43" i="35"/>
  <c r="H43" i="35" s="1"/>
  <c r="I53" i="21"/>
  <c r="J53" i="21" s="1"/>
  <c r="K65" i="40"/>
  <c r="L63" i="40"/>
  <c r="I42" i="35"/>
  <c r="J42" i="35" s="1"/>
  <c r="L51" i="67"/>
  <c r="C19" i="9"/>
  <c r="F6" i="77" l="1"/>
  <c r="J14" i="15"/>
  <c r="C57" i="15"/>
  <c r="C36" i="15"/>
  <c r="C33" i="15"/>
  <c r="C31" i="15" s="1"/>
  <c r="C13" i="15"/>
  <c r="J19" i="15"/>
  <c r="J17" i="15" s="1"/>
  <c r="Q49" i="15"/>
  <c r="C31" i="69"/>
  <c r="C49" i="69"/>
  <c r="C51" i="69" s="1"/>
  <c r="C31" i="68"/>
  <c r="C52" i="68" s="1"/>
  <c r="C5" i="71"/>
  <c r="T6" i="71"/>
  <c r="D6" i="71"/>
  <c r="U6" i="71" s="1"/>
  <c r="C40" i="67"/>
  <c r="Q56" i="67" s="1"/>
  <c r="Q69" i="67"/>
  <c r="Q68" i="67" s="1"/>
  <c r="Q67" i="67"/>
  <c r="Q57" i="67"/>
  <c r="L46" i="67"/>
  <c r="L70" i="39"/>
  <c r="M68" i="39"/>
  <c r="Q66" i="67"/>
  <c r="C102" i="9"/>
  <c r="C21" i="9"/>
  <c r="B3" i="21"/>
  <c r="C56" i="11"/>
  <c r="C57" i="11" s="1"/>
  <c r="R39" i="35"/>
  <c r="E38" i="35"/>
  <c r="M63" i="40"/>
  <c r="L65" i="40"/>
  <c r="C20" i="9"/>
  <c r="Q70" i="15" l="1"/>
  <c r="C37" i="15"/>
  <c r="C30" i="15" s="1"/>
  <c r="C39" i="15" s="1"/>
  <c r="C75" i="15"/>
  <c r="C56" i="15"/>
  <c r="C65" i="15" s="1"/>
  <c r="C61" i="15"/>
  <c r="C59" i="15" s="1"/>
  <c r="C64" i="15"/>
  <c r="J22" i="15"/>
  <c r="J13" i="15"/>
  <c r="J23" i="15" s="1"/>
  <c r="C52" i="69"/>
  <c r="B2" i="69" s="1"/>
  <c r="B3" i="69" s="1"/>
  <c r="B2" i="68"/>
  <c r="B3" i="68" s="1"/>
  <c r="C57" i="68"/>
  <c r="C56" i="68" s="1"/>
  <c r="D5" i="71"/>
  <c r="M20" i="43"/>
  <c r="D2" i="67"/>
  <c r="B3" i="67" s="1"/>
  <c r="Q62" i="67"/>
  <c r="C43" i="67"/>
  <c r="Q65" i="67"/>
  <c r="Q75" i="67" s="1"/>
  <c r="C83" i="67"/>
  <c r="C82" i="67" s="1"/>
  <c r="Q47" i="67"/>
  <c r="Q53" i="67" s="1"/>
  <c r="C45" i="67"/>
  <c r="C46" i="67" s="1"/>
  <c r="N68" i="39"/>
  <c r="M70" i="39"/>
  <c r="C103" i="9"/>
  <c r="C39" i="35"/>
  <c r="B2" i="35" s="1"/>
  <c r="B3" i="35" s="1"/>
  <c r="C38" i="35"/>
  <c r="N63" i="40"/>
  <c r="M65" i="40"/>
  <c r="E43" i="35"/>
  <c r="F43" i="35" s="1"/>
  <c r="E42" i="35"/>
  <c r="F42" i="35" s="1"/>
  <c r="I43" i="35"/>
  <c r="J43" i="35" s="1"/>
  <c r="L51" i="15"/>
  <c r="AO7" i="1"/>
  <c r="D20" i="9"/>
  <c r="J16" i="15" l="1"/>
  <c r="J25" i="15" s="1"/>
  <c r="L57" i="15"/>
  <c r="L60" i="15" s="1"/>
  <c r="Q67" i="15"/>
  <c r="C58" i="15"/>
  <c r="C67" i="15" s="1"/>
  <c r="C68" i="15" s="1"/>
  <c r="C80" i="15"/>
  <c r="C79" i="15" s="1"/>
  <c r="Q69" i="15"/>
  <c r="Q68" i="15" s="1"/>
  <c r="C40" i="15"/>
  <c r="C57" i="69"/>
  <c r="C56" i="69" s="1"/>
  <c r="B7" i="70"/>
  <c r="B2" i="67"/>
  <c r="N70" i="39"/>
  <c r="F7" i="39" s="1"/>
  <c r="O68" i="39"/>
  <c r="O70" i="39" s="1"/>
  <c r="D103" i="9"/>
  <c r="G20" i="9"/>
  <c r="O63" i="40"/>
  <c r="O65" i="40" s="1"/>
  <c r="N65" i="40"/>
  <c r="D19" i="9"/>
  <c r="AO6" i="1"/>
  <c r="C43" i="15" l="1"/>
  <c r="Q47" i="15"/>
  <c r="Q53" i="15" s="1"/>
  <c r="Q56" i="15"/>
  <c r="Q65" i="15"/>
  <c r="C83" i="15"/>
  <c r="C82" i="15" s="1"/>
  <c r="C71" i="15"/>
  <c r="C46" i="15"/>
  <c r="L46" i="15"/>
  <c r="B2" i="15" s="1"/>
  <c r="B3" i="15" s="1"/>
  <c r="Q66" i="15"/>
  <c r="Q57" i="15"/>
  <c r="B6" i="70"/>
  <c r="B2" i="70" s="1"/>
  <c r="B3" i="70" s="1"/>
  <c r="G19" i="9"/>
  <c r="G21" i="9" s="1"/>
  <c r="D22" i="9"/>
  <c r="D102" i="9"/>
  <c r="D21" i="9"/>
  <c r="R24" i="31"/>
  <c r="J7" i="39"/>
  <c r="S7" i="39"/>
  <c r="AA7" i="39"/>
  <c r="R47" i="39" s="1"/>
  <c r="H7" i="39"/>
  <c r="C32" i="9"/>
  <c r="C35" i="9" s="1"/>
  <c r="C34" i="9" s="1"/>
  <c r="J7" i="40"/>
  <c r="F7" i="40"/>
  <c r="H7" i="40"/>
  <c r="Q62" i="15" l="1"/>
  <c r="Q75" i="15"/>
  <c r="U7" i="39"/>
  <c r="AB7" i="39"/>
  <c r="T47" i="39" s="1"/>
  <c r="G47" i="39" s="1"/>
  <c r="E47" i="39"/>
  <c r="R48" i="39"/>
  <c r="W7" i="39"/>
  <c r="AC7" i="39"/>
  <c r="V47" i="39" s="1"/>
  <c r="I47" i="39" s="1"/>
  <c r="R759" i="3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G3" i="77" s="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E3" i="77" l="1"/>
  <c r="I51" i="39"/>
  <c r="J51" i="39" s="1"/>
  <c r="I52" i="39"/>
  <c r="J52" i="39" s="1"/>
  <c r="C48" i="39"/>
  <c r="C47" i="39"/>
  <c r="G51" i="39"/>
  <c r="H51" i="39" s="1"/>
  <c r="G52" i="39"/>
  <c r="H52" i="39" s="1"/>
  <c r="E52" i="39"/>
  <c r="F52" i="39" s="1"/>
  <c r="E51" i="39"/>
  <c r="F51" i="39" s="1"/>
  <c r="S203" i="31"/>
  <c r="S211" i="31"/>
  <c r="S219" i="31"/>
  <c r="S227" i="31"/>
  <c r="S235" i="31"/>
  <c r="S243" i="31"/>
  <c r="S251" i="31"/>
  <c r="S259" i="31"/>
  <c r="S267" i="31"/>
  <c r="S275" i="31"/>
  <c r="S283" i="31"/>
  <c r="S291" i="31"/>
  <c r="S299" i="31"/>
  <c r="S307" i="31"/>
  <c r="S315" i="31"/>
  <c r="S323" i="31"/>
  <c r="S331" i="31"/>
  <c r="S339" i="31"/>
  <c r="S347" i="31"/>
  <c r="S355" i="31"/>
  <c r="S363" i="31"/>
  <c r="S202" i="31"/>
  <c r="S210" i="31"/>
  <c r="S218" i="31"/>
  <c r="S226" i="31"/>
  <c r="S234" i="31"/>
  <c r="S242" i="31"/>
  <c r="S250" i="31"/>
  <c r="S258" i="31"/>
  <c r="S266" i="31"/>
  <c r="S274" i="31"/>
  <c r="S282" i="31"/>
  <c r="S290" i="31"/>
  <c r="S298" i="31"/>
  <c r="S306" i="31"/>
  <c r="S314" i="31"/>
  <c r="S322" i="31"/>
  <c r="S330" i="31"/>
  <c r="S338" i="31"/>
  <c r="S346" i="31"/>
  <c r="S354" i="31"/>
  <c r="S362" i="31"/>
  <c r="S369" i="31"/>
  <c r="S377" i="31"/>
  <c r="S385" i="31"/>
  <c r="S393" i="31"/>
  <c r="S401" i="31"/>
  <c r="S409" i="31"/>
  <c r="S417" i="31"/>
  <c r="S425" i="31"/>
  <c r="S433" i="31"/>
  <c r="S441" i="31"/>
  <c r="S449" i="31"/>
  <c r="S457" i="31"/>
  <c r="S465" i="31"/>
  <c r="S473" i="31"/>
  <c r="S481" i="31"/>
  <c r="S489" i="31"/>
  <c r="S497" i="31"/>
  <c r="S505" i="31"/>
  <c r="S513" i="31"/>
  <c r="S521" i="31"/>
  <c r="S370" i="31"/>
  <c r="S378" i="31"/>
  <c r="S386" i="31"/>
  <c r="S394" i="31"/>
  <c r="S402" i="31"/>
  <c r="S410" i="31"/>
  <c r="S418" i="31"/>
  <c r="S426" i="31"/>
  <c r="S434" i="31"/>
  <c r="S442" i="31"/>
  <c r="S450" i="31"/>
  <c r="S458" i="31"/>
  <c r="S466" i="31"/>
  <c r="S474" i="31"/>
  <c r="S482" i="31"/>
  <c r="S490" i="31"/>
  <c r="S498" i="31"/>
  <c r="S506" i="31"/>
  <c r="S514" i="31"/>
  <c r="S522" i="31"/>
  <c r="S205" i="31"/>
  <c r="S213" i="31"/>
  <c r="S221" i="31"/>
  <c r="S229" i="31"/>
  <c r="S237" i="31"/>
  <c r="S245" i="31"/>
  <c r="S253" i="31"/>
  <c r="S261" i="31"/>
  <c r="S269" i="31"/>
  <c r="S277" i="31"/>
  <c r="S285" i="31"/>
  <c r="S293" i="31"/>
  <c r="S301" i="31"/>
  <c r="S309" i="31"/>
  <c r="S317" i="31"/>
  <c r="S325" i="31"/>
  <c r="S333" i="31"/>
  <c r="S341" i="31"/>
  <c r="S349" i="31"/>
  <c r="S357" i="31"/>
  <c r="S204" i="31"/>
  <c r="S212" i="31"/>
  <c r="S220" i="31"/>
  <c r="S228" i="31"/>
  <c r="S236" i="31"/>
  <c r="S244" i="31"/>
  <c r="S252" i="31"/>
  <c r="S260" i="31"/>
  <c r="S268" i="31"/>
  <c r="S276" i="31"/>
  <c r="S284" i="31"/>
  <c r="S292" i="31"/>
  <c r="S300" i="31"/>
  <c r="S308" i="31"/>
  <c r="S316" i="31"/>
  <c r="S324" i="31"/>
  <c r="S332" i="31"/>
  <c r="S340" i="31"/>
  <c r="S348" i="31"/>
  <c r="S356" i="31"/>
  <c r="S364" i="31"/>
  <c r="S371" i="31"/>
  <c r="S379" i="31"/>
  <c r="S387" i="31"/>
  <c r="S395" i="31"/>
  <c r="S403" i="31"/>
  <c r="S411" i="31"/>
  <c r="S419" i="31"/>
  <c r="S427" i="31"/>
  <c r="S435" i="31"/>
  <c r="S443" i="31"/>
  <c r="S451" i="31"/>
  <c r="S459" i="31"/>
  <c r="S467" i="31"/>
  <c r="S475" i="31"/>
  <c r="S483" i="31"/>
  <c r="S491" i="31"/>
  <c r="S499" i="31"/>
  <c r="S507" i="31"/>
  <c r="S515" i="31"/>
  <c r="S523" i="31"/>
  <c r="S372" i="31"/>
  <c r="S380" i="31"/>
  <c r="S388" i="31"/>
  <c r="S396" i="31"/>
  <c r="S404" i="31"/>
  <c r="S412" i="31"/>
  <c r="S420" i="31"/>
  <c r="S428" i="31"/>
  <c r="S436" i="31"/>
  <c r="S444" i="31"/>
  <c r="S452" i="31"/>
  <c r="S460" i="31"/>
  <c r="S468" i="31"/>
  <c r="S476" i="31"/>
  <c r="S484" i="31"/>
  <c r="S492" i="31"/>
  <c r="S500" i="31"/>
  <c r="S508" i="31"/>
  <c r="S516" i="31"/>
  <c r="S524" i="31"/>
  <c r="S740" i="31"/>
  <c r="S736" i="31"/>
  <c r="S732" i="31"/>
  <c r="S728" i="31"/>
  <c r="S724" i="31"/>
  <c r="S720" i="31"/>
  <c r="S716" i="31"/>
  <c r="S712" i="31"/>
  <c r="S708" i="31"/>
  <c r="S705" i="31"/>
  <c r="S703" i="31"/>
  <c r="S701" i="31"/>
  <c r="S699" i="31"/>
  <c r="S697" i="31"/>
  <c r="S695" i="31"/>
  <c r="S693" i="31"/>
  <c r="S691" i="31"/>
  <c r="S689" i="31"/>
  <c r="S687" i="31"/>
  <c r="S685" i="31"/>
  <c r="S683" i="31"/>
  <c r="S681" i="31"/>
  <c r="S679" i="31"/>
  <c r="S677" i="31"/>
  <c r="S675" i="31"/>
  <c r="S673" i="31"/>
  <c r="S671" i="31"/>
  <c r="S669" i="31"/>
  <c r="S667" i="31"/>
  <c r="S665" i="31"/>
  <c r="S663" i="31"/>
  <c r="S661" i="31"/>
  <c r="S659" i="31"/>
  <c r="S657" i="31"/>
  <c r="S655" i="31"/>
  <c r="S651" i="31"/>
  <c r="S647" i="31"/>
  <c r="S643" i="31"/>
  <c r="S639" i="31"/>
  <c r="S635" i="31"/>
  <c r="S631" i="31"/>
  <c r="S627" i="31"/>
  <c r="S623" i="31"/>
  <c r="S619" i="31"/>
  <c r="S615" i="31"/>
  <c r="S737" i="31"/>
  <c r="S733" i="31"/>
  <c r="S729" i="31"/>
  <c r="S725" i="31"/>
  <c r="S721" i="31"/>
  <c r="S717" i="31"/>
  <c r="S713" i="31"/>
  <c r="S709" i="31"/>
  <c r="S525" i="31"/>
  <c r="S652" i="31"/>
  <c r="S648" i="31"/>
  <c r="S644" i="31"/>
  <c r="S640" i="31"/>
  <c r="S636" i="31"/>
  <c r="S632" i="31"/>
  <c r="S628" i="31"/>
  <c r="S624" i="31"/>
  <c r="S620" i="31"/>
  <c r="S616" i="31"/>
  <c r="S613" i="31"/>
  <c r="S610" i="31"/>
  <c r="S606" i="31"/>
  <c r="S602" i="31"/>
  <c r="S598" i="31"/>
  <c r="S594" i="31"/>
  <c r="S590" i="31"/>
  <c r="S586" i="31"/>
  <c r="S582" i="31"/>
  <c r="S578" i="31"/>
  <c r="S574" i="31"/>
  <c r="S570" i="31"/>
  <c r="S566" i="31"/>
  <c r="S562" i="31"/>
  <c r="S558" i="31"/>
  <c r="S554" i="31"/>
  <c r="S550" i="31"/>
  <c r="S546" i="31"/>
  <c r="S542" i="31"/>
  <c r="S538" i="31"/>
  <c r="S534" i="31"/>
  <c r="S529" i="31"/>
  <c r="S609" i="31"/>
  <c r="S605" i="31"/>
  <c r="S601" i="31"/>
  <c r="S597" i="31"/>
  <c r="S593" i="31"/>
  <c r="S589" i="31"/>
  <c r="S585" i="31"/>
  <c r="S581" i="31"/>
  <c r="S577" i="31"/>
  <c r="S573" i="31"/>
  <c r="S569" i="31"/>
  <c r="S565" i="31"/>
  <c r="S561" i="31"/>
  <c r="S557" i="31"/>
  <c r="S553" i="31"/>
  <c r="S549" i="31"/>
  <c r="S545" i="31"/>
  <c r="S541" i="31"/>
  <c r="S537" i="31"/>
  <c r="S533" i="31"/>
  <c r="S528" i="31"/>
  <c r="S526" i="31"/>
  <c r="S758" i="31"/>
  <c r="S756" i="31"/>
  <c r="S754" i="31"/>
  <c r="S752" i="31"/>
  <c r="S750" i="31"/>
  <c r="S748" i="31"/>
  <c r="S746" i="31"/>
  <c r="S744" i="31"/>
  <c r="S742" i="31"/>
  <c r="S764" i="31"/>
  <c r="S762" i="31"/>
  <c r="S760" i="31"/>
  <c r="S207" i="31"/>
  <c r="S215" i="31"/>
  <c r="S223" i="31"/>
  <c r="S231" i="31"/>
  <c r="S239" i="31"/>
  <c r="S247" i="31"/>
  <c r="S255" i="31"/>
  <c r="S263" i="31"/>
  <c r="S271" i="31"/>
  <c r="S279" i="31"/>
  <c r="S287" i="31"/>
  <c r="S295" i="31"/>
  <c r="S303" i="31"/>
  <c r="S311" i="31"/>
  <c r="S319" i="31"/>
  <c r="S327" i="31"/>
  <c r="S335" i="31"/>
  <c r="S343" i="31"/>
  <c r="S351" i="31"/>
  <c r="S359" i="31"/>
  <c r="S206" i="31"/>
  <c r="S214" i="31"/>
  <c r="S222" i="31"/>
  <c r="S230" i="31"/>
  <c r="S238" i="31"/>
  <c r="S246" i="31"/>
  <c r="S254" i="31"/>
  <c r="S262" i="31"/>
  <c r="S270" i="31"/>
  <c r="S278" i="31"/>
  <c r="S286" i="31"/>
  <c r="S294" i="31"/>
  <c r="S302" i="31"/>
  <c r="S310" i="31"/>
  <c r="S318" i="31"/>
  <c r="S326" i="31"/>
  <c r="S334" i="31"/>
  <c r="S342" i="31"/>
  <c r="S350" i="31"/>
  <c r="S358" i="31"/>
  <c r="S365" i="31"/>
  <c r="S373" i="31"/>
  <c r="S381" i="31"/>
  <c r="S389" i="31"/>
  <c r="S397" i="31"/>
  <c r="S405" i="31"/>
  <c r="S413" i="31"/>
  <c r="S421" i="31"/>
  <c r="S429" i="31"/>
  <c r="S437" i="31"/>
  <c r="S445" i="31"/>
  <c r="S453" i="31"/>
  <c r="S461" i="31"/>
  <c r="S469" i="31"/>
  <c r="S477" i="31"/>
  <c r="S485" i="31"/>
  <c r="S493" i="31"/>
  <c r="S501" i="31"/>
  <c r="S509" i="31"/>
  <c r="S517" i="31"/>
  <c r="S366" i="31"/>
  <c r="S374" i="31"/>
  <c r="S382" i="31"/>
  <c r="S390" i="31"/>
  <c r="S398" i="31"/>
  <c r="S406" i="31"/>
  <c r="S414" i="31"/>
  <c r="S422" i="31"/>
  <c r="S430" i="31"/>
  <c r="S438" i="31"/>
  <c r="S446" i="31"/>
  <c r="S454" i="31"/>
  <c r="S462" i="31"/>
  <c r="S470" i="31"/>
  <c r="S478" i="31"/>
  <c r="S486" i="31"/>
  <c r="S494" i="31"/>
  <c r="S502" i="31"/>
  <c r="S510" i="31"/>
  <c r="S518" i="31"/>
  <c r="S209" i="31"/>
  <c r="S217" i="31"/>
  <c r="S225" i="31"/>
  <c r="S233" i="31"/>
  <c r="S241" i="31"/>
  <c r="S249" i="31"/>
  <c r="S257" i="31"/>
  <c r="S265" i="31"/>
  <c r="S273" i="31"/>
  <c r="S281" i="31"/>
  <c r="S289" i="31"/>
  <c r="S297" i="31"/>
  <c r="S305" i="31"/>
  <c r="S313" i="31"/>
  <c r="S321" i="31"/>
  <c r="S329" i="31"/>
  <c r="S337" i="31"/>
  <c r="S345" i="31"/>
  <c r="S353" i="31"/>
  <c r="S361" i="31"/>
  <c r="S208" i="31"/>
  <c r="S216" i="31"/>
  <c r="S224" i="31"/>
  <c r="S232" i="31"/>
  <c r="S240" i="31"/>
  <c r="S248" i="31"/>
  <c r="S256" i="31"/>
  <c r="S264" i="31"/>
  <c r="S272" i="31"/>
  <c r="S280" i="31"/>
  <c r="S288" i="31"/>
  <c r="S296" i="31"/>
  <c r="S304" i="31"/>
  <c r="S312" i="31"/>
  <c r="S320" i="31"/>
  <c r="S328" i="31"/>
  <c r="S336" i="31"/>
  <c r="S344" i="31"/>
  <c r="S352" i="31"/>
  <c r="S360" i="31"/>
  <c r="S367" i="31"/>
  <c r="S375" i="31"/>
  <c r="S383" i="31"/>
  <c r="S391" i="31"/>
  <c r="S399" i="31"/>
  <c r="S407" i="31"/>
  <c r="S415" i="31"/>
  <c r="S423" i="31"/>
  <c r="S431" i="31"/>
  <c r="S439" i="31"/>
  <c r="S447" i="31"/>
  <c r="S455" i="31"/>
  <c r="S463" i="31"/>
  <c r="S471" i="31"/>
  <c r="S479" i="31"/>
  <c r="S487" i="31"/>
  <c r="S495" i="31"/>
  <c r="S503" i="31"/>
  <c r="S511" i="31"/>
  <c r="S519" i="31"/>
  <c r="S368" i="31"/>
  <c r="S376" i="31"/>
  <c r="S384" i="31"/>
  <c r="S392" i="31"/>
  <c r="S400" i="31"/>
  <c r="S408" i="31"/>
  <c r="S416" i="31"/>
  <c r="S424" i="31"/>
  <c r="S432" i="31"/>
  <c r="S440" i="31"/>
  <c r="S448" i="31"/>
  <c r="S456" i="31"/>
  <c r="S464" i="31"/>
  <c r="S472" i="31"/>
  <c r="S480" i="31"/>
  <c r="S488" i="31"/>
  <c r="S496" i="31"/>
  <c r="S504" i="31"/>
  <c r="S512" i="31"/>
  <c r="S520" i="31"/>
  <c r="S738" i="31"/>
  <c r="S734" i="31"/>
  <c r="S730" i="31"/>
  <c r="S726" i="31"/>
  <c r="S722" i="31"/>
  <c r="S718" i="31"/>
  <c r="S714" i="31"/>
  <c r="S710" i="31"/>
  <c r="S706" i="31"/>
  <c r="S704" i="31"/>
  <c r="S702" i="31"/>
  <c r="S700" i="31"/>
  <c r="S698" i="31"/>
  <c r="S696" i="31"/>
  <c r="S694" i="31"/>
  <c r="S692" i="31"/>
  <c r="S690" i="31"/>
  <c r="S688" i="31"/>
  <c r="S686" i="31"/>
  <c r="S684" i="31"/>
  <c r="S682" i="31"/>
  <c r="S680" i="31"/>
  <c r="S678" i="31"/>
  <c r="S676" i="31"/>
  <c r="S674" i="31"/>
  <c r="S672" i="31"/>
  <c r="S670" i="31"/>
  <c r="S668" i="31"/>
  <c r="S666" i="31"/>
  <c r="S664" i="31"/>
  <c r="S662" i="31"/>
  <c r="S660" i="31"/>
  <c r="S658" i="31"/>
  <c r="S656" i="31"/>
  <c r="S653" i="31"/>
  <c r="S649" i="31"/>
  <c r="S645" i="31"/>
  <c r="S641" i="31"/>
  <c r="S637" i="31"/>
  <c r="S633" i="31"/>
  <c r="S629" i="31"/>
  <c r="S625" i="31"/>
  <c r="S621" i="31"/>
  <c r="S617" i="31"/>
  <c r="S739" i="31"/>
  <c r="S735" i="31"/>
  <c r="S731" i="31"/>
  <c r="S727" i="31"/>
  <c r="S723" i="31"/>
  <c r="S719" i="31"/>
  <c r="S715" i="31"/>
  <c r="S711" i="31"/>
  <c r="S707" i="31"/>
  <c r="S654" i="31"/>
  <c r="S650" i="31"/>
  <c r="S646" i="31"/>
  <c r="S642" i="31"/>
  <c r="S638" i="31"/>
  <c r="S634" i="31"/>
  <c r="S630" i="31"/>
  <c r="S626" i="31"/>
  <c r="S622" i="31"/>
  <c r="S618" i="31"/>
  <c r="S614" i="31"/>
  <c r="S612" i="31"/>
  <c r="S608" i="31"/>
  <c r="S604" i="31"/>
  <c r="S600" i="31"/>
  <c r="S596" i="31"/>
  <c r="S592" i="31"/>
  <c r="S588" i="31"/>
  <c r="S584" i="31"/>
  <c r="S580" i="31"/>
  <c r="S576" i="31"/>
  <c r="S572" i="31"/>
  <c r="S568" i="31"/>
  <c r="S564" i="31"/>
  <c r="S560" i="31"/>
  <c r="S556" i="31"/>
  <c r="S552" i="31"/>
  <c r="S548" i="31"/>
  <c r="S544" i="31"/>
  <c r="S540" i="31"/>
  <c r="S536" i="31"/>
  <c r="S532" i="31"/>
  <c r="S611" i="31"/>
  <c r="S607" i="31"/>
  <c r="S603" i="31"/>
  <c r="S599" i="31"/>
  <c r="S595" i="31"/>
  <c r="S591" i="31"/>
  <c r="S587" i="31"/>
  <c r="S583" i="31"/>
  <c r="S579" i="31"/>
  <c r="S575" i="31"/>
  <c r="S571" i="31"/>
  <c r="S567" i="31"/>
  <c r="S563" i="31"/>
  <c r="S559" i="31"/>
  <c r="S555" i="31"/>
  <c r="S551" i="31"/>
  <c r="S547" i="31"/>
  <c r="S543" i="31"/>
  <c r="S539" i="31"/>
  <c r="S535" i="31"/>
  <c r="S531" i="31"/>
  <c r="S527" i="31"/>
  <c r="S530" i="31"/>
  <c r="S757" i="31"/>
  <c r="S755" i="31"/>
  <c r="S753" i="31"/>
  <c r="S751" i="31"/>
  <c r="S749" i="31"/>
  <c r="S747" i="31"/>
  <c r="S745" i="31"/>
  <c r="S743" i="31"/>
  <c r="S741" i="31"/>
  <c r="S763" i="31"/>
  <c r="S761" i="31"/>
  <c r="S759" i="31"/>
  <c r="S201" i="31"/>
  <c r="S29" i="31"/>
  <c r="S37" i="31"/>
  <c r="S45" i="31"/>
  <c r="S53" i="31"/>
  <c r="S61" i="31"/>
  <c r="S69" i="31"/>
  <c r="S77" i="31"/>
  <c r="S85" i="31"/>
  <c r="S93" i="31"/>
  <c r="S101" i="31"/>
  <c r="S109" i="31"/>
  <c r="S117" i="31"/>
  <c r="S125" i="31"/>
  <c r="S133" i="31"/>
  <c r="S141" i="31"/>
  <c r="S149" i="31"/>
  <c r="S157" i="31"/>
  <c r="S165" i="31"/>
  <c r="S173" i="31"/>
  <c r="S181" i="31"/>
  <c r="S189" i="31"/>
  <c r="S28" i="31"/>
  <c r="S36" i="31"/>
  <c r="S44" i="31"/>
  <c r="S52" i="31"/>
  <c r="S60" i="31"/>
  <c r="S68" i="31"/>
  <c r="S76" i="31"/>
  <c r="S84" i="31"/>
  <c r="S92" i="31"/>
  <c r="S100" i="31"/>
  <c r="S108" i="31"/>
  <c r="S116" i="31"/>
  <c r="S124" i="31"/>
  <c r="S132" i="31"/>
  <c r="S140" i="31"/>
  <c r="S148" i="31"/>
  <c r="S156" i="31"/>
  <c r="S164" i="31"/>
  <c r="S172" i="31"/>
  <c r="S180" i="31"/>
  <c r="S188" i="31"/>
  <c r="S195" i="31"/>
  <c r="S31" i="31"/>
  <c r="S39" i="31"/>
  <c r="S47" i="31"/>
  <c r="S55" i="31"/>
  <c r="S63" i="31"/>
  <c r="S71" i="31"/>
  <c r="S79" i="31"/>
  <c r="S87" i="31"/>
  <c r="S95" i="31"/>
  <c r="S103" i="31"/>
  <c r="S111" i="31"/>
  <c r="S119" i="31"/>
  <c r="S127" i="31"/>
  <c r="S135" i="31"/>
  <c r="S143" i="31"/>
  <c r="S151" i="31"/>
  <c r="S159" i="31"/>
  <c r="S167" i="31"/>
  <c r="S175" i="31"/>
  <c r="S183" i="31"/>
  <c r="S191" i="31"/>
  <c r="S30" i="31"/>
  <c r="S38" i="31"/>
  <c r="S46" i="31"/>
  <c r="S54" i="31"/>
  <c r="S62" i="31"/>
  <c r="S70" i="31"/>
  <c r="S78" i="31"/>
  <c r="S86" i="31"/>
  <c r="S94" i="31"/>
  <c r="S102" i="31"/>
  <c r="S110" i="31"/>
  <c r="S118" i="31"/>
  <c r="S126" i="31"/>
  <c r="S134" i="31"/>
  <c r="S142" i="31"/>
  <c r="S150" i="31"/>
  <c r="S158" i="31"/>
  <c r="S166" i="31"/>
  <c r="S174" i="31"/>
  <c r="S182" i="31"/>
  <c r="S190" i="31"/>
  <c r="S197" i="31"/>
  <c r="S196" i="31"/>
  <c r="S33" i="31"/>
  <c r="S41" i="31"/>
  <c r="S49" i="31"/>
  <c r="S57" i="31"/>
  <c r="S65" i="31"/>
  <c r="S73" i="31"/>
  <c r="S81" i="31"/>
  <c r="S89" i="31"/>
  <c r="S97" i="31"/>
  <c r="S105" i="31"/>
  <c r="S113" i="31"/>
  <c r="S121" i="31"/>
  <c r="S129" i="31"/>
  <c r="S137" i="31"/>
  <c r="S145" i="31"/>
  <c r="S153" i="31"/>
  <c r="S161" i="31"/>
  <c r="S169" i="31"/>
  <c r="S177" i="31"/>
  <c r="S185" i="31"/>
  <c r="S193" i="31"/>
  <c r="S32" i="31"/>
  <c r="S40" i="31"/>
  <c r="S48" i="31"/>
  <c r="S56" i="31"/>
  <c r="S64" i="31"/>
  <c r="S72" i="31"/>
  <c r="S80" i="31"/>
  <c r="S88" i="31"/>
  <c r="S96" i="31"/>
  <c r="S104" i="31"/>
  <c r="S112" i="31"/>
  <c r="S120" i="31"/>
  <c r="S128" i="31"/>
  <c r="S136" i="31"/>
  <c r="S144" i="31"/>
  <c r="S152" i="31"/>
  <c r="S160" i="31"/>
  <c r="S168" i="31"/>
  <c r="S176" i="31"/>
  <c r="S184" i="31"/>
  <c r="S192" i="31"/>
  <c r="S199" i="31"/>
  <c r="S198" i="31"/>
  <c r="S27" i="31"/>
  <c r="S35" i="31"/>
  <c r="S43" i="31"/>
  <c r="S51" i="31"/>
  <c r="S59" i="31"/>
  <c r="S67" i="31"/>
  <c r="S75" i="31"/>
  <c r="S83" i="31"/>
  <c r="S91" i="31"/>
  <c r="S99" i="31"/>
  <c r="S107" i="31"/>
  <c r="S115" i="31"/>
  <c r="S123" i="31"/>
  <c r="S131" i="31"/>
  <c r="S139" i="31"/>
  <c r="S147" i="31"/>
  <c r="S155" i="31"/>
  <c r="S163" i="31"/>
  <c r="S171" i="31"/>
  <c r="S179" i="31"/>
  <c r="S187" i="31"/>
  <c r="S26" i="31"/>
  <c r="G5" i="77" s="1"/>
  <c r="E5" i="77" s="1"/>
  <c r="S34" i="31"/>
  <c r="S42" i="31"/>
  <c r="S50" i="31"/>
  <c r="S58" i="31"/>
  <c r="S66" i="31"/>
  <c r="S74" i="31"/>
  <c r="S82" i="31"/>
  <c r="S90" i="31"/>
  <c r="S98" i="31"/>
  <c r="S106" i="31"/>
  <c r="S114" i="31"/>
  <c r="S122" i="31"/>
  <c r="S130" i="31"/>
  <c r="S138" i="31"/>
  <c r="S146" i="31"/>
  <c r="S154" i="31"/>
  <c r="S162" i="31"/>
  <c r="S170" i="31"/>
  <c r="S178" i="31"/>
  <c r="S186" i="31"/>
  <c r="S194" i="31"/>
  <c r="S25" i="31"/>
  <c r="G4" i="77" s="1"/>
  <c r="E4" i="77" s="1"/>
  <c r="E6" i="77" s="1"/>
  <c r="I46" i="40"/>
  <c r="J46" i="40" s="1"/>
  <c r="R43" i="40"/>
  <c r="E42" i="40"/>
  <c r="G47" i="40"/>
  <c r="H47" i="40" s="1"/>
  <c r="G46" i="40"/>
  <c r="H46" i="40" s="1"/>
  <c r="G6" i="77" l="1"/>
  <c r="S22" i="31"/>
  <c r="B19" i="3"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21" i="3" l="1"/>
  <c r="AW21" i="3" s="1"/>
  <c r="B20" i="3"/>
  <c r="AW20" i="3" s="1"/>
  <c r="AW19" i="3"/>
  <c r="G15" i="74"/>
  <c r="B20" i="31"/>
  <c r="B21" i="31" s="1"/>
  <c r="D14" i="74"/>
  <c r="R22" i="3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G14" i="74"/>
  <c r="B6" i="74" s="1"/>
  <c r="D6" i="74" s="1"/>
  <c r="B5" i="74"/>
  <c r="D5" i="74" s="1"/>
  <c r="F14" i="74"/>
  <c r="E15" i="74"/>
  <c r="F15" i="74"/>
  <c r="C5" i="74" l="1"/>
  <c r="C6" i="74"/>
  <c r="C105" i="9"/>
  <c r="I4" i="52"/>
  <c r="D53" i="9"/>
  <c r="D52" i="9"/>
  <c r="H4" i="52"/>
  <c r="C104" i="9"/>
  <c r="N58" i="9"/>
  <c r="P57" i="9"/>
  <c r="N61" i="9"/>
  <c r="N60" i="9"/>
  <c r="N59" i="9"/>
  <c r="B52" i="72"/>
  <c r="G4" i="52"/>
  <c r="N69" i="9"/>
  <c r="L67" i="9"/>
  <c r="M67" i="9"/>
  <c r="B47" i="72"/>
  <c r="D8" i="52"/>
  <c r="B49" i="72"/>
  <c r="M69" i="9"/>
  <c r="L63" i="9"/>
  <c r="M63" i="9"/>
  <c r="D54" i="9"/>
  <c r="M54" i="9"/>
  <c r="C68" i="9"/>
  <c r="B21" i="72"/>
  <c r="L64" i="9"/>
  <c r="M64" i="9"/>
  <c r="H102" i="9"/>
  <c r="D7" i="53"/>
  <c r="B22" i="72"/>
  <c r="H119" i="9"/>
  <c r="H5" i="52"/>
  <c r="B30" i="72"/>
  <c r="N57" i="9"/>
  <c r="M48" i="9"/>
  <c r="D59" i="9"/>
  <c r="M55" i="9"/>
  <c r="L65" i="9"/>
  <c r="M65" i="9"/>
  <c r="D122" i="9"/>
  <c r="D123" i="9"/>
  <c r="D9" i="52"/>
  <c r="D4" i="52"/>
  <c r="B51" i="72"/>
  <c r="C78" i="9"/>
  <c r="C73" i="9"/>
  <c r="H108" i="9"/>
  <c r="D15" i="53"/>
  <c r="B31" i="72"/>
  <c r="F4" i="52"/>
  <c r="D56" i="9"/>
  <c r="C81" i="9"/>
  <c r="C67" i="9"/>
  <c r="E97" i="9"/>
  <c r="L66" i="9"/>
  <c r="M66" i="9"/>
  <c r="G118" i="9"/>
  <c r="F118" i="9"/>
  <c r="F119" i="9"/>
  <c r="F5" i="52"/>
  <c r="B53" i="72"/>
  <c r="C93" i="9"/>
  <c r="C86" i="9"/>
  <c r="C96" i="9"/>
  <c r="E96" i="9"/>
  <c r="E4" i="52"/>
  <c r="B48" i="72"/>
  <c r="D13" i="53"/>
  <c r="D14" i="53"/>
  <c r="B32" i="72"/>
  <c r="D55" i="9"/>
  <c r="M53" i="9"/>
  <c r="B20" i="72"/>
  <c r="D5" i="53"/>
  <c r="D6" i="53"/>
  <c r="E118" i="9"/>
  <c r="D118" i="9"/>
  <c r="D119" i="9"/>
  <c r="D5" i="52"/>
  <c r="H107" i="9"/>
  <c r="M49" i="9"/>
  <c r="L68" i="9"/>
  <c r="M68" i="9"/>
  <c r="C85" i="9"/>
  <c r="C95" i="9"/>
  <c r="C97" i="9"/>
  <c r="D58" i="9"/>
  <c r="C72" i="9"/>
  <c r="C79" i="9"/>
  <c r="C80" i="9"/>
  <c r="E80" i="9"/>
  <c r="E81"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<sst xmlns="http://schemas.openxmlformats.org/spreadsheetml/2006/main" count="7653" uniqueCount="3225">
  <si>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</si>
  <si>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</si>
  <si>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</si>
  <si>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</si>
  <si>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</si>
  <si>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</si>
  <si>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</si>
  <si>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</si>
  <si>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</si>
  <si>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</si>
  <si>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</si>
  <si>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</si>
  <si>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</si>
  <si>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</si>
  <si>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</si>
  <si>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</si>
  <si>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</si>
  <si>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</si>
  <si>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</si>
  <si>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</si>
  <si>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</si>
  <si>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</si>
  <si>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</si>
  <si>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</si>
  <si>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</si>
  <si>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</si>
  <si>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</si>
  <si>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</si>
  <si>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</si>
  <si>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</si>
  <si>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</si>
  <si>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</si>
  <si>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</si>
  <si>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</si>
  <si>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</si>
  <si>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</si>
  <si>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</si>
  <si>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</si>
  <si>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</si>
  <si>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</si>
  <si>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</si>
  <si>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</si>
  <si>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</si>
  <si>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</si>
  <si>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</si>
  <si>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</si>
  <si>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</si>
  <si>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</si>
  <si>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</si>
  <si>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</si>
  <si>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</si>
  <si>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</si>
  <si>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</si>
  <si>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</si>
  <si>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</si>
  <si>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</si>
  <si>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</si>
  <si>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</si>
  <si>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</si>
  <si>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</si>
  <si>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</si>
  <si>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</si>
  <si>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</si>
  <si>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</si>
  <si>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</si>
  <si>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</si>
  <si>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</si>
  <si>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</si>
  <si>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</si>
  <si>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</si>
  <si>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</si>
  <si>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</si>
  <si>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</si>
  <si>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</si>
  <si>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</si>
  <si>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</si>
  <si>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</si>
  <si>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</si>
  <si>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</si>
  <si>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</si>
  <si>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</si>
  <si>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</si>
  <si>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</si>
  <si>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</si>
  <si>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</si>
  <si>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</si>
  <si>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</si>
  <si>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</si>
  <si>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</si>
  <si>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</si>
  <si>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</si>
  <si>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</si>
  <si>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</si>
  <si>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</si>
  <si>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</si>
  <si>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</si>
  <si>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</si>
  <si>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</si>
  <si>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</si>
  <si>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</si>
  <si>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</si>
  <si>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</si>
  <si>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</si>
  <si>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</si>
  <si>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</si>
  <si>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</si>
  <si>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</si>
  <si>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</si>
  <si>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</si>
  <si>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</si>
  <si>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</si>
  <si>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</si>
  <si>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</si>
  <si>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</si>
  <si>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</si>
  <si>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</si>
  <si>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</si>
  <si>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</si>
  <si>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</si>
  <si>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</si>
  <si>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</si>
  <si>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</si>
  <si>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</si>
  <si>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</si>
  <si>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</si>
  <si>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</si>
  <si>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</si>
  <si>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</si>
  <si>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</si>
  <si>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</si>
  <si>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</si>
  <si>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</si>
  <si>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</si>
  <si>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</si>
  <si>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</si>
  <si>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</si>
  <si>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</si>
  <si>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</si>
  <si>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</si>
  <si>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</si>
  <si>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</si>
  <si>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</si>
  <si>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</si>
  <si>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</si>
  <si>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</si>
  <si>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</si>
  <si>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</si>
  <si>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</si>
  <si>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</si>
  <si>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</si>
  <si>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</si>
  <si>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</si>
  <si>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</si>
  <si>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</si>
  <si>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</si>
  <si>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</si>
  <si>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</si>
  <si>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</si>
  <si>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</si>
  <si>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</si>
  <si>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</si>
  <si>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</si>
  <si>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</si>
  <si>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</si>
  <si>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</si>
  <si>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</si>
  <si>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</si>
  <si>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</si>
  <si>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</si>
  <si>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</si>
  <si>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</si>
  <si>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</si>
  <si>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</si>
  <si>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</si>
  <si>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</si>
  <si>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</si>
  <si>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</si>
  <si>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</si>
  <si>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</si>
  <si>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</si>
  <si>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</si>
  <si>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</si>
  <si>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</si>
  <si>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</si>
  <si>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</si>
  <si>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</si>
  <si>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</si>
  <si>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</si>
  <si>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</si>
  <si>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</si>
  <si>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</si>
  <si>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</si>
  <si>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</si>
  <si>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</si>
  <si>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</si>
  <si>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</si>
  <si>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</si>
  <si>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</si>
  <si>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</si>
  <si>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</si>
  <si>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</si>
  <si>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</si>
  <si>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</si>
  <si>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</si>
  <si>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</si>
  <si>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</si>
  <si>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</si>
  <si>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</si>
  <si>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</si>
  <si>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</si>
  <si>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</si>
  <si>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</si>
  <si>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</si>
  <si>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</si>
  <si>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</si>
  <si>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</si>
  <si>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</si>
  <si>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</si>
  <si>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</si>
  <si>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</si>
  <si>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</si>
  <si>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</si>
  <si>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</si>
  <si>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</si>
  <si>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</si>
  <si>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</si>
  <si>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</si>
  <si>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</si>
  <si>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</si>
  <si>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</si>
  <si>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</si>
  <si>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</si>
  <si>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</si>
  <si>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</si>
  <si>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</si>
  <si>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</si>
  <si>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</si>
  <si>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</si>
  <si>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</si>
  <si>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</si>
  <si>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</si>
  <si>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</si>
  <si>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</si>
  <si>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</si>
  <si>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</si>
  <si>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</si>
  <si>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</si>
  <si>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</si>
  <si>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</si>
  <si>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</si>
  <si>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</si>
  <si>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</si>
  <si>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</si>
  <si>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</si>
  <si>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</si>
  <si>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</si>
  <si>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</si>
  <si>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</si>
  <si>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</si>
  <si>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</si>
  <si>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</si>
  <si>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</si>
  <si>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</si>
  <si>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</si>
  <si>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</si>
  <si>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</si>
  <si>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</si>
  <si>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</si>
  <si>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</si>
  <si>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</si>
  <si>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</si>
  <si>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</si>
  <si>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</si>
  <si>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</si>
  <si>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</si>
  <si>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</si>
  <si>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</si>
  <si>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</si>
  <si>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</si>
  <si>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</si>
  <si>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</si>
  <si>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</si>
  <si>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</si>
  <si>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</si>
  <si>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</si>
  <si>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</si>
  <si>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</si>
  <si>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</si>
  <si>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</si>
  <si>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</si>
  <si>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</si>
  <si>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</si>
  <si>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</si>
  <si>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</si>
  <si>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</si>
  <si>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</si>
  <si>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</si>
  <si>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</si>
  <si>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</si>
  <si>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</si>
  <si>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</si>
  <si>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</si>
  <si>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</si>
  <si>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</si>
  <si>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</si>
  <si>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</si>
  <si>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</si>
  <si>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</si>
  <si>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</si>
  <si>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</si>
  <si>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</si>
  <si>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</si>
  <si>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</si>
  <si>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</si>
  <si>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</si>
  <si>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</si>
  <si>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</si>
  <si>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</si>
  <si>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</si>
  <si>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</si>
  <si>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</si>
  <si>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</si>
  <si>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</si>
  <si>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</si>
  <si>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</si>
  <si>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</si>
  <si>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</si>
  <si>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</si>
  <si>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</si>
  <si>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</si>
  <si>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</si>
  <si>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</si>
  <si>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</si>
  <si>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</si>
  <si>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</si>
  <si>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</si>
  <si>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</si>
  <si>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</si>
  <si>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</si>
  <si>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</si>
  <si>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</si>
  <si>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</si>
  <si>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</si>
  <si>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</si>
  <si>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</si>
  <si>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</si>
  <si>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</si>
  <si>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</si>
  <si>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</si>
  <si>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</si>
  <si>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</si>
  <si>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</si>
  <si>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</si>
  <si>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</si>
  <si>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</si>
  <si>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</si>
  <si>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</si>
  <si>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</si>
  <si>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</si>
  <si>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</si>
  <si>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</si>
  <si>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</si>
  <si>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</si>
  <si>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</si>
  <si>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</si>
  <si>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</si>
  <si>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</si>
  <si>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</si>
  <si>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</si>
  <si>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</si>
  <si>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</si>
  <si>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</si>
  <si>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</si>
  <si>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</si>
  <si>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</si>
  <si>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</si>
  <si>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</si>
  <si>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</si>
  <si>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</si>
  <si>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</si>
  <si>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</si>
  <si>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</si>
  <si>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</si>
  <si>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</si>
  <si>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</si>
  <si>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</si>
  <si>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</si>
  <si>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</si>
  <si>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</si>
  <si>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</si>
  <si>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</si>
  <si>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</si>
  <si>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</si>
  <si>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</si>
  <si>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</si>
  <si>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</si>
  <si>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</si>
  <si>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</si>
  <si>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</si>
  <si>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</si>
  <si>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</si>
  <si>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</si>
  <si>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</si>
  <si>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</si>
  <si>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</si>
  <si>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</si>
  <si>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</si>
  <si>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</si>
  <si>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</si>
  <si>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</si>
  <si>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</si>
  <si>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</si>
  <si>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</si>
  <si>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</si>
  <si>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</si>
  <si>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</si>
  <si>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</si>
  <si>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</si>
  <si>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</si>
  <si>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</si>
  <si>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</si>
  <si>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</si>
  <si>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</si>
  <si>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</si>
  <si>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</si>
  <si>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</si>
  <si>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</si>
  <si>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</si>
  <si>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</si>
  <si>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</si>
  <si>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</si>
  <si>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</si>
  <si>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</si>
  <si>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</si>
  <si>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</si>
  <si>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</si>
  <si>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</si>
  <si>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</si>
  <si>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</si>
  <si>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</si>
  <si>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</si>
  <si>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</si>
  <si>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</si>
  <si>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</si>
  <si>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</si>
  <si>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</si>
  <si>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</si>
  <si>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</si>
  <si>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</si>
  <si>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</si>
  <si>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</si>
  <si>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</si>
  <si>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</si>
  <si>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</si>
  <si>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</si>
  <si>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</si>
  <si>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</si>
  <si>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</si>
  <si>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</si>
  <si>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</si>
  <si>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</si>
  <si>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</si>
  <si>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</si>
  <si>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</si>
  <si>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</si>
  <si>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</si>
  <si>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</si>
  <si>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</si>
  <si>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</si>
  <si>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</si>
  <si>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</si>
  <si>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</si>
  <si>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</si>
  <si>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</si>
  <si>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</si>
  <si>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</si>
  <si>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</si>
  <si>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</si>
  <si>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</si>
  <si>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</si>
  <si>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</si>
  <si>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</si>
  <si>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</si>
  <si>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</si>
  <si>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</si>
  <si>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</si>
  <si>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</si>
  <si>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</si>
  <si>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</si>
  <si>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</si>
  <si>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</si>
  <si>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</si>
  <si>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</si>
  <si>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</si>
  <si>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</si>
  <si>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</si>
  <si>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</si>
  <si>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</si>
  <si>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</si>
  <si>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</si>
  <si>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</si>
  <si>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</si>
  <si>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</si>
  <si>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</si>
  <si>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</si>
  <si>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</si>
  <si>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</si>
  <si>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</si>
  <si>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</si>
  <si>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</si>
  <si>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</si>
  <si>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</si>
  <si>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</si>
  <si>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</si>
  <si>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</si>
  <si>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</si>
  <si>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</si>
  <si>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</si>
  <si>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</si>
  <si>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</si>
  <si>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</si>
  <si>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</si>
  <si>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</si>
  <si>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</si>
  <si>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</si>
  <si>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</si>
  <si>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</si>
  <si>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</si>
  <si>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</si>
  <si>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</si>
  <si>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</si>
  <si>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</si>
  <si>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</si>
  <si>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</si>
  <si>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</si>
  <si>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</si>
  <si>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</si>
  <si>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</si>
  <si>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</si>
  <si>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</si>
  <si>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</si>
  <si>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</si>
  <si>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</si>
  <si>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</si>
  <si>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</si>
  <si>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</si>
  <si>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</si>
  <si>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</si>
  <si>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</si>
  <si>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</si>
  <si>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</si>
  <si>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</si>
  <si>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</si>
  <si>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</si>
  <si>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</si>
  <si>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</si>
  <si>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</si>
  <si>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</si>
  <si>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</si>
  <si>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</si>
  <si>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</si>
  <si>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</si>
  <si>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</si>
  <si>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</si>
  <si>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</si>
  <si>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</si>
  <si>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</si>
  <si>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</si>
  <si>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</si>
  <si>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</si>
  <si>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</si>
  <si>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</si>
  <si>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</si>
  <si>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</si>
  <si>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</si>
  <si>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</si>
  <si>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</si>
  <si>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</si>
  <si>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</si>
  <si>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</si>
  <si>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</si>
  <si>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</si>
  <si>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</si>
  <si>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</si>
  <si>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</si>
  <si>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</si>
  <si>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</si>
  <si>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</si>
  <si>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</si>
  <si>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</si>
  <si>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</si>
  <si>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</si>
  <si>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</si>
  <si>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</si>
  <si>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</si>
  <si>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</si>
  <si>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</si>
  <si>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</si>
  <si>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</si>
  <si>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</si>
  <si>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</si>
  <si>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</si>
  <si>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</si>
  <si>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</si>
  <si>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</si>
  <si>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</si>
  <si>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</si>
  <si>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</si>
  <si>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</si>
  <si>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</si>
  <si>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</si>
  <si>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</si>
  <si>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</si>
  <si>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</si>
  <si>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</si>
  <si>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</si>
  <si>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</si>
  <si>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</si>
  <si>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</si>
  <si>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</si>
  <si>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</si>
  <si>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</si>
  <si>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</si>
  <si>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</si>
  <si>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</si>
  <si>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</si>
  <si>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</si>
  <si>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</si>
  <si>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</si>
  <si>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</si>
  <si>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</si>
  <si>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</si>
  <si>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</si>
  <si>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</si>
  <si>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</si>
  <si>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</si>
  <si>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</si>
  <si>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</si>
  <si>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</si>
  <si>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</si>
  <si>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</si>
  <si>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</si>
  <si>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</si>
  <si>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</si>
  <si>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</si>
  <si>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</si>
  <si>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</si>
  <si>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</si>
  <si>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</si>
  <si>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</si>
  <si>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</si>
  <si>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</si>
  <si>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</si>
  <si>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</si>
  <si>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</si>
  <si>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</si>
  <si>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</si>
  <si>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</si>
  <si>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</si>
  <si>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</si>
  <si>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</si>
  <si>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</si>
  <si>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</si>
  <si>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</si>
  <si>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</si>
  <si>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</si>
  <si>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</si>
  <si>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</si>
  <si>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</si>
  <si>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</si>
  <si>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</si>
  <si>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</si>
  <si>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</si>
  <si>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</si>
  <si>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</si>
  <si>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</si>
  <si>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</si>
  <si>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</si>
  <si>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</si>
  <si>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</si>
  <si>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</si>
  <si>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</si>
  <si>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</si>
  <si>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</si>
  <si>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</si>
  <si>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</si>
  <si>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</si>
  <si>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</si>
  <si>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</si>
  <si>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</si>
  <si>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</si>
  <si>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</si>
  <si>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</si>
  <si>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</si>
  <si>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</si>
  <si>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</si>
  <si>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</si>
  <si>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</si>
  <si>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</si>
  <si>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</si>
  <si>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</si>
  <si>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</si>
  <si>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</si>
  <si>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</si>
  <si>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</si>
  <si>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</si>
  <si>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</si>
  <si>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</si>
  <si>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</si>
  <si>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</si>
  <si>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</si>
  <si>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</si>
  <si>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</si>
  <si>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</si>
  <si>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</si>
  <si>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</si>
  <si>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</si>
  <si>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</si>
  <si>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</si>
  <si>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</si>
  <si>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</si>
  <si>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</si>
  <si>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</si>
  <si>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</si>
  <si>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</si>
  <si>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</si>
  <si>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</si>
  <si>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</si>
  <si>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</si>
  <si>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</si>
  <si>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</si>
  <si>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</si>
  <si>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</si>
  <si>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</si>
  <si>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</si>
  <si>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</si>
  <si>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</si>
  <si>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</si>
  <si>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</si>
  <si>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</si>
  <si>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</si>
  <si>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</si>
  <si>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</si>
  <si>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</si>
  <si>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</si>
  <si>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</si>
  <si>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</si>
  <si>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</si>
  <si>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</si>
  <si>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</si>
  <si>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</si>
  <si>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</si>
  <si>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</si>
  <si>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</si>
  <si>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</si>
  <si>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</si>
  <si>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</si>
  <si>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</si>
  <si>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</si>
  <si>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</si>
  <si>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</si>
  <si>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</si>
  <si>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</si>
  <si>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</si>
  <si>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</si>
  <si>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</si>
  <si>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</si>
  <si>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</si>
  <si>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</si>
  <si>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</si>
  <si>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</si>
  <si>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</si>
  <si>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</si>
  <si>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</si>
  <si>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</si>
  <si>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</si>
  <si>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</si>
  <si>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</si>
  <si>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</si>
  <si>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</si>
  <si>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</si>
  <si>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</si>
  <si>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</si>
  <si>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</si>
  <si>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</si>
  <si>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</si>
  <si>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</si>
  <si>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</si>
  <si>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</si>
  <si>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</si>
  <si>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</si>
  <si>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</si>
  <si>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</si>
  <si>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</si>
  <si>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</si>
  <si>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</si>
  <si>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</si>
  <si>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</si>
  <si>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</si>
  <si>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</si>
  <si>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</si>
  <si>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</si>
  <si>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</si>
  <si>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</si>
  <si>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</si>
  <si>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</si>
  <si>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</si>
  <si>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</si>
  <si>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</si>
  <si>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</si>
  <si>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</si>
  <si>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</si>
  <si>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</si>
  <si>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</si>
  <si>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</si>
  <si>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</si>
  <si>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</si>
  <si>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</si>
  <si>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</si>
  <si>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</si>
  <si>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</si>
  <si>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</si>
  <si>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</si>
  <si>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</si>
  <si>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</si>
  <si>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</si>
  <si>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</si>
  <si>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</si>
  <si>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</si>
  <si>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</si>
  <si>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</si>
  <si>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</si>
  <si>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</si>
  <si>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</si>
  <si>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</si>
  <si>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</si>
  <si>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</si>
  <si>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</si>
  <si>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</si>
  <si>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</si>
  <si>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</si>
  <si>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</si>
  <si>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</si>
  <si>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</si>
  <si>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</si>
  <si>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</si>
  <si>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</si>
  <si>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</si>
  <si>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</si>
  <si>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</si>
  <si>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</si>
  <si>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</si>
  <si>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</si>
  <si>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</si>
  <si>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</si>
  <si>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</si>
  <si>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</si>
  <si>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</si>
  <si>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</si>
  <si>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</si>
  <si>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</si>
  <si>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</si>
  <si>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</si>
  <si>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</si>
  <si>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</si>
  <si>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</si>
  <si>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</si>
  <si>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</si>
  <si>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</si>
  <si>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</si>
  <si>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</si>
  <si>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</si>
  <si>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</si>
  <si>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</si>
  <si>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</si>
  <si>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</si>
  <si>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</si>
  <si>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</si>
  <si>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</si>
  <si>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</si>
  <si>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</si>
  <si>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</si>
  <si>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</si>
  <si>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</si>
  <si>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</si>
  <si>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</si>
  <si>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</si>
  <si>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</si>
  <si>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</si>
  <si>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</si>
  <si>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</si>
  <si>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</si>
  <si>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</si>
  <si>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</si>
  <si>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</si>
  <si>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</si>
  <si>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</si>
  <si>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</si>
  <si>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</si>
  <si>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</si>
  <si>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</si>
  <si>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</si>
  <si>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</si>
  <si>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</si>
  <si>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</si>
  <si>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</si>
  <si>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</si>
  <si>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</si>
  <si>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</si>
  <si>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</si>
  <si>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</si>
  <si>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</si>
  <si>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</si>
  <si>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</si>
  <si>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</si>
  <si>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</si>
  <si>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</si>
  <si>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</si>
  <si>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</si>
  <si>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</si>
  <si>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</si>
  <si>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</si>
  <si>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</si>
  <si>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</si>
  <si>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</si>
  <si>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</si>
  <si>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</si>
  <si>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</si>
  <si>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</si>
  <si>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</si>
  <si>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</si>
  <si>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</si>
  <si>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</si>
  <si>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</si>
  <si>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</si>
  <si>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</si>
  <si>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</si>
  <si>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</si>
  <si>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</si>
  <si>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</si>
  <si>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</si>
  <si>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</si>
  <si>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</si>
  <si>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</si>
  <si>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</si>
  <si>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</si>
  <si>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</si>
  <si>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</si>
  <si>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</si>
  <si>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</si>
  <si>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</si>
  <si>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</si>
  <si>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</si>
  <si>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</si>
  <si>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</si>
  <si>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</si>
  <si>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</si>
  <si>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</si>
  <si>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</si>
  <si>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</si>
  <si>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</si>
  <si>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</si>
  <si>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</si>
  <si>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</si>
  <si>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</si>
  <si>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</si>
  <si>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</si>
  <si>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</si>
  <si>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</si>
  <si>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</si>
  <si>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</si>
  <si>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</si>
  <si>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</si>
  <si>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</si>
  <si>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</si>
  <si>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</si>
  <si>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</si>
  <si>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</si>
  <si>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</si>
  <si>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</si>
  <si>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</si>
  <si>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</si>
  <si>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</si>
  <si>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</si>
  <si>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</si>
  <si>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</si>
  <si>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</si>
  <si>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</si>
  <si>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</si>
  <si>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</si>
  <si>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</si>
  <si>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</si>
  <si>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</si>
  <si>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</si>
  <si>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</si>
  <si>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</si>
  <si>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</si>
  <si>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</si>
  <si>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</si>
  <si>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</si>
  <si>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</si>
  <si>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</si>
  <si>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</si>
  <si>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</si>
  <si>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</si>
  <si>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</si>
  <si>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</si>
  <si>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</si>
  <si>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</si>
  <si>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</si>
  <si>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</si>
  <si>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</si>
  <si>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</si>
  <si>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</si>
  <si>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</si>
  <si>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</si>
  <si>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</si>
  <si>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</si>
  <si>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</si>
  <si>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</si>
  <si>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</si>
  <si>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</si>
  <si>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</si>
  <si>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</si>
  <si>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</si>
  <si>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</si>
  <si>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</si>
  <si>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</si>
  <si>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</si>
  <si>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</si>
  <si>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</si>
  <si>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</si>
  <si>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</si>
  <si>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</si>
  <si>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</si>
  <si>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</si>
  <si>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</si>
  <si>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</si>
  <si>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</si>
  <si>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</si>
  <si>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</si>
  <si>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</si>
  <si>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</si>
  <si>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</si>
  <si>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</si>
  <si>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</si>
  <si>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</si>
  <si>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</si>
  <si>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</si>
  <si>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</si>
  <si>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</si>
  <si>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</si>
  <si>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</si>
  <si>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</si>
  <si>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</si>
  <si>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</si>
  <si>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</si>
  <si>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</si>
  <si>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</si>
  <si>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</si>
  <si>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</si>
  <si>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</si>
  <si>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</si>
  <si>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</si>
  <si>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</si>
  <si>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</si>
  <si>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</si>
  <si>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</si>
  <si>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</si>
  <si>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</si>
  <si>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</si>
  <si>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</si>
  <si>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</si>
  <si>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</si>
  <si>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</si>
  <si>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</si>
  <si>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</si>
  <si>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</si>
  <si>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</si>
  <si>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</si>
  <si>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</si>
  <si>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</si>
  <si>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</si>
  <si>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</si>
  <si>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</si>
  <si>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</si>
  <si>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</si>
  <si>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</si>
  <si>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</si>
  <si>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</si>
  <si>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</si>
  <si>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</si>
  <si>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</si>
  <si>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</si>
  <si>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</si>
  <si>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</si>
  <si>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</si>
  <si>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</si>
  <si>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</si>
  <si>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</si>
  <si>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</si>
  <si>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</si>
  <si>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</si>
  <si>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</si>
  <si>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</si>
  <si>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</si>
  <si>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</si>
  <si>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</si>
  <si>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</si>
  <si>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</si>
  <si>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</si>
  <si>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</si>
  <si>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</si>
  <si>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</si>
  <si>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</si>
  <si>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</si>
  <si>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</si>
  <si>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</si>
  <si>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</si>
  <si>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</si>
  <si>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</si>
  <si>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</si>
  <si>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</si>
  <si>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</si>
  <si>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</si>
  <si>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</si>
  <si>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</si>
  <si>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</si>
  <si>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</si>
  <si>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</si>
  <si>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</si>
  <si>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</si>
  <si>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</si>
  <si>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</si>
  <si>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</si>
  <si>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</si>
  <si>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</si>
  <si>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</si>
  <si>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</si>
  <si>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</si>
  <si>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</si>
  <si>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</si>
  <si>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</si>
  <si>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</si>
  <si>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</si>
  <si>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</si>
  <si>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</si>
  <si>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</si>
  <si>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</si>
  <si>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</si>
  <si>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</si>
  <si>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</si>
  <si>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</si>
  <si>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</si>
  <si>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</si>
  <si>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</si>
  <si>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</si>
  <si>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</si>
  <si>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</si>
  <si>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</si>
  <si>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</si>
  <si>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</si>
  <si>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</si>
  <si>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</si>
  <si>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</si>
  <si>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</si>
  <si>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</si>
  <si>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</si>
  <si>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</si>
  <si>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</si>
  <si>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</si>
  <si>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</si>
  <si>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</si>
  <si>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</si>
  <si>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</si>
  <si>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</si>
  <si>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</si>
  <si>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</si>
  <si>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</si>
  <si>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</si>
  <si>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</si>
  <si>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</si>
  <si>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</si>
  <si>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</si>
  <si>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</si>
  <si>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</si>
  <si>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</si>
  <si>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</si>
  <si>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</si>
  <si>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</si>
  <si>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</si>
  <si>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</si>
  <si>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</si>
  <si>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</si>
  <si>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</si>
  <si>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</si>
  <si>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</si>
  <si>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</si>
  <si>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</si>
  <si>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</si>
  <si>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</si>
  <si>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</si>
  <si>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</si>
  <si>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</si>
  <si>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</si>
  <si>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</si>
  <si>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</si>
  <si>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</si>
  <si>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</si>
  <si>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</si>
  <si>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</si>
  <si>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</si>
  <si>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</si>
  <si>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</si>
  <si>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</si>
  <si>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</si>
  <si>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</si>
  <si>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</si>
  <si>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</si>
  <si>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</si>
  <si>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</si>
  <si>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</si>
  <si>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</si>
  <si>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</si>
  <si>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</si>
  <si>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</si>
  <si>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</si>
  <si>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</si>
  <si>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</si>
  <si>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</si>
  <si>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</si>
  <si>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</si>
  <si>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</si>
  <si>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</si>
  <si>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</si>
  <si>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</si>
  <si>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</si>
  <si>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</si>
  <si>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</si>
  <si>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</si>
  <si>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</si>
  <si>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</si>
  <si>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</si>
  <si>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</si>
  <si>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</si>
  <si>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</si>
  <si>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</si>
  <si>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</si>
  <si>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</si>
  <si>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</si>
  <si>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</si>
  <si>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</si>
  <si>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</si>
  <si>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</si>
  <si>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</si>
  <si>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</si>
  <si>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</si>
  <si>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</si>
  <si>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</si>
  <si>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</si>
  <si>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</si>
  <si>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</si>
  <si>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</si>
  <si>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</si>
  <si>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</si>
  <si>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</si>
  <si>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</si>
  <si>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</si>
  <si>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</si>
  <si>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</si>
  <si>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</si>
  <si>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</si>
  <si>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</si>
  <si>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</si>
  <si>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</si>
  <si>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</si>
  <si>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</si>
  <si>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</si>
  <si>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</si>
  <si>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</si>
  <si>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</si>
  <si>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</si>
  <si>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</si>
  <si>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</si>
  <si>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</si>
  <si>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</si>
  <si>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</si>
  <si>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</si>
  <si>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</si>
  <si>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</si>
  <si>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</si>
  <si>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</si>
  <si>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</si>
  <si>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</si>
  <si>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</si>
  <si>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</si>
  <si>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</si>
  <si>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</si>
  <si>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</si>
  <si>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</si>
  <si>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</si>
  <si>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</si>
  <si>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</si>
  <si>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</si>
  <si>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</si>
  <si>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</si>
  <si>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</si>
  <si>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</si>
  <si>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</si>
  <si>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</si>
  <si>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</si>
  <si>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</si>
  <si>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</si>
  <si>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</si>
  <si>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</si>
  <si>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</si>
  <si>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</si>
  <si>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</si>
  <si>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</si>
  <si>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</si>
  <si>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</si>
  <si>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</si>
  <si>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</si>
  <si>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</si>
  <si>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</si>
  <si>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</si>
  <si>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</si>
  <si>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</si>
  <si>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</si>
  <si>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</si>
  <si>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</si>
  <si>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</si>
  <si>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</si>
  <si>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</si>
  <si>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</si>
  <si>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</si>
  <si>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</si>
  <si>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</si>
  <si>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</si>
  <si>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</si>
  <si>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</si>
  <si>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</si>
  <si>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</si>
  <si>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</si>
  <si>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</si>
  <si>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</si>
  <si>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</si>
  <si>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</si>
  <si>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</si>
  <si>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</si>
  <si>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</si>
  <si>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</si>
  <si>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</si>
  <si>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</si>
  <si>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</si>
  <si>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</si>
  <si>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</si>
  <si>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</si>
  <si>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</si>
  <si>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</si>
  <si>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</si>
  <si>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</si>
  <si>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</si>
  <si>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</si>
  <si>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</si>
  <si>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</si>
  <si>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</si>
  <si>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</si>
  <si>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</si>
  <si>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</si>
  <si>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</si>
  <si>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</si>
  <si>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</si>
  <si>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</si>
  <si>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</si>
  <si>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</si>
  <si>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</si>
  <si>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</si>
  <si>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</si>
  <si>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</si>
  <si>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</si>
  <si>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</si>
  <si>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</si>
  <si>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</si>
  <si>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</si>
  <si>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</si>
  <si>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</si>
  <si>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</si>
  <si>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</si>
  <si>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</si>
  <si>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</si>
  <si>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</si>
  <si>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</si>
  <si>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</si>
  <si>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</si>
  <si>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</si>
  <si>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</si>
  <si>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</si>
  <si>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</si>
  <si>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</si>
  <si>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</si>
  <si>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</si>
  <si>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</si>
  <si>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</si>
  <si>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</si>
  <si>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</si>
  <si>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</si>
  <si>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</si>
  <si>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</si>
  <si>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</si>
  <si>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</si>
  <si>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</si>
  <si>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</si>
  <si>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</si>
  <si>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</si>
  <si>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</si>
  <si>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</si>
  <si>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</si>
  <si>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</si>
  <si>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</si>
  <si>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</si>
  <si>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</si>
  <si>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</si>
  <si>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</si>
  <si>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</si>
  <si>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</si>
  <si>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</si>
  <si>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</si>
  <si>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</si>
  <si>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</si>
  <si>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</si>
  <si>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</si>
  <si>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</si>
  <si>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</si>
  <si>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</si>
  <si>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</si>
  <si>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</si>
  <si>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</si>
  <si>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</si>
  <si>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</si>
  <si>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</si>
  <si>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</si>
  <si>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</si>
  <si>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</si>
  <si>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</si>
  <si>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</si>
  <si>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</si>
  <si>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</si>
  <si>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</si>
  <si>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</si>
  <si>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</si>
  <si>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</si>
  <si>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</si>
  <si>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</si>
  <si>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</si>
  <si>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</si>
  <si>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</si>
  <si>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</si>
  <si>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</si>
  <si>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</si>
  <si>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</si>
  <si>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</si>
  <si>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</si>
  <si>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</si>
  <si>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</si>
  <si>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</si>
  <si>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</si>
  <si>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</si>
  <si>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</si>
  <si>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</si>
  <si>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</si>
  <si>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</si>
  <si>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</si>
  <si>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</si>
  <si>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</si>
  <si>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</si>
  <si>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</si>
  <si>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</si>
  <si>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</si>
  <si>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</si>
  <si>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</si>
  <si>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</si>
  <si>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</si>
  <si>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</si>
  <si>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</si>
  <si>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</si>
  <si>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</si>
  <si>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</si>
  <si>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</si>
  <si>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</si>
  <si>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</si>
  <si>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</si>
  <si>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</si>
  <si>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</si>
  <si>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</si>
  <si>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</si>
  <si>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</si>
  <si>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</si>
  <si>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</si>
  <si>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</si>
  <si>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</si>
  <si>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</si>
  <si>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</si>
  <si>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</si>
  <si>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</si>
  <si>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</si>
  <si>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</si>
  <si>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</si>
  <si>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</si>
  <si>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</si>
  <si>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</si>
  <si>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</si>
  <si>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</si>
  <si>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</si>
  <si>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</si>
  <si>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</si>
  <si>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</si>
  <si>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</si>
  <si>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</si>
  <si>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</si>
  <si>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</si>
  <si>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</si>
  <si>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</si>
  <si>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</si>
  <si>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</si>
  <si>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</si>
  <si>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</si>
  <si>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</si>
  <si>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</si>
  <si>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</si>
  <si>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</si>
  <si>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</si>
  <si>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</si>
  <si>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</si>
  <si>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</si>
  <si>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</si>
  <si>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</si>
  <si>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</si>
  <si>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</si>
  <si>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</si>
  <si>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</si>
  <si>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</si>
  <si>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</si>
  <si>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</si>
  <si>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</si>
  <si>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</si>
  <si>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</si>
  <si>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</si>
  <si>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</si>
  <si>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</si>
  <si>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</si>
  <si>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</si>
  <si>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</si>
  <si>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</si>
  <si>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</si>
  <si>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</si>
  <si>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</si>
  <si>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</si>
  <si>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</si>
  <si>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</si>
  <si>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</si>
  <si>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</si>
  <si>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</si>
  <si>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</si>
  <si>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</si>
  <si>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</si>
  <si>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</si>
  <si>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</si>
  <si>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</si>
  <si>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</si>
  <si>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</si>
  <si>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</si>
  <si>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</si>
  <si>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</si>
  <si>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</si>
  <si>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</si>
  <si>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</si>
  <si>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</si>
  <si>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</si>
  <si>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</si>
  <si>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</si>
  <si>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</si>
  <si>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</si>
  <si>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</si>
  <si>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</si>
  <si>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</si>
  <si>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</si>
  <si>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</si>
  <si>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</si>
  <si>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</si>
  <si>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</si>
  <si>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</si>
  <si>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</si>
  <si>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</si>
  <si>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</si>
  <si>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</si>
  <si>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</si>
  <si>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</si>
  <si>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</si>
  <si>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</si>
  <si>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</si>
  <si>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</si>
  <si>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</si>
  <si>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</si>
  <si>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</si>
  <si>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</si>
  <si>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</si>
  <si>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</si>
  <si>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</si>
  <si>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</si>
  <si>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</si>
  <si>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</si>
  <si>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</si>
  <si>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</si>
  <si>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</si>
  <si>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</si>
  <si>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</si>
  <si>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</si>
  <si>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</si>
  <si>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</si>
  <si>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</si>
  <si>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</si>
  <si>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</si>
  <si>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</si>
  <si>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</si>
  <si>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</si>
  <si>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</si>
  <si>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</si>
  <si>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</si>
  <si>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</si>
  <si>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</si>
  <si>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</si>
  <si>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</si>
  <si>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</si>
  <si>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</si>
  <si>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</si>
  <si>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</si>
  <si>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</si>
  <si>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</si>
  <si>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</si>
  <si>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</si>
  <si>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</si>
  <si>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</si>
  <si>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</si>
  <si>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</si>
  <si>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</si>
  <si>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</si>
  <si>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</si>
  <si>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</si>
  <si>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</si>
  <si>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</si>
  <si>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</si>
  <si>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</si>
  <si>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</si>
  <si>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</si>
  <si>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</si>
  <si>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</si>
  <si>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</si>
  <si>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</si>
  <si>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</si>
  <si>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</si>
  <si>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</si>
  <si>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</si>
  <si>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</si>
  <si>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</si>
  <si>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</si>
  <si>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</si>
  <si>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</si>
  <si>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</si>
  <si>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</si>
  <si>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</si>
  <si>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</si>
  <si>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</si>
  <si>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</si>
  <si>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</si>
  <si>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</si>
  <si>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</si>
  <si>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</si>
  <si>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</si>
  <si>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</si>
  <si>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</si>
  <si>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</si>
  <si>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</si>
  <si>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</si>
  <si>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</si>
  <si>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</si>
  <si>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</si>
  <si>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</si>
  <si>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</si>
  <si>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</si>
  <si>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</si>
  <si>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</si>
  <si>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</si>
  <si>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</si>
  <si>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</si>
  <si>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</si>
  <si>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</si>
  <si>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</si>
  <si>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</si>
  <si>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</si>
  <si>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</si>
  <si>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</si>
  <si>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</si>
  <si>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</si>
  <si>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</si>
  <si>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</si>
  <si>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</si>
  <si>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</si>
  <si>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</si>
  <si>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</si>
  <si>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</si>
  <si>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</si>
  <si>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</si>
  <si>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</si>
  <si>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</si>
  <si>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</si>
  <si>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</si>
  <si>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</si>
  <si>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</si>
  <si>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</si>
  <si>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</si>
  <si>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</si>
  <si>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</si>
  <si>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</si>
  <si>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</si>
  <si>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</si>
  <si>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</si>
  <si>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</si>
  <si>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</si>
  <si>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</si>
  <si>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</si>
  <si>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</si>
  <si>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</si>
  <si>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</si>
  <si>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</si>
  <si>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</si>
  <si>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</si>
  <si>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</si>
  <si>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</si>
  <si>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</si>
  <si>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</si>
  <si>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</si>
  <si>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</si>
  <si>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</si>
  <si>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</si>
  <si>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</si>
  <si>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</si>
  <si>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</si>
  <si>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</si>
  <si>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</si>
  <si>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</si>
  <si>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</si>
  <si>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</si>
  <si>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</si>
  <si>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</si>
  <si>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</si>
  <si>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</si>
  <si>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</si>
  <si>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</si>
  <si>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</si>
  <si>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</si>
  <si>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</si>
  <si>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</si>
  <si>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</si>
  <si>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</si>
  <si>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</si>
  <si>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</si>
  <si>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</si>
  <si>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</si>
  <si>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</si>
  <si>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</si>
  <si>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</si>
  <si>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</si>
  <si>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</si>
  <si>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</si>
  <si>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</si>
  <si>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</si>
  <si>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</si>
  <si>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</si>
  <si>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</si>
  <si>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</si>
  <si>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</si>
  <si>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</si>
  <si>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</si>
  <si>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</si>
  <si>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</si>
  <si>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</si>
  <si>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</si>
  <si>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</si>
  <si>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</si>
  <si>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</si>
  <si>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</si>
  <si>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</si>
  <si>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</si>
  <si>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</si>
  <si>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</si>
  <si>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</si>
  <si>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</si>
  <si>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</si>
  <si>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</si>
  <si>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</si>
  <si>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</si>
  <si>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</si>
  <si>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</si>
  <si>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</si>
  <si>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</si>
  <si>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</si>
  <si>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</si>
  <si>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</si>
  <si>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</si>
  <si>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</si>
  <si>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</si>
  <si>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</si>
  <si>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</si>
  <si>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</si>
  <si>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</si>
  <si>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</si>
  <si>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</si>
  <si>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</si>
  <si>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</si>
  <si>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</si>
  <si>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</si>
  <si>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</si>
  <si>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</si>
  <si>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</si>
  <si>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</si>
  <si>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</si>
  <si>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</si>
  <si>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</si>
  <si>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</si>
  <si>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</si>
  <si>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</si>
  <si>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</si>
  <si>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</si>
  <si>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</si>
  <si>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</si>
  <si>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</si>
  <si>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</si>
  <si>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</si>
  <si>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</si>
  <si>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</si>
  <si>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</si>
  <si>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</si>
  <si>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</si>
  <si>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</si>
  <si>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</si>
  <si>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</si>
  <si>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</si>
  <si>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</si>
  <si>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</si>
  <si>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</si>
  <si>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</si>
  <si>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</si>
  <si>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</si>
  <si>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</si>
  <si>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</si>
  <si>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</si>
  <si>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</si>
  <si>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</si>
  <si>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</si>
  <si>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</si>
  <si>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</si>
  <si>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</si>
  <si>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</si>
  <si>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</si>
  <si>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</si>
  <si>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</si>
  <si>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</si>
  <si>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</si>
  <si>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</si>
  <si>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</si>
  <si>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</si>
  <si>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</si>
  <si>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</si>
  <si>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</si>
  <si>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</si>
  <si>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</si>
  <si>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</si>
  <si>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</si>
  <si>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</si>
  <si>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</si>
  <si>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</si>
  <si>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</si>
  <si>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</si>
  <si>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</si>
  <si>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</si>
  <si>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</si>
  <si>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</si>
  <si>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</si>
  <si>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</si>
  <si>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</si>
  <si>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</si>
  <si>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</si>
  <si>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</si>
  <si>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</si>
  <si>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</si>
  <si>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</si>
  <si>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</si>
  <si>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</si>
  <si>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</si>
  <si>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</si>
  <si>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</si>
  <si>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</si>
  <si>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</si>
  <si>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</si>
  <si>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</si>
  <si>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</si>
  <si>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</si>
  <si>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</si>
  <si>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</si>
  <si>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</si>
  <si>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</si>
  <si>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</si>
  <si>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</si>
  <si>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</si>
  <si>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</si>
  <si>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</si>
  <si>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</si>
  <si>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</si>
  <si>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</si>
  <si>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</si>
  <si>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</si>
  <si>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</si>
  <si>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</si>
  <si>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</si>
  <si>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</si>
  <si>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</si>
  <si>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</si>
  <si>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</si>
  <si>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</si>
  <si>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</si>
  <si>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</si>
  <si>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</si>
  <si>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</si>
  <si>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</si>
  <si>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</si>
  <si>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</si>
  <si>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</si>
  <si>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</si>
  <si>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</si>
  <si>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</si>
  <si>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</si>
  <si>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</si>
  <si>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</si>
  <si>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</si>
  <si>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</si>
  <si>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</si>
  <si>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</si>
  <si>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</si>
  <si>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</si>
  <si>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</si>
  <si>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</si>
  <si>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</si>
  <si>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</si>
  <si>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</si>
  <si>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</si>
  <si>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</si>
  <si>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</si>
  <si>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</si>
  <si>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</si>
  <si>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</si>
  <si>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</si>
  <si>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</si>
  <si>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</si>
  <si>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</si>
  <si>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</si>
  <si>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</si>
  <si>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</si>
  <si>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</si>
  <si>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</si>
  <si>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</si>
  <si>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</si>
  <si>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</si>
  <si>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</si>
  <si>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</si>
  <si>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</si>
  <si>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</si>
  <si>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</si>
  <si>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</si>
  <si>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</si>
  <si>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</si>
  <si>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</si>
  <si>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</si>
  <si>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</si>
  <si>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</si>
  <si>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</si>
  <si>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</si>
  <si>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</si>
  <si>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</si>
  <si>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</si>
  <si>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</si>
  <si>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</si>
  <si>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</si>
  <si>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</si>
  <si>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</si>
  <si>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</si>
  <si>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</si>
  <si>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</si>
  <si>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</si>
  <si>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</si>
  <si>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</si>
  <si>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</si>
  <si>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</si>
  <si>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</si>
  <si>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</si>
  <si>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</si>
  <si>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</si>
  <si>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</si>
  <si>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</si>
  <si>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</si>
  <si>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</si>
  <si>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</si>
  <si>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</si>
  <si>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</si>
  <si>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</si>
  <si>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</si>
  <si>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</si>
  <si>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</si>
  <si>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</si>
  <si>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</si>
  <si>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</si>
  <si>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</si>
  <si>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</si>
  <si>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</si>
  <si>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</si>
  <si>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</si>
  <si>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</si>
  <si>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</si>
  <si>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</si>
  <si>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</si>
  <si>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</si>
  <si>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</si>
  <si>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</si>
  <si>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</si>
  <si>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</si>
  <si>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</si>
  <si>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</si>
  <si>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</si>
  <si>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</si>
  <si>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</si>
  <si>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</si>
  <si>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</si>
  <si>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</si>
  <si>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</si>
  <si>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</si>
  <si>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</si>
  <si>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</si>
  <si>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</si>
  <si>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</si>
  <si>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</si>
  <si>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</si>
  <si>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</si>
  <si>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</si>
  <si>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</si>
  <si>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</si>
  <si>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</si>
  <si>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</si>
  <si>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</si>
  <si>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</si>
  <si>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</si>
  <si>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</si>
  <si>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</si>
  <si>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</si>
  <si>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</si>
  <si>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</si>
  <si>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</si>
  <si>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</si>
  <si>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</si>
  <si>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</si>
  <si>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</si>
  <si>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</si>
  <si>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</si>
  <si>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</si>
  <si>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</si>
  <si>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</si>
  <si>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</si>
  <si>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</si>
  <si>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</si>
  <si>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</si>
  <si>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</si>
  <si>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</si>
  <si>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</si>
  <si>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</si>
  <si>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</si>
  <si>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</si>
  <si>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</si>
  <si>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</si>
  <si>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</si>
  <si>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</si>
  <si>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</si>
  <si>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</si>
  <si>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</si>
  <si>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</si>
  <si>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</si>
  <si>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</si>
  <si>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</si>
  <si>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</si>
  <si>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</si>
  <si>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</si>
  <si>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</si>
  <si>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</si>
  <si>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</si>
  <si>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</si>
  <si>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</si>
  <si>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</si>
  <si>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</si>
  <si>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</si>
  <si>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</si>
  <si>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</si>
  <si>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</si>
  <si>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</si>
  <si>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</si>
  <si>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</si>
  <si>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</si>
  <si>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</si>
  <si>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</si>
  <si>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</si>
  <si>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</si>
  <si>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</si>
  <si>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</si>
  <si>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</si>
  <si>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</si>
  <si>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</si>
  <si>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</si>
  <si>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</si>
  <si>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</si>
  <si>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</si>
  <si>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</si>
  <si>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</si>
  <si>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</si>
  <si>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</si>
  <si>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</si>
  <si>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</si>
  <si>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</si>
  <si>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</si>
  <si>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</si>
  <si>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</si>
  <si>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</si>
  <si>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</si>
  <si>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</si>
  <si>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</si>
  <si>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</si>
  <si>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</si>
  <si>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</si>
  <si>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</si>
  <si>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</si>
  <si>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</si>
  <si>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</si>
  <si>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</si>
  <si>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</si>
  <si>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</si>
  <si>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</si>
  <si>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</si>
  <si>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</si>
  <si>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</si>
  <si>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</si>
  <si>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</si>
  <si>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</si>
  <si>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</si>
  <si>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</si>
  <si>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</si>
  <si>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</si>
  <si>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</si>
  <si>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</si>
  <si>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</si>
  <si>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</si>
  <si>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</si>
  <si>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</si>
  <si>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</si>
  <si>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</si>
  <si>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</si>
  <si>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</si>
  <si>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</si>
  <si>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</si>
  <si>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</si>
  <si>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</si>
  <si>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</si>
  <si>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</si>
  <si>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</si>
  <si>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</si>
  <si>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</si>
  <si>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</si>
  <si>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</si>
  <si>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</si>
  <si>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</si>
  <si>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</si>
  <si>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</si>
  <si>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</si>
  <si>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</si>
  <si>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</si>
  <si>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</si>
  <si>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</si>
  <si>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</si>
  <si>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</si>
  <si>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</si>
  <si>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</si>
  <si>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</si>
  <si>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</si>
  <si>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</si>
  <si>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</si>
  <si>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</si>
  <si>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</si>
  <si>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</si>
  <si>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</si>
  <si>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</si>
  <si>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</si>
  <si>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</si>
  <si>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</si>
  <si>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</si>
  <si>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</si>
  <si>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</si>
  <si>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</si>
  <si>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</si>
  <si>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</si>
  <si>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</si>
  <si>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</si>
  <si>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</si>
  <si>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</si>
  <si>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</si>
  <si>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</si>
  <si>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</si>
  <si>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</si>
  <si>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</si>
  <si>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</si>
  <si>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</si>
  <si>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</si>
  <si>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</si>
  <si>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</si>
  <si>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</si>
  <si>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</si>
  <si>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</si>
  <si>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</si>
  <si>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</si>
  <si>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</si>
  <si>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</si>
  <si>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</si>
  <si>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</si>
  <si>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</si>
  <si>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</si>
  <si>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</si>
  <si>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</si>
  <si>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</si>
  <si>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</si>
  <si>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</si>
  <si>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</si>
  <si>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</si>
  <si>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</si>
  <si>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</si>
  <si>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</si>
  <si>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</si>
  <si>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</si>
  <si>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</si>
  <si>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</si>
  <si>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</si>
  <si>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</si>
  <si>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</si>
  <si>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</si>
  <si>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</si>
  <si>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</si>
  <si>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</si>
  <si>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</si>
  <si>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</si>
  <si>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</si>
  <si>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</si>
  <si>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</si>
  <si>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</si>
  <si>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</si>
  <si>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</si>
  <si>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</si>
  <si>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</si>
  <si>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</si>
  <si>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</si>
  <si>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</si>
  <si>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</si>
  <si>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</si>
  <si>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</si>
  <si>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</si>
  <si>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</si>
  <si>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</si>
  <si>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</si>
  <si>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</si>
  <si>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</si>
  <si>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</si>
  <si>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</si>
  <si>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</si>
  <si>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</si>
  <si>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</si>
  <si>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</si>
  <si>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</si>
  <si>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</si>
  <si>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</si>
  <si>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</si>
  <si>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</si>
  <si>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</si>
  <si>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</si>
  <si>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</si>
  <si>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</si>
  <si>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</si>
  <si>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</si>
  <si>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</si>
  <si>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</si>
  <si>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</si>
  <si>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</si>
  <si>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</si>
  <si>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</si>
  <si>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</si>
  <si>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</si>
  <si>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</si>
  <si>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</si>
  <si>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</si>
  <si>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</si>
  <si>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</si>
  <si>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</si>
  <si>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</si>
  <si>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</si>
  <si>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</si>
  <si>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</si>
  <si>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</si>
  <si>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</si>
  <si>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</si>
  <si>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</si>
  <si>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</si>
  <si>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</si>
  <si>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</si>
  <si>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</si>
  <si>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</si>
  <si>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</si>
  <si>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</si>
  <si>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</si>
  <si>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</si>
  <si>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</si>
  <si>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</si>
  <si>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</si>
  <si>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</si>
  <si>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</si>
  <si>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</si>
  <si>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</si>
  <si>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</si>
  <si>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</si>
  <si>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</si>
  <si>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</si>
  <si>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</si>
  <si>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</si>
  <si>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</si>
  <si>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</si>
  <si>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</si>
  <si>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</si>
  <si>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</si>
  <si>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</si>
  <si>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</si>
  <si>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</si>
  <si>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</si>
  <si>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</si>
  <si>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</si>
  <si>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</si>
  <si>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</si>
  <si>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</si>
  <si>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</si>
  <si>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</si>
  <si>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</si>
  <si>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</si>
  <si>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</si>
  <si>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</si>
  <si>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</si>
  <si>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</si>
  <si>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</si>
  <si>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</si>
  <si>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</si>
  <si>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</si>
  <si>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</si>
  <si>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</si>
  <si>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</si>
  <si>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</si>
  <si>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</si>
  <si>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</si>
  <si>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</si>
  <si>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</si>
  <si>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</si>
  <si>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</si>
  <si>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</si>
  <si>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</si>
  <si>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</si>
  <si>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</si>
  <si>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</si>
  <si>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</si>
  <si>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</si>
  <si>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</si>
  <si>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</si>
  <si>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</si>
  <si>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</si>
  <si>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</si>
  <si>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</si>
  <si>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</si>
  <si>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</si>
  <si>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</si>
  <si>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</si>
  <si>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</si>
  <si>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</si>
  <si>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</si>
  <si>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</si>
  <si>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</si>
  <si>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</si>
  <si>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</si>
  <si>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</si>
  <si>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</si>
  <si>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</si>
  <si>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</si>
  <si>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</si>
  <si>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</si>
  <si>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</si>
  <si>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</si>
  <si>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</si>
  <si>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</si>
  <si>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</si>
  <si>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</si>
  <si>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</si>
  <si>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</si>
  <si>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</si>
  <si>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</si>
  <si>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</si>
  <si>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</si>
  <si>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</si>
  <si>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</si>
  <si>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</si>
  <si>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</si>
  <si>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</si>
  <si>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</si>
  <si>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</si>
  <si>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</si>
  <si>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</si>
  <si>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</si>
  <si>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</si>
  <si>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</si>
  <si>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</si>
  <si>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</si>
  <si>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</si>
  <si>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</si>
  <si>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</si>
  <si>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</si>
  <si>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</si>
  <si>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</si>
  <si>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</si>
  <si>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</si>
  <si>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</si>
  <si>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</si>
  <si>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</si>
  <si>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</si>
  <si>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</si>
  <si>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</si>
  <si>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</si>
  <si>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</si>
  <si>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</si>
  <si>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</si>
  <si>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</si>
  <si>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</si>
  <si>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</si>
  <si>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</si>
  <si>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</si>
  <si>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</si>
  <si>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</si>
  <si>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</si>
  <si>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</si>
  <si>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</si>
  <si>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</si>
  <si>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</si>
  <si>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</si>
  <si>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</si>
  <si>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</si>
  <si>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</si>
  <si>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</si>
  <si>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</si>
  <si>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</si>
  <si>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</si>
  <si>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</si>
  <si>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</si>
  <si>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</si>
  <si>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</si>
  <si>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</si>
  <si>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</si>
  <si>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</si>
  <si>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</si>
  <si>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</si>
  <si>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</si>
  <si>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</si>
  <si>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</si>
  <si>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</si>
  <si>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</si>
  <si>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</si>
  <si>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</si>
  <si>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</si>
  <si>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</si>
  <si>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</si>
  <si>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</si>
  <si>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</si>
  <si>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</si>
  <si>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</si>
  <si>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</si>
  <si>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</si>
  <si>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</si>
  <si>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</si>
  <si>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</si>
  <si>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</si>
  <si>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</si>
  <si>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</si>
  <si>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</si>
  <si>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</si>
  <si>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</si>
  <si>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</si>
  <si>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</si>
  <si>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</si>
  <si>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</si>
  <si>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</si>
  <si>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</si>
  <si>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</si>
  <si>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</si>
  <si>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</si>
  <si>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</si>
  <si>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</si>
  <si>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</si>
  <si>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</si>
  <si>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</si>
  <si>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</si>
  <si>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</si>
  <si>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</si>
  <si>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</si>
  <si>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</si>
  <si>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</si>
  <si>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</si>
  <si>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</si>
  <si>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</si>
  <si>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</si>
  <si>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</si>
  <si>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</si>
  <si>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</si>
  <si>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</si>
  <si>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</si>
  <si>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</si>
  <si>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</si>
  <si>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</si>
  <si>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</si>
  <si>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</si>
  <si>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</si>
  <si>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</si>
  <si>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</si>
  <si>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</si>
  <si>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</si>
  <si>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</si>
  <si>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</si>
  <si>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</si>
  <si>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</si>
  <si>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</si>
  <si>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</si>
  <si>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</si>
  <si>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</si>
  <si>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</si>
  <si>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</si>
  <si>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</si>
  <si>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</si>
  <si>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</si>
  <si>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</si>
  <si>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</si>
  <si>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</si>
  <si>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</si>
  <si>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</si>
  <si>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</si>
  <si>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</si>
  <si>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</si>
  <si>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</si>
  <si>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</si>
  <si>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</si>
  <si>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</si>
  <si>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</si>
  <si>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</si>
  <si>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</si>
  <si>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</si>
  <si>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</si>
  <si>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</si>
  <si>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</si>
  <si>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</si>
  <si>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</si>
  <si>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</si>
  <si>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</si>
  <si>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</si>
  <si>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</si>
  <si>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</si>
  <si>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</si>
  <si>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</si>
  <si>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</si>
  <si>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</si>
  <si>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</si>
  <si>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</si>
  <si>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</si>
  <si>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</si>
  <si>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</si>
  <si>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</si>
  <si>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</si>
  <si>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</si>
  <si>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</si>
  <si>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</si>
  <si>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</si>
  <si>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</si>
  <si>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</si>
  <si>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</si>
  <si>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</si>
  <si>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</si>
  <si>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</si>
  <si>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</si>
  <si>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</si>
  <si>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</si>
  <si>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</si>
  <si>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</si>
  <si>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</si>
  <si>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</si>
  <si>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</si>
  <si>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</si>
  <si>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</si>
  <si>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</si>
  <si>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</si>
  <si>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</si>
  <si>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</si>
  <si>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</si>
  <si>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</si>
  <si>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</si>
  <si>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</si>
  <si>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</si>
  <si>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</si>
  <si>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</si>
  <si>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</si>
  <si>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</si>
  <si>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</si>
  <si>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</si>
  <si>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</si>
  <si>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</si>
  <si>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</si>
  <si>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</si>
  <si>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</si>
  <si>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</si>
  <si>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</si>
  <si>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</si>
  <si>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</si>
  <si>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</si>
  <si>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</si>
  <si>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</si>
  <si>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</si>
  <si>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</si>
  <si>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</si>
  <si>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</si>
  <si>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</si>
  <si>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</si>
  <si>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</si>
  <si>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</si>
  <si>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</si>
  <si>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</si>
  <si>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</si>
  <si>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</si>
  <si>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</si>
  <si>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</si>
  <si>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</si>
  <si>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</si>
  <si>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</si>
  <si>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</si>
  <si>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</si>
  <si>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</si>
  <si>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</si>
  <si>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</si>
  <si>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</si>
  <si>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</si>
  <si>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</si>
  <si>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</si>
  <si>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</si>
  <si>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</si>
  <si>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</si>
  <si>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</si>
  <si>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</si>
  <si>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</si>
  <si>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</si>
  <si>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</si>
  <si>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</si>
  <si>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</si>
  <si>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</si>
  <si>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</si>
  <si>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</si>
  <si>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</si>
  <si>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</si>
  <si>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</si>
  <si>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</si>
  <si>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</si>
  <si>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</si>
  <si>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</si>
  <si>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</si>
  <si>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</si>
  <si>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</si>
  <si>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</si>
  <si>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</si>
  <si>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</si>
  <si>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</si>
  <si>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</si>
  <si>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</si>
  <si>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</si>
  <si>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</si>
  <si>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</si>
  <si>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</si>
  <si>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</si>
  <si>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</si>
  <si>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</si>
  <si>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</si>
  <si>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</si>
  <si>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</si>
  <si>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</si>
  <si>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</si>
  <si>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</si>
  <si>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</si>
  <si>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</si>
  <si>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</si>
  <si>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</si>
  <si>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</si>
  <si>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</si>
  <si>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</si>
  <si>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</si>
  <si>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</si>
  <si>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</si>
  <si>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</si>
  <si>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</si>
  <si>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</si>
  <si>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</si>
  <si>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</si>
  <si>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</si>
  <si>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</si>
  <si>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</si>
  <si>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</si>
  <si>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</si>
  <si>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</si>
  <si>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</si>
  <si>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</si>
  <si>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</si>
  <si>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</si>
  <si>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</si>
  <si>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</si>
  <si>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</si>
  <si>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</si>
  <si>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</si>
  <si>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</si>
  <si>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</si>
  <si>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</si>
  <si>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</si>
  <si>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</si>
  <si>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</si>
  <si>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</si>
  <si>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</si>
  <si>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</si>
  <si>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</si>
  <si>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</si>
  <si>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</si>
  <si>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</si>
  <si>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</si>
  <si>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</si>
  <si>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</si>
  <si>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</si>
  <si>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</si>
  <si>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</si>
  <si>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</si>
  <si>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</si>
  <si>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</si>
  <si>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</si>
  <si>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</si>
  <si>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</si>
  <si>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</si>
  <si>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</si>
  <si>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</si>
  <si>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</si>
  <si>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</si>
  <si>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</si>
  <si>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</si>
  <si>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</si>
  <si>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</si>
  <si>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</si>
  <si>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</si>
  <si>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</si>
  <si>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</si>
  <si>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</si>
  <si>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</si>
  <si>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</si>
  <si>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</si>
  <si>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</si>
  <si>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</si>
  <si>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</si>
  <si>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</si>
  <si>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</si>
  <si>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</si>
  <si>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</si>
  <si>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</si>
  <si>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</si>
  <si>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</si>
  <si>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</si>
  <si>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</si>
  <si>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</si>
  <si>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</si>
  <si>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</si>
  <si>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</si>
  <si>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</si>
  <si>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</si>
  <si>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</si>
  <si>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</si>
  <si>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</si>
  <si>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</si>
  <si>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</si>
  <si>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</si>
  <si>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</si>
  <si>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</si>
  <si>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</si>
  <si>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</si>
  <si>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</si>
  <si>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</si>
  <si>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</si>
  <si>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</si>
  <si>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</si>
  <si>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</si>
  <si>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</si>
  <si>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</si>
  <si>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</si>
  <si>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</si>
  <si>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</si>
  <si>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</si>
  <si>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</si>
  <si>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</si>
  <si>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</si>
  <si>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</si>
  <si>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</si>
  <si>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</si>
  <si>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</si>
  <si>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</si>
  <si>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</si>
  <si>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</si>
  <si>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</si>
  <si>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</si>
  <si>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</si>
  <si>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</si>
  <si>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</si>
  <si>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</si>
  <si>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</si>
  <si>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</si>
  <si>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</si>
  <si>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</si>
  <si>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</si>
  <si>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</si>
  <si>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</si>
  <si>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</si>
  <si>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</si>
  <si>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</si>
  <si>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</si>
  <si>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</si>
  <si>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</si>
  <si>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</si>
  <si>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</si>
  <si>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</si>
  <si>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</si>
  <si>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</si>
  <si>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</si>
  <si>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</si>
  <si>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</si>
  <si>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</si>
  <si>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</si>
  <si>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</si>
  <si>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</si>
  <si>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</si>
  <si>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</si>
  <si>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</si>
  <si>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</si>
  <si>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</si>
  <si>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</si>
  <si>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</si>
  <si>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</si>
  <si>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</si>
  <si>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</si>
  <si>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</si>
  <si>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</si>
  <si>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</si>
  <si>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</si>
  <si>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</si>
  <si>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</si>
  <si>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</si>
  <si>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</si>
  <si>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</si>
  <si>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</si>
  <si>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</si>
  <si>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</si>
  <si>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</si>
  <si>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</si>
  <si>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</si>
  <si>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</si>
  <si>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</si>
  <si>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</si>
  <si>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</si>
  <si>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</si>
  <si>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</si>
  <si>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</si>
  <si>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</si>
  <si>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</si>
  <si>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</si>
  <si>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</si>
  <si>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</si>
  <si>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</si>
  <si>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</si>
  <si>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</si>
  <si>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</si>
  <si>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</si>
  <si>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</si>
  <si>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</si>
  <si>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</si>
  <si>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</si>
  <si>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</si>
  <si>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</si>
  <si>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</si>
  <si>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</si>
  <si>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</si>
  <si>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</si>
  <si>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</si>
  <si>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</si>
  <si>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</si>
  <si>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</si>
  <si>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</si>
  <si>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</si>
  <si>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</si>
  <si>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</si>
  <si>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</si>
  <si>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</si>
  <si>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</si>
  <si>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</si>
  <si>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</si>
  <si>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</si>
  <si>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</si>
  <si>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</si>
  <si>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</si>
  <si>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</si>
  <si>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</si>
  <si>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</si>
  <si>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</si>
  <si>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</si>
  <si>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</si>
  <si>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</si>
  <si>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</si>
  <si>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</si>
  <si>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</si>
  <si>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</si>
  <si>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</si>
  <si>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</si>
  <si>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</si>
  <si>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</si>
  <si>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</si>
  <si>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</si>
  <si>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</si>
  <si>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</si>
  <si>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</si>
  <si>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</si>
  <si>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</si>
  <si>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</si>
  <si>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</si>
  <si>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</si>
  <si>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</si>
  <si>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</si>
  <si>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</si>
  <si>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</si>
  <si>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</si>
  <si>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</si>
  <si>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</si>
  <si>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</si>
  <si>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</si>
  <si>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</si>
  <si>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</si>
  <si>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</si>
  <si>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</si>
  <si>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</si>
  <si>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</si>
  <si>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</si>
  <si>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</si>
  <si>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</si>
  <si>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</si>
  <si>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</si>
  <si>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</si>
  <si>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</si>
  <si>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</si>
  <si>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</si>
  <si>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</si>
  <si>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</si>
  <si>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</si>
  <si>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</si>
  <si>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</si>
  <si>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</si>
  <si>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</si>
  <si>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</si>
  <si>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</si>
  <si>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</si>
  <si>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</si>
  <si>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</si>
  <si>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</si>
  <si>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</si>
  <si>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</si>
  <si>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</si>
  <si>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</si>
  <si>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</si>
  <si>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</si>
  <si>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</si>
  <si>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</si>
  <si>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</si>
  <si>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</si>
  <si>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</si>
  <si>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</si>
  <si>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</si>
  <si>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</si>
  <si>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</si>
  <si>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</si>
  <si>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</si>
  <si>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</si>
  <si>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</si>
  <si>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</si>
  <si>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</si>
  <si>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</si>
  <si>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</si>
  <si>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</si>
  <si>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</si>
  <si>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</si>
  <si>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</si>
  <si>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</si>
  <si>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</si>
  <si>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</si>
  <si>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</si>
  <si>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</si>
  <si>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</si>
  <si>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</si>
  <si>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</si>
  <si>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</si>
  <si>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</si>
  <si>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</si>
  <si>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</si>
  <si>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</si>
  <si>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</si>
  <si>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</si>
  <si>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</si>
  <si>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</si>
  <si>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</si>
  <si>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</si>
  <si>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</si>
  <si>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</si>
  <si>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</si>
  <si>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</si>
  <si>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</si>
  <si>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</si>
  <si>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</si>
  <si>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</si>
  <si>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</si>
  <si>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</si>
  <si>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</si>
  <si>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</si>
  <si>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</si>
  <si>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</si>
  <si>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是</t>
  </si>
  <si>
    <t>复印件</t>
  </si>
  <si>
    <t>包商银行股份有限公司</t>
    <phoneticPr fontId="6" type="noConversion"/>
  </si>
  <si>
    <t>通路</t>
  </si>
  <si>
    <t>通电</t>
  </si>
  <si>
    <t>通上水</t>
  </si>
  <si>
    <t>通下水</t>
  </si>
  <si>
    <t>通热</t>
  </si>
  <si>
    <t>燃气</t>
  </si>
  <si>
    <t>钢混</t>
  </si>
  <si>
    <t>住宅</t>
  </si>
  <si>
    <t>地上</t>
  </si>
  <si>
    <t>成新度</t>
  </si>
  <si>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</si>
  <si>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</si>
  <si>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</si>
  <si>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</si>
  <si>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</si>
  <si>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</si>
  <si>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</si>
  <si>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</si>
  <si>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</si>
  <si>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</si>
  <si>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</si>
  <si>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</si>
  <si>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</si>
  <si>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</si>
  <si>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</si>
  <si>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</si>
  <si>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</si>
  <si>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</si>
  <si>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</si>
  <si>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</si>
  <si>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</si>
  <si>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</si>
  <si>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</si>
  <si>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</si>
  <si>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收益法 (元)</t>
  </si>
  <si>
    <t>押一</t>
  </si>
  <si>
    <t>按租金收入计税</t>
  </si>
  <si>
    <t>企业</t>
  </si>
  <si>
    <t>现房</t>
  </si>
  <si>
    <t>项目全部</t>
  </si>
  <si>
    <t>所在楼层</t>
    <phoneticPr fontId="25" type="noConversion"/>
  </si>
  <si>
    <t>高层</t>
    <phoneticPr fontId="25" type="noConversion"/>
  </si>
  <si>
    <t>利息：取LPR加浮动点数</t>
  </si>
  <si>
    <t>中高层</t>
    <phoneticPr fontId="25" type="noConversion"/>
  </si>
  <si>
    <t>小高层</t>
    <phoneticPr fontId="25" type="noConversion"/>
  </si>
  <si>
    <t>多层</t>
    <phoneticPr fontId="25" type="noConversion"/>
  </si>
  <si>
    <t>抵押</t>
  </si>
  <si>
    <t>房地产抵押价值</t>
  </si>
  <si>
    <t>地下</t>
  </si>
  <si>
    <t>办公楼</t>
  </si>
  <si>
    <t>底商</t>
  </si>
  <si>
    <t>否</t>
  </si>
  <si>
    <t>基准办公</t>
  </si>
  <si>
    <t>非生产用房</t>
  </si>
  <si>
    <t>售价</t>
  </si>
  <si>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</si>
  <si>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</si>
  <si>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银河soho</t>
    <phoneticPr fontId="3" type="noConversion"/>
  </si>
  <si>
    <t>办公</t>
    <phoneticPr fontId="32" type="noConversion"/>
  </si>
  <si>
    <t>30-40（含）</t>
  </si>
  <si>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</si>
  <si>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</si>
  <si>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</si>
  <si>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</si>
  <si>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</si>
  <si>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</si>
  <si>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</si>
  <si>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对外</t>
  </si>
  <si>
    <t>对外</t>
    <phoneticPr fontId="32" type="noConversion"/>
  </si>
  <si>
    <t>对内</t>
  </si>
  <si>
    <t>对内</t>
    <phoneticPr fontId="32" type="noConversion"/>
  </si>
  <si>
    <t>标准写字楼</t>
    <phoneticPr fontId="3" type="noConversion"/>
  </si>
  <si>
    <t>钢混</t>
    <phoneticPr fontId="3" type="noConversion"/>
  </si>
  <si>
    <t>精装</t>
    <phoneticPr fontId="3" type="noConversion"/>
  </si>
  <si>
    <t>甲级</t>
    <phoneticPr fontId="3" type="noConversion"/>
  </si>
  <si>
    <t>七通</t>
    <phoneticPr fontId="3" type="noConversion"/>
  </si>
  <si>
    <t>六通</t>
    <phoneticPr fontId="3" type="noConversion"/>
  </si>
  <si>
    <t>五通</t>
    <phoneticPr fontId="3" type="noConversion"/>
  </si>
  <si>
    <t>专业</t>
    <phoneticPr fontId="3" type="noConversion"/>
  </si>
  <si>
    <t>普通</t>
    <phoneticPr fontId="3" type="noConversion"/>
  </si>
  <si>
    <t>超高</t>
    <phoneticPr fontId="3" type="noConversion"/>
  </si>
  <si>
    <t>标准</t>
    <phoneticPr fontId="3" type="noConversion"/>
  </si>
  <si>
    <t>精装</t>
    <phoneticPr fontId="3" type="noConversion"/>
  </si>
  <si>
    <t>普装</t>
    <phoneticPr fontId="3" type="noConversion"/>
  </si>
  <si>
    <t>简装</t>
    <phoneticPr fontId="3" type="noConversion"/>
  </si>
  <si>
    <t>毛坯</t>
    <phoneticPr fontId="3" type="noConversion"/>
  </si>
  <si>
    <t>快速路</t>
  </si>
  <si>
    <t>低区</t>
  </si>
  <si>
    <t>中区</t>
  </si>
  <si>
    <t>标准写字楼</t>
  </si>
  <si>
    <t>精装</t>
  </si>
  <si>
    <t>甲级</t>
  </si>
  <si>
    <t>五通</t>
  </si>
  <si>
    <t>标准</t>
  </si>
  <si>
    <t>朝向</t>
    <phoneticPr fontId="25" type="noConversion"/>
  </si>
  <si>
    <t>商业</t>
    <phoneticPr fontId="31" type="noConversion"/>
  </si>
  <si>
    <t>20-30（含）</t>
  </si>
  <si>
    <t>正常</t>
  </si>
  <si>
    <t>好</t>
  </si>
  <si>
    <t>多面临街</t>
    <phoneticPr fontId="3" type="noConversion"/>
  </si>
  <si>
    <t>双面临街</t>
    <phoneticPr fontId="3" type="noConversion"/>
  </si>
  <si>
    <t>单面临街</t>
    <phoneticPr fontId="3" type="noConversion"/>
  </si>
  <si>
    <t>临街坊路</t>
    <phoneticPr fontId="3" type="noConversion"/>
  </si>
  <si>
    <t>较大</t>
    <phoneticPr fontId="3" type="noConversion"/>
  </si>
  <si>
    <t>一般</t>
    <phoneticPr fontId="3" type="noConversion"/>
  </si>
  <si>
    <t>较差</t>
    <phoneticPr fontId="3" type="noConversion"/>
  </si>
  <si>
    <t>差</t>
    <phoneticPr fontId="3" type="noConversion"/>
  </si>
  <si>
    <t>好</t>
    <phoneticPr fontId="31" type="noConversion"/>
  </si>
  <si>
    <t>较差</t>
  </si>
  <si>
    <t>差</t>
  </si>
  <si>
    <r>
      <t>1</t>
    </r>
    <r>
      <rPr>
        <sz val="11"/>
        <color rgb="FF000000"/>
        <rFont val="宋体"/>
        <family val="2"/>
        <charset val="134"/>
      </rPr>
      <t>层</t>
    </r>
    <phoneticPr fontId="31" type="noConversion"/>
  </si>
  <si>
    <t>商业综合体</t>
    <phoneticPr fontId="3" type="noConversion"/>
  </si>
  <si>
    <t>商业街商铺</t>
    <phoneticPr fontId="3" type="noConversion"/>
  </si>
  <si>
    <t>独栋商业楼</t>
    <phoneticPr fontId="3" type="noConversion"/>
  </si>
  <si>
    <t>写字楼底商</t>
    <phoneticPr fontId="3" type="noConversion"/>
  </si>
  <si>
    <t>住宅底商</t>
    <phoneticPr fontId="3" type="noConversion"/>
  </si>
  <si>
    <t>可餐饮</t>
    <phoneticPr fontId="3" type="noConversion"/>
  </si>
  <si>
    <t>不可餐饮</t>
    <phoneticPr fontId="3" type="noConversion"/>
  </si>
  <si>
    <t>单面临街</t>
  </si>
  <si>
    <t>较大</t>
  </si>
  <si>
    <t>较好</t>
    <phoneticPr fontId="31" type="noConversion"/>
  </si>
  <si>
    <t>1层</t>
  </si>
  <si>
    <t>六通</t>
  </si>
  <si>
    <t>可餐饮</t>
  </si>
  <si>
    <r>
      <rPr>
        <sz val="11"/>
        <color theme="9" tint="-0.249977111117893"/>
        <rFont val="宋体"/>
        <family val="2"/>
        <charset val="134"/>
      </rPr>
      <t>银河</t>
    </r>
    <r>
      <rPr>
        <sz val="11"/>
        <color theme="9" tint="-0.249977111117893"/>
        <rFont val="Arial"/>
        <family val="2"/>
      </rPr>
      <t>SOHO</t>
    </r>
    <phoneticPr fontId="3" type="noConversion"/>
  </si>
  <si>
    <t>收益法 (元)商</t>
    <phoneticPr fontId="16" type="noConversion"/>
  </si>
  <si>
    <t>其他：</t>
  </si>
  <si>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3" type="noConversion"/>
  </si>
  <si>
    <t>山西国美电器有限公司</t>
  </si>
  <si>
    <t>民生银行</t>
    <phoneticPr fontId="3" type="noConversion"/>
  </si>
  <si>
    <t>山西省</t>
    <phoneticPr fontId="3" type="noConversion"/>
  </si>
  <si>
    <t>北京鼎税置业有限公司</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</si>
  <si>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3"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</si>
  <si>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</si>
  <si>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</si>
  <si>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</si>
  <si>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1层</t>
    <phoneticPr fontId="7" type="noConversion"/>
  </si>
  <si>
    <t>2层</t>
  </si>
  <si>
    <t>怡和街</t>
    <phoneticPr fontId="3" type="noConversion"/>
  </si>
  <si>
    <t>估价对象紧邻平阳路，有13、39、56、65、901等公交线路，项目有地面停车场，综合评价交通便捷度较好。</t>
    <phoneticPr fontId="3" type="noConversion"/>
  </si>
  <si>
    <t>估价对象周边有盆景园、太原汾河景区等自然景观、更有菊花坪、凉亭等人文景观、环境状况较好</t>
    <phoneticPr fontId="3" type="noConversion"/>
  </si>
  <si>
    <t>城市主干道平阳路</t>
    <phoneticPr fontId="25" type="noConversion"/>
  </si>
  <si>
    <t>住宅底商</t>
  </si>
  <si>
    <t>鹏程家园</t>
    <phoneticPr fontId="3" type="noConversion"/>
  </si>
  <si>
    <t>大</t>
  </si>
  <si>
    <t>平阳路商铺</t>
    <phoneticPr fontId="3" type="noConversion"/>
  </si>
  <si>
    <t>估价对象位于平阳路，周边商业氛围较成熟，有赛格科技广场、尚品购物中心等商业项目，人流量较大，商业繁华度较好</t>
    <phoneticPr fontId="3" type="noConversion"/>
  </si>
  <si>
    <t>比较法-商业</t>
  </si>
  <si>
    <t>1层</t>
    <phoneticPr fontId="3" type="noConversion"/>
  </si>
  <si>
    <t>2层</t>
    <phoneticPr fontId="3" type="noConversion"/>
  </si>
  <si>
    <t>3层</t>
    <phoneticPr fontId="3" type="noConversion"/>
  </si>
  <si>
    <t>3层</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</si>
  <si>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</si>
  <si>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</si>
  <si>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</si>
  <si>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</si>
  <si>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</si>
  <si>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</si>
  <si>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t>
    </r>
    <r>
      <rPr>
        <sz val="9"/>
        <color theme="1"/>
        <rFont val="华文细黑"/>
        <family val="3"/>
        <charset val="134"/>
      </rPr>
      <t>层</t>
    </r>
    <r>
      <rPr>
        <sz val="9"/>
        <color theme="1"/>
        <rFont val="Arial"/>
        <family val="2"/>
      </rPr>
      <t>A</t>
    </r>
    <r>
      <rPr>
        <sz val="9"/>
        <color theme="1"/>
        <rFont val="华文细黑"/>
        <family val="3"/>
        <charset val="134"/>
      </rPr>
      <t>号商业用房</t>
    </r>
  </si>
  <si>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2</t>
    </r>
    <r>
      <rPr>
        <sz val="9"/>
        <color theme="1"/>
        <rFont val="华文细黑"/>
        <family val="3"/>
        <charset val="134"/>
      </rPr>
      <t>层</t>
    </r>
    <r>
      <rPr>
        <sz val="9"/>
        <color theme="1"/>
        <rFont val="Arial"/>
        <family val="2"/>
      </rPr>
      <t>A</t>
    </r>
    <r>
      <rPr>
        <sz val="9"/>
        <color theme="1"/>
        <rFont val="华文细黑"/>
        <family val="3"/>
        <charset val="134"/>
      </rPr>
      <t>号商业用房</t>
    </r>
  </si>
  <si>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3</t>
    </r>
    <r>
      <rPr>
        <sz val="9"/>
        <color theme="1"/>
        <rFont val="华文细黑"/>
        <family val="3"/>
        <charset val="134"/>
      </rPr>
      <t>层</t>
    </r>
    <r>
      <rPr>
        <sz val="9"/>
        <color theme="1"/>
        <rFont val="Arial"/>
        <family val="2"/>
      </rPr>
      <t>A</t>
    </r>
    <r>
      <rPr>
        <sz val="9"/>
        <color theme="1"/>
        <rFont val="华文细黑"/>
        <family val="3"/>
        <charset val="134"/>
      </rPr>
      <t>号商业用房</t>
    </r>
  </si>
  <si>
    <t>大写金额</t>
  </si>
  <si>
    <t>玖仟叁佰陆拾贰万元整</t>
  </si>
  <si>
    <t>贰仟陆佰玖拾玖万元整</t>
  </si>
  <si>
    <t>壹亿贰仟零陆拾壹万元整</t>
  </si>
  <si>
    <r>
      <t>估价师知悉的法定优先受偿款</t>
    </r>
    <r>
      <rPr>
        <b/>
        <sz val="9"/>
        <color theme="1"/>
        <rFont val="Arial"/>
        <family val="2"/>
      </rPr>
      <t xml:space="preserve"> </t>
    </r>
  </si>
  <si>
    <t>零元整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</si>
</sst>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 numFmtId="198" formatCode="_-* #,##0.00_-;\-* #,##0.00_-;_-* &quot;-&quot;??_-;_-@_-"/>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1"/>
      <color theme="9" tint="-0.249977111117893"/>
      <name val="Arial"/>
      <family val="2"/>
      <charset val="134"/>
    </font>
    <font>
      <sz val="11"/>
      <color theme="1"/>
      <name val="宋体"/>
      <family val="3"/>
      <charset val="134"/>
      <scheme val="minor"/>
    </font>
    <font>
      <sz val="12"/>
      <color theme="9" tint="-0.249977111117893"/>
      <name val="Arial"/>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9" fontId="258" fillId="0" borderId="0" applyFont="0" applyFill="0" applyBorder="0" applyAlignment="0" applyProtection="0">
      <alignment vertical="center"/>
    </xf>
  </cellStyleXfs>
  <cellXfs count="34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34" fillId="0" borderId="2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184" fontId="63" fillId="0" borderId="1" xfId="0" applyNumberFormat="1" applyFont="1" applyFill="1" applyBorder="1" applyAlignment="1" applyProtection="1">
      <alignment horizontal="center" vertical="center" shrinkToFit="1"/>
      <protection locked="0"/>
    </xf>
    <xf numFmtId="0" fontId="79" fillId="0" borderId="1" xfId="0" applyFont="1" applyBorder="1" applyAlignment="1" applyProtection="1">
      <alignment vertical="center" wrapText="1"/>
      <protection locked="0"/>
    </xf>
    <xf numFmtId="198" fontId="46" fillId="5" borderId="23"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174" fillId="0" borderId="10" xfId="0" applyNumberFormat="1" applyFont="1" applyFill="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254" fillId="0" borderId="51"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78"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5" fillId="0" borderId="37" xfId="0" applyNumberFormat="1" applyFont="1" applyFill="1" applyBorder="1" applyAlignment="1" applyProtection="1">
      <alignment horizontal="center" vertical="center" wrapText="1"/>
      <protection locked="0"/>
    </xf>
    <xf numFmtId="4" fontId="46" fillId="0" borderId="37" xfId="0" applyNumberFormat="1" applyFont="1" applyFill="1" applyBorder="1" applyAlignment="1" applyProtection="1">
      <alignment horizontal="center" vertical="center" wrapText="1"/>
      <protection locked="0"/>
    </xf>
    <xf numFmtId="0" fontId="63" fillId="7" borderId="150" xfId="0" applyFont="1" applyFill="1" applyBorder="1" applyProtection="1">
      <alignment vertical="center"/>
      <protection locked="0"/>
    </xf>
    <xf numFmtId="0" fontId="186" fillId="7" borderId="5" xfId="0" applyFont="1" applyFill="1" applyBorder="1" applyProtection="1">
      <alignment vertical="center"/>
      <protection locked="0"/>
    </xf>
    <xf numFmtId="0" fontId="63" fillId="7" borderId="5" xfId="0" applyFont="1" applyFill="1" applyBorder="1" applyAlignment="1" applyProtection="1">
      <alignment vertical="center" wrapText="1"/>
      <protection locked="0"/>
    </xf>
    <xf numFmtId="0" fontId="186" fillId="7" borderId="60" xfId="0" applyFont="1" applyFill="1" applyBorder="1" applyAlignment="1" applyProtection="1">
      <alignment vertical="center" wrapText="1"/>
      <protection locked="0"/>
    </xf>
    <xf numFmtId="0" fontId="186" fillId="7" borderId="54" xfId="0" applyFont="1" applyFill="1" applyBorder="1" applyAlignment="1" applyProtection="1">
      <alignment vertical="center" wrapText="1"/>
      <protection locked="0"/>
    </xf>
    <xf numFmtId="184" fontId="63" fillId="0" borderId="1" xfId="0" applyNumberFormat="1" applyFont="1" applyBorder="1" applyAlignment="1" applyProtection="1">
      <alignment horizontal="center" vertical="center" shrinkToFit="1"/>
      <protection locked="0"/>
    </xf>
    <xf numFmtId="176" fontId="49" fillId="0" borderId="1" xfId="0" applyNumberFormat="1" applyFont="1" applyBorder="1" applyAlignment="1" applyProtection="1">
      <alignment horizontal="left" vertical="top" wrapText="1"/>
      <protection locked="0"/>
    </xf>
    <xf numFmtId="0" fontId="49" fillId="0" borderId="1" xfId="0" applyFont="1" applyBorder="1" applyAlignment="1" applyProtection="1">
      <alignment horizontal="left" vertical="top"/>
      <protection locked="0"/>
    </xf>
    <xf numFmtId="49" fontId="174" fillId="0" borderId="24" xfId="0" applyNumberFormat="1" applyFont="1" applyBorder="1" applyAlignment="1" applyProtection="1">
      <alignment horizontal="center" vertical="center" wrapText="1"/>
      <protection locked="0"/>
    </xf>
    <xf numFmtId="181" fontId="46" fillId="0" borderId="2" xfId="21" applyNumberFormat="1" applyFont="1" applyBorder="1" applyAlignment="1" applyProtection="1">
      <alignment horizontal="center" vertical="center" wrapText="1"/>
      <protection locked="0"/>
    </xf>
    <xf numFmtId="49" fontId="259" fillId="0" borderId="4" xfId="0" applyNumberFormat="1" applyFont="1" applyBorder="1" applyAlignment="1" applyProtection="1">
      <alignment horizontal="left" vertical="center"/>
      <protection locked="0"/>
    </xf>
    <xf numFmtId="49" fontId="220" fillId="0" borderId="24" xfId="0" applyNumberFormat="1"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79" fillId="10" borderId="6"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25" fillId="7" borderId="88" xfId="0" applyNumberFormat="1" applyFont="1" applyFill="1" applyBorder="1" applyAlignment="1" applyProtection="1">
      <alignment horizontal="left" vertical="center"/>
      <protection locked="0"/>
    </xf>
    <xf numFmtId="49" fontId="225"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56" fillId="0" borderId="23"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0" borderId="158" xfId="0" applyFont="1" applyBorder="1" applyAlignment="1">
      <alignment horizontal="justify" vertical="center" wrapText="1"/>
    </xf>
    <xf numFmtId="0" fontId="260" fillId="0" borderId="159" xfId="0" applyFont="1" applyBorder="1" applyAlignment="1">
      <alignment horizontal="justify" vertical="center" wrapText="1"/>
    </xf>
    <xf numFmtId="0" fontId="261" fillId="0" borderId="159" xfId="0" applyFont="1" applyBorder="1" applyAlignment="1">
      <alignment horizontal="justify" vertical="center" wrapText="1"/>
    </xf>
    <xf numFmtId="0" fontId="260" fillId="0" borderId="160" xfId="0" applyFont="1" applyBorder="1" applyAlignment="1">
      <alignment horizontal="justify" vertical="center" wrapText="1"/>
    </xf>
    <xf numFmtId="0" fontId="261" fillId="0" borderId="161" xfId="0" applyFont="1" applyBorder="1" applyAlignment="1">
      <alignment horizontal="justify" vertical="center" wrapText="1"/>
    </xf>
    <xf numFmtId="0" fontId="260" fillId="0" borderId="161" xfId="0" applyFont="1" applyBorder="1" applyAlignment="1">
      <alignment horizontal="justify" vertical="center" wrapText="1"/>
    </xf>
    <xf numFmtId="0" fontId="260" fillId="0" borderId="162" xfId="0" applyFont="1" applyBorder="1" applyAlignment="1">
      <alignment horizontal="justify" vertical="center" wrapText="1"/>
    </xf>
    <xf numFmtId="0" fontId="260" fillId="0" borderId="163" xfId="0" applyFont="1" applyBorder="1" applyAlignment="1">
      <alignment horizontal="justify" vertical="center" wrapText="1"/>
    </xf>
    <xf numFmtId="0" fontId="260" fillId="0" borderId="164" xfId="0" applyFont="1" applyBorder="1" applyAlignment="1">
      <alignment horizontal="justify" vertical="center" wrapText="1"/>
    </xf>
    <xf numFmtId="0" fontId="262" fillId="0" borderId="162" xfId="0" applyFont="1" applyBorder="1" applyAlignment="1">
      <alignment horizontal="justify" vertical="center" wrapText="1"/>
    </xf>
    <xf numFmtId="0" fontId="262" fillId="0" borderId="163" xfId="0" applyFont="1" applyBorder="1" applyAlignment="1">
      <alignment horizontal="justify" vertical="center" wrapText="1"/>
    </xf>
    <xf numFmtId="0" fontId="262" fillId="0" borderId="164" xfId="0" applyFont="1" applyBorder="1" applyAlignment="1">
      <alignment horizontal="justify" vertical="center" wrapText="1"/>
    </xf>
    <xf numFmtId="0" fontId="261" fillId="0" borderId="162" xfId="0" applyFont="1" applyBorder="1" applyAlignment="1">
      <alignment horizontal="justify" vertical="center" wrapText="1"/>
    </xf>
    <xf numFmtId="0" fontId="261" fillId="0" borderId="163" xfId="0" applyFont="1" applyBorder="1" applyAlignment="1">
      <alignment horizontal="justify" vertical="center" wrapText="1"/>
    </xf>
    <xf numFmtId="0" fontId="261" fillId="0" borderId="164" xfId="0" applyFont="1" applyBorder="1" applyAlignment="1">
      <alignment horizontal="justify" vertical="center" wrapText="1"/>
    </xf>
    <xf numFmtId="0" fontId="260" fillId="0" borderId="165" xfId="0" applyFont="1" applyBorder="1" applyAlignment="1">
      <alignment horizontal="justify" vertical="center" wrapText="1"/>
    </xf>
    <xf numFmtId="0" fontId="260" fillId="0" borderId="166" xfId="0" applyFont="1" applyBorder="1" applyAlignment="1">
      <alignment horizontal="justify" vertical="center" wrapText="1"/>
    </xf>
    <xf numFmtId="0" fontId="260" fillId="0" borderId="167" xfId="0" applyFont="1" applyBorder="1" applyAlignment="1">
      <alignment horizontal="justify" vertical="center" wrapText="1"/>
    </xf>
  </cellXfs>
  <cellStyles count="22">
    <cellStyle name="百分比" xfId="21" builtinId="5"/>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4 2" xfId="20"/>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山西省太原市平阳路1号1幢1层A号、2层A号、3层A号共三套商业用房房地产房地产抵押价值预评估</v>
      </c>
    </row>
    <row r="3" spans="1:2" s="1360" customFormat="1">
      <c r="A3" s="1358" t="s">
        <v>1188</v>
      </c>
      <c r="B3" s="1359" t="str">
        <f>'预评函-封皮'!B40</f>
        <v>山西国美电器有限公司</v>
      </c>
    </row>
    <row r="4" spans="1:2" s="1360" customFormat="1">
      <c r="A4" s="1358" t="s">
        <v>1189</v>
      </c>
      <c r="B4" s="1359" t="str">
        <f>'预评函-封皮'!B46</f>
        <v>（注册号：0)、（注册号：0)</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受贵公司委托，我公司对山西省太原市平阳路1号1幢1层A号、2层A号、3层A号共三套商业用房房地产房地产抵押价值进行了预评估。</v>
      </c>
    </row>
    <row r="7" spans="1:2" s="1360" customFormat="1">
      <c r="A7" s="1358" t="s">
        <v>1231</v>
      </c>
      <c r="B7" s="1359"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1954.06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山西省太原市平阳路1号1幢1层A号、2层A号、3层A号共三套商业用房房地产房地产,为北京鼎税置业有限公司开发建设的，该项目尚在开发建设中。根据《国有土地使用证》[并国用（2008)第05000153、05000154、05000155号]，估价对象（分摊）出让国有建设用地使用权面积为222.28平方米，规划建筑面积为1954.06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为估价委托人在向民生银行办理贷款手续过程中，确定房地产抵押贷款额度提供参考依据而评估房地产抵押价值。</v>
      </c>
    </row>
    <row r="12" spans="1:2" s="1360" customFormat="1">
      <c r="A12" s="1358" t="s">
        <v>1193</v>
      </c>
      <c r="B12" s="1359" t="str">
        <f>'预评函-1'!A15</f>
        <v>2021年5月20日（评估专业人员实地查勘之日）</v>
      </c>
    </row>
    <row r="13" spans="1:2" s="1360" customFormat="1">
      <c r="A13" s="1358" t="s">
        <v>1194</v>
      </c>
      <c r="B13" s="1359" t="str">
        <f>'预评函-1'!A18</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t="e">
        <f ca="1">'预评函-2'!D5</f>
        <v>#REF!</v>
      </c>
    </row>
    <row r="21" spans="1:2" s="1360" customFormat="1">
      <c r="A21" s="1358" t="s">
        <v>1202</v>
      </c>
      <c r="B21" s="1359" t="e">
        <f ca="1">'预评函-2'!D7</f>
        <v>#REF!</v>
      </c>
    </row>
    <row r="22" spans="1:2" s="1360" customFormat="1">
      <c r="A22" s="1358" t="s">
        <v>1203</v>
      </c>
      <c r="B22" s="1359" t="e">
        <f ca="1">'预评函-2'!D6</f>
        <v>#REF!</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t="e">
        <f ca="1">'预评函-2'!D13</f>
        <v>#REF!</v>
      </c>
    </row>
    <row r="31" spans="1:2" s="1360" customFormat="1">
      <c r="A31" s="1358" t="s">
        <v>1241</v>
      </c>
      <c r="B31" s="1359" t="e">
        <f ca="1">'预评函-2'!D15</f>
        <v>#REF!</v>
      </c>
    </row>
    <row r="32" spans="1:2" s="1360" customFormat="1">
      <c r="A32" s="1358" t="s">
        <v>1208</v>
      </c>
      <c r="B32" s="1359" t="e">
        <f ca="1">'预评函-2'!D14</f>
        <v>#REF!</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山西省太原市平阳路1号1幢1层A号、2层A号、3层A号共三套商业用房房地产房地产</v>
      </c>
    </row>
    <row r="42" spans="1:2" s="1360" customFormat="1">
      <c r="A42" s="1358" t="s">
        <v>1255</v>
      </c>
      <c r="B42" s="1359" t="str">
        <f>'预评函-3'!B2</f>
        <v>建筑面积</v>
      </c>
    </row>
    <row r="43" spans="1:2" s="1360" customFormat="1">
      <c r="A43" s="1358" t="s">
        <v>1256</v>
      </c>
      <c r="B43" s="1359">
        <f>'预评函-3'!B4</f>
        <v>1954.06</v>
      </c>
    </row>
    <row r="44" spans="1:2" s="1360" customFormat="1">
      <c r="A44" s="1358" t="s">
        <v>1240</v>
      </c>
      <c r="B44" s="1359" t="str">
        <f>'预评函-3'!C2</f>
        <v>(分摊)土地面积</v>
      </c>
    </row>
    <row r="45" spans="1:2" s="1360" customFormat="1">
      <c r="A45" s="1358" t="s">
        <v>1212</v>
      </c>
      <c r="B45" s="1359">
        <f>'预评函-3'!C4</f>
        <v>222.28</v>
      </c>
    </row>
    <row r="46" spans="1:2" s="1360" customFormat="1">
      <c r="A46" s="1358" t="s">
        <v>1238</v>
      </c>
      <c r="B46" s="1359" t="str">
        <f>'预评函-3'!D2</f>
        <v>出让国有建设用地使用权价值</v>
      </c>
    </row>
    <row r="47" spans="1:2" s="1360" customFormat="1">
      <c r="A47" s="1358" t="s">
        <v>1213</v>
      </c>
      <c r="B47" s="1359" t="e">
        <f ca="1">'预评函-3'!D4</f>
        <v>#REF!</v>
      </c>
    </row>
    <row r="48" spans="1:2" s="1360" customFormat="1">
      <c r="A48" s="1358" t="s">
        <v>1214</v>
      </c>
      <c r="B48" s="1359" t="e">
        <f ca="1">'预评函-3'!E4</f>
        <v>#REF!</v>
      </c>
    </row>
    <row r="49" spans="1:2" s="1360" customFormat="1">
      <c r="A49" s="1358" t="s">
        <v>1215</v>
      </c>
      <c r="B49" s="1359" t="e">
        <f ca="1">'预评函-3'!D5</f>
        <v>#REF!</v>
      </c>
    </row>
    <row r="50" spans="1:2" s="1360" customFormat="1">
      <c r="A50" s="1358" t="s">
        <v>1239</v>
      </c>
      <c r="B50" s="1359" t="str">
        <f>'预评函-3'!F2</f>
        <v>在建建筑物价值</v>
      </c>
    </row>
    <row r="51" spans="1:2" s="1360" customFormat="1">
      <c r="A51" s="1358" t="s">
        <v>1216</v>
      </c>
      <c r="B51" s="1359" t="e">
        <f ca="1">'预评函-3'!F4</f>
        <v>#REF!</v>
      </c>
    </row>
    <row r="52" spans="1:2" s="1360" customFormat="1">
      <c r="A52" s="1358" t="s">
        <v>1217</v>
      </c>
      <c r="B52" s="1359" t="e">
        <f ca="1">'预评函-3'!G4</f>
        <v>#REF!</v>
      </c>
    </row>
    <row r="53" spans="1:2" s="1360" customFormat="1">
      <c r="A53" s="1358" t="s">
        <v>1245</v>
      </c>
      <c r="B53" s="1359" t="e">
        <f ca="1">'预评函-3'!F5</f>
        <v>#REF!</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已设定抵押。上述抵押权设定日期为2018年8月9日，权利人为包商银行股份有限公司，权利范围为，权利价值为。</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f>'预评函-4'!A4</f>
        <v>0</v>
      </c>
    </row>
    <row r="71" spans="1:2">
      <c r="A71" s="1358" t="s">
        <v>1228</v>
      </c>
      <c r="B71" s="1359">
        <f>'预评函-4'!B4</f>
        <v>0</v>
      </c>
    </row>
    <row r="72" spans="1:2">
      <c r="A72" s="1358" t="s">
        <v>1229</v>
      </c>
      <c r="B72" s="1367">
        <f>'预评函-4'!A5</f>
        <v>0</v>
      </c>
    </row>
    <row r="73" spans="1:2" s="1354" customFormat="1" ht="15" thickBot="1">
      <c r="A73" s="1361" t="s">
        <v>1230</v>
      </c>
      <c r="B73" s="1362">
        <f>'预评函-4'!B5</f>
        <v>0</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7" t="s">
        <v>3183</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37"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7"/>
      <c r="B54" s="1732" t="s">
        <v>832</v>
      </c>
      <c r="C54" s="1729" t="s">
        <v>1248</v>
      </c>
    </row>
    <row r="55" spans="1:4">
      <c r="A55" s="3137"/>
      <c r="B55" s="1732" t="s">
        <v>833</v>
      </c>
      <c r="C55" s="1729" t="s">
        <v>1249</v>
      </c>
    </row>
    <row r="56" spans="1:4">
      <c r="A56" s="3137"/>
      <c r="B56" s="1732" t="s">
        <v>834</v>
      </c>
      <c r="C56" s="1729" t="s">
        <v>1253</v>
      </c>
    </row>
    <row r="57" spans="1:4">
      <c r="A57" s="3137"/>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F10" sqref="F10"/>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37" customWidth="1"/>
    <col min="12" max="13" width="10" style="2838"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0" t="s">
        <v>2910</v>
      </c>
      <c r="B1" s="3138"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139"/>
      <c r="D1" s="3139"/>
      <c r="E1" s="3139"/>
      <c r="F1" s="3139"/>
      <c r="G1" s="3139"/>
      <c r="H1" s="3139"/>
      <c r="I1" s="3140"/>
      <c r="J1" s="2680"/>
      <c r="K1" s="2582"/>
      <c r="L1" s="2583"/>
      <c r="M1" s="2583"/>
      <c r="N1" s="2584"/>
      <c r="O1" s="1754"/>
      <c r="P1" s="2584"/>
      <c r="Q1" s="2584"/>
      <c r="R1" s="2584"/>
      <c r="S1" s="1861"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c r="T1" s="1924"/>
      <c r="U1" s="1924"/>
      <c r="V1" s="1924"/>
      <c r="W1" s="1924"/>
      <c r="X1" s="1924"/>
      <c r="Y1" s="1924"/>
      <c r="Z1" s="1924"/>
      <c r="AA1" s="1924"/>
      <c r="AB1" s="1924"/>
    </row>
    <row r="2" spans="1:28">
      <c r="A2" s="2581" t="s">
        <v>2911</v>
      </c>
      <c r="B2" s="2585"/>
      <c r="C2" s="2586"/>
      <c r="D2" s="2880"/>
      <c r="E2" s="2871"/>
      <c r="F2" s="2871"/>
      <c r="G2" s="2872"/>
      <c r="H2" s="2872"/>
      <c r="I2" s="2872"/>
      <c r="J2" s="2680"/>
      <c r="K2" s="2582"/>
      <c r="L2" s="2583"/>
      <c r="M2" s="2583"/>
      <c r="N2" s="2584"/>
      <c r="O2" s="1754"/>
      <c r="P2" s="2584"/>
      <c r="Q2" s="2584"/>
      <c r="R2" s="2584"/>
      <c r="S2" s="1861"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c r="T2" s="1924"/>
      <c r="U2" s="1924"/>
      <c r="V2" s="1924"/>
      <c r="W2" s="1924"/>
      <c r="X2" s="1924"/>
      <c r="Y2" s="1924"/>
      <c r="Z2" s="1924"/>
      <c r="AA2" s="1924"/>
      <c r="AB2" s="1924"/>
    </row>
    <row r="3" spans="1:28">
      <c r="A3" s="308" t="s">
        <v>2912</v>
      </c>
      <c r="B3" s="2587">
        <v>44336</v>
      </c>
      <c r="C3" s="2588" t="s">
        <v>2913</v>
      </c>
      <c r="D3" s="2587">
        <f>B3</f>
        <v>44336</v>
      </c>
      <c r="E3" s="2872"/>
      <c r="F3" s="2872"/>
      <c r="G3" s="2872"/>
      <c r="H3" s="2872"/>
      <c r="I3" s="2872"/>
      <c r="J3" s="2680"/>
      <c r="K3" s="2582"/>
      <c r="L3" s="2583"/>
      <c r="M3" s="2583"/>
      <c r="N3" s="2584"/>
      <c r="O3" s="1754"/>
      <c r="P3" s="2584"/>
      <c r="Q3" s="2584"/>
      <c r="R3" s="2584"/>
      <c r="S3" s="1861"/>
      <c r="T3" s="1924"/>
      <c r="U3" s="1924"/>
      <c r="V3" s="1924"/>
      <c r="W3" s="1924"/>
      <c r="X3" s="1924"/>
      <c r="Y3" s="1924"/>
      <c r="Z3" s="1924"/>
      <c r="AA3" s="1924"/>
      <c r="AB3" s="1924"/>
    </row>
    <row r="4" spans="1:28" ht="13.5" thickBot="1">
      <c r="A4" s="1245" t="s">
        <v>2914</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0"/>
      <c r="K4" s="2592" t="str">
        <f>CONCATENATE(B4,"（注册号：",C4,")、",D4,"（注册号：",E4,")")</f>
        <v>（注册号：0)、（注册号：0)</v>
      </c>
      <c r="L4" s="2583"/>
      <c r="M4" s="2583"/>
      <c r="N4" s="2584"/>
      <c r="O4" s="1754"/>
      <c r="P4" s="2584"/>
      <c r="Q4" s="2584"/>
      <c r="R4" s="2584"/>
      <c r="S4" s="1861"/>
      <c r="T4" s="1924"/>
      <c r="U4" s="1924"/>
      <c r="V4" s="1924"/>
      <c r="W4" s="1924"/>
      <c r="X4" s="1924"/>
      <c r="Y4" s="1924"/>
      <c r="Z4" s="1924"/>
      <c r="AA4" s="1924"/>
      <c r="AB4" s="1924"/>
    </row>
    <row r="5" spans="1:28" ht="15.75" thickTop="1">
      <c r="A5" s="2593" t="s">
        <v>2915</v>
      </c>
      <c r="B5" s="3078" t="s">
        <v>3186</v>
      </c>
      <c r="C5" s="2594"/>
      <c r="D5" s="2595"/>
      <c r="E5" s="2873"/>
      <c r="F5" s="2873"/>
      <c r="G5" s="2873"/>
      <c r="H5" s="2873"/>
      <c r="I5" s="2873"/>
      <c r="J5" s="2650"/>
      <c r="K5" s="2592" t="str">
        <f>IF(F4="——","",IF(H4="——",F4&amp;"（注册号："&amp;G4&amp;")",CONCATENATE(F4,"（注册号：",G4,")、",H4,"（注册号：",I4,")")))</f>
        <v>（注册号：0)、（注册号：0)</v>
      </c>
      <c r="L5" s="2583"/>
      <c r="M5" s="2583"/>
      <c r="N5" s="2584"/>
      <c r="O5" s="1754"/>
      <c r="P5" s="2584"/>
      <c r="Q5" s="2584"/>
      <c r="R5" s="2584"/>
      <c r="S5" s="1924"/>
      <c r="T5" s="1924"/>
      <c r="U5" s="1924"/>
      <c r="V5" s="1924"/>
      <c r="W5" s="1924"/>
      <c r="X5" s="1924"/>
      <c r="Y5" s="1924"/>
      <c r="Z5" s="1924"/>
      <c r="AA5" s="1924"/>
      <c r="AB5" s="1924"/>
    </row>
    <row r="6" spans="1:28" ht="14.25">
      <c r="A6" s="2596" t="s">
        <v>2916</v>
      </c>
      <c r="B6" s="3079" t="s">
        <v>3187</v>
      </c>
      <c r="C6" s="2597"/>
      <c r="D6" s="2598"/>
      <c r="E6" s="2871"/>
      <c r="F6" s="2873"/>
      <c r="G6" s="2873"/>
      <c r="H6" s="2873"/>
      <c r="I6" s="2873"/>
      <c r="J6" s="2650"/>
      <c r="K6" s="2823" t="str">
        <f>IF(COUNTIF(B6,"*上海银行*"),"上海银行","")</f>
        <v/>
      </c>
      <c r="L6" s="2821"/>
      <c r="M6" s="2821"/>
      <c r="N6" s="2650"/>
      <c r="O6" s="2661"/>
      <c r="P6" s="2650"/>
      <c r="Q6" s="2650"/>
      <c r="R6" s="2650"/>
    </row>
    <row r="7" spans="1:28" ht="45">
      <c r="A7" s="2596" t="s">
        <v>2917</v>
      </c>
      <c r="B7" s="3080" t="str">
        <f>B5</f>
        <v>山西国美电器有限公司</v>
      </c>
      <c r="C7" s="2597"/>
      <c r="D7" s="2598"/>
      <c r="E7" s="2871"/>
      <c r="F7" s="2873"/>
      <c r="G7" s="2873"/>
      <c r="H7" s="2873"/>
      <c r="I7" s="2873"/>
      <c r="J7" s="2650"/>
      <c r="K7" s="2824"/>
      <c r="L7" s="2821"/>
      <c r="M7" s="2821"/>
      <c r="N7" s="2650"/>
      <c r="O7" s="2661"/>
      <c r="P7" s="2650"/>
      <c r="Q7" s="2650"/>
      <c r="R7" s="2650"/>
    </row>
    <row r="8" spans="1:28">
      <c r="A8" s="2599" t="s">
        <v>2918</v>
      </c>
      <c r="B8" s="2600" t="s">
        <v>3104</v>
      </c>
      <c r="C8" s="2601"/>
      <c r="D8" s="3141" t="s">
        <v>2919</v>
      </c>
      <c r="E8" s="2602" t="s">
        <v>3105</v>
      </c>
      <c r="F8" s="2603"/>
      <c r="G8" s="2872"/>
      <c r="H8" s="2872"/>
      <c r="I8" s="2872"/>
      <c r="J8" s="2650"/>
      <c r="K8" s="2822"/>
      <c r="L8" s="2821"/>
      <c r="M8" s="2821"/>
      <c r="N8" s="2650"/>
      <c r="O8" s="2661"/>
      <c r="P8" s="2650"/>
      <c r="Q8" s="2650"/>
      <c r="R8" s="2650"/>
    </row>
    <row r="9" spans="1:28" ht="13.5" thickBot="1">
      <c r="A9" s="2604" t="s">
        <v>2920</v>
      </c>
      <c r="B9" s="2605" t="s">
        <v>3105</v>
      </c>
      <c r="C9" s="2606"/>
      <c r="D9" s="3142"/>
      <c r="E9" s="2605"/>
      <c r="F9" s="2607"/>
      <c r="G9" s="2874"/>
      <c r="H9" s="2874"/>
      <c r="I9" s="2874"/>
      <c r="J9" s="2650"/>
      <c r="K9" s="2824"/>
      <c r="L9" s="2821"/>
      <c r="M9" s="2821"/>
      <c r="N9" s="2650"/>
      <c r="O9" s="2661"/>
      <c r="P9" s="2650"/>
      <c r="Q9" s="2650"/>
      <c r="R9" s="2650"/>
    </row>
    <row r="10" spans="1:28" ht="15.75" thickTop="1">
      <c r="A10" s="2608" t="s">
        <v>2921</v>
      </c>
      <c r="B10" s="2609" t="s">
        <v>3184</v>
      </c>
      <c r="C10" s="3081" t="s">
        <v>3188</v>
      </c>
      <c r="D10" s="2595"/>
      <c r="E10" s="2610" t="s">
        <v>2922</v>
      </c>
      <c r="F10" s="3088" t="s">
        <v>3185</v>
      </c>
      <c r="G10" s="2875"/>
      <c r="H10" s="2876"/>
      <c r="I10" s="2877"/>
      <c r="J10" s="2650"/>
      <c r="K10" s="2824"/>
      <c r="L10" s="2821"/>
      <c r="M10" s="2821"/>
      <c r="N10" s="2650"/>
      <c r="O10" s="2661"/>
      <c r="P10" s="2650"/>
      <c r="Q10" s="2650"/>
      <c r="R10" s="2650"/>
    </row>
    <row r="11" spans="1:28" ht="28.5">
      <c r="A11" s="2611" t="s">
        <v>2923</v>
      </c>
      <c r="B11" s="2612" t="s">
        <v>3095</v>
      </c>
      <c r="C11" s="3082" t="s">
        <v>3189</v>
      </c>
      <c r="D11" s="2613"/>
      <c r="E11" s="2584"/>
      <c r="F11" s="2584"/>
      <c r="G11" s="2584"/>
      <c r="H11" s="2584"/>
      <c r="I11" s="2584"/>
      <c r="J11" s="2650"/>
      <c r="K11" s="2824"/>
      <c r="L11" s="2821"/>
      <c r="M11" s="2821"/>
      <c r="N11" s="2650"/>
      <c r="O11" s="2661"/>
      <c r="P11" s="2650"/>
      <c r="Q11" s="2650"/>
      <c r="R11" s="2650"/>
    </row>
    <row r="12" spans="1:28">
      <c r="A12" s="2614" t="s">
        <v>2924</v>
      </c>
      <c r="B12" s="2612" t="s">
        <v>3054</v>
      </c>
      <c r="C12" s="329" t="s">
        <v>2925</v>
      </c>
      <c r="D12" s="2615" t="s">
        <v>2926</v>
      </c>
      <c r="E12" s="2615" t="s">
        <v>2927</v>
      </c>
      <c r="F12" s="2615" t="s">
        <v>2928</v>
      </c>
      <c r="G12" s="2615" t="s">
        <v>2929</v>
      </c>
      <c r="H12" s="2615" t="s">
        <v>2930</v>
      </c>
      <c r="I12" s="2615" t="s">
        <v>2931</v>
      </c>
      <c r="J12" s="2650"/>
      <c r="K12" s="2824"/>
      <c r="L12" s="2821"/>
      <c r="M12" s="2821"/>
      <c r="N12" s="2650"/>
      <c r="O12" s="2661"/>
      <c r="P12" s="2650"/>
      <c r="Q12" s="2650"/>
      <c r="R12" s="2650"/>
    </row>
    <row r="13" spans="1:28" ht="15">
      <c r="A13" s="1236"/>
      <c r="B13" s="2616"/>
      <c r="C13" s="2617" t="s">
        <v>2932</v>
      </c>
      <c r="D13" s="963"/>
      <c r="E13" s="3083">
        <v>53418</v>
      </c>
      <c r="F13" s="3056"/>
      <c r="G13" s="963"/>
      <c r="H13" s="963"/>
      <c r="I13" s="963"/>
      <c r="J13" s="2650"/>
      <c r="K13" s="2824"/>
      <c r="L13" s="2821"/>
      <c r="M13" s="2821"/>
      <c r="N13" s="2650"/>
      <c r="O13" s="2661"/>
      <c r="P13" s="2650"/>
      <c r="Q13" s="2650"/>
      <c r="R13" s="2650"/>
    </row>
    <row r="14" spans="1:28">
      <c r="A14" s="1236"/>
      <c r="B14" s="2616"/>
      <c r="C14" s="2617" t="s">
        <v>2933</v>
      </c>
      <c r="D14" s="2618"/>
      <c r="E14" s="2618">
        <v>40</v>
      </c>
      <c r="F14" s="2618"/>
      <c r="G14" s="2618"/>
      <c r="H14" s="2618"/>
      <c r="I14" s="2618"/>
      <c r="J14" s="2650"/>
      <c r="K14" s="2825"/>
      <c r="L14" s="2821"/>
      <c r="M14" s="2821"/>
      <c r="N14" s="2650"/>
      <c r="O14" s="2661"/>
      <c r="P14" s="2650"/>
      <c r="Q14" s="2650"/>
      <c r="R14" s="2650"/>
    </row>
    <row r="15" spans="1:28">
      <c r="A15" s="326"/>
      <c r="B15" s="2619"/>
      <c r="C15" s="2620" t="s">
        <v>2934</v>
      </c>
      <c r="D15" s="2621" t="str">
        <f>IF(B12="出让",IF(D13="","",ROUNDDOWN(MIN((D13-$D$3)/365,D14),2)),D14)</f>
        <v/>
      </c>
      <c r="E15" s="2621">
        <f>IF(B12="出让",IF(E13="","",ROUNDDOWN(MIN((E13-$D$3)/365,E14),2)),E14)</f>
        <v>24.88</v>
      </c>
      <c r="F15" s="2621" t="str">
        <f>IF(B12="出让",IF(F13="","",ROUNDDOWN(MIN((F13-$D$3)/365,F14),2)),F14)</f>
        <v/>
      </c>
      <c r="G15" s="2621" t="str">
        <f>IF(B12="出让",IF(G13="","",ROUNDDOWN(MIN((G13-$D$3)/365,G14),2)),G14)</f>
        <v/>
      </c>
      <c r="H15" s="2621" t="str">
        <f>IF(B12="出让",IF(H13="","",ROUNDDOWN(MIN((H13-$D$3)/365,H14),2)),H14)</f>
        <v/>
      </c>
      <c r="I15" s="2621" t="str">
        <f>IF(B12="出让",IF(I13="","",ROUNDDOWN(MIN((I13-$D$3)/365,I14),2)),I14)</f>
        <v/>
      </c>
      <c r="J15" s="2650"/>
      <c r="K15" s="2826"/>
      <c r="L15" s="2662"/>
      <c r="M15" s="2662"/>
      <c r="N15" s="2717"/>
      <c r="O15" s="2662"/>
      <c r="P15" s="2717"/>
      <c r="Q15" s="2650"/>
      <c r="R15" s="2650"/>
    </row>
    <row r="16" spans="1:28">
      <c r="A16" s="2610" t="s">
        <v>2935</v>
      </c>
      <c r="B16" s="3148"/>
      <c r="C16" s="3149"/>
      <c r="D16" s="3150"/>
      <c r="E16" s="2624" t="s">
        <v>2936</v>
      </c>
      <c r="F16" s="3151"/>
      <c r="G16" s="3152"/>
      <c r="H16" s="3152"/>
      <c r="I16" s="3153"/>
      <c r="J16" s="2650"/>
      <c r="K16" s="2826"/>
      <c r="L16" s="2662"/>
      <c r="M16" s="2662"/>
      <c r="N16" s="2717"/>
      <c r="O16" s="2662"/>
      <c r="P16" s="2717"/>
      <c r="Q16" s="2650"/>
      <c r="R16" s="2650"/>
    </row>
    <row r="17" spans="1:28">
      <c r="A17" s="319" t="s">
        <v>2937</v>
      </c>
      <c r="B17" s="308" t="s">
        <v>2938</v>
      </c>
      <c r="C17" s="11">
        <f>'数据-汇总表'!E3</f>
        <v>1954.06</v>
      </c>
      <c r="D17" s="2535" t="s">
        <v>2939</v>
      </c>
      <c r="E17" s="3154" t="s">
        <v>2940</v>
      </c>
      <c r="F17" s="3155"/>
      <c r="G17" s="3155"/>
      <c r="H17" s="3155"/>
      <c r="I17" s="3156"/>
      <c r="J17" s="2650"/>
      <c r="K17" s="2827"/>
      <c r="L17" s="2662"/>
      <c r="M17" s="2662"/>
      <c r="N17" s="2717"/>
      <c r="O17" s="2662"/>
      <c r="P17" s="2717"/>
      <c r="Q17" s="2650"/>
      <c r="R17" s="2650"/>
      <c r="S17" s="2650"/>
      <c r="T17" s="2650"/>
      <c r="U17" s="2650"/>
      <c r="V17" s="2650"/>
    </row>
    <row r="18" spans="1:28" ht="24.75" thickBot="1">
      <c r="A18" s="2625" t="s">
        <v>2941</v>
      </c>
      <c r="B18" s="1245" t="s">
        <v>2942</v>
      </c>
      <c r="C18" s="2626">
        <f>'数据-汇总表'!D3</f>
        <v>222.28</v>
      </c>
      <c r="D18" s="1247" t="s">
        <v>2943</v>
      </c>
      <c r="E18" s="3157" t="s">
        <v>3190</v>
      </c>
      <c r="F18" s="3158"/>
      <c r="G18" s="3158"/>
      <c r="H18" s="3158"/>
      <c r="I18" s="3159"/>
      <c r="J18" s="2650"/>
      <c r="K18" s="2827"/>
      <c r="L18" s="2662"/>
      <c r="M18" s="2662"/>
      <c r="N18" s="2717"/>
      <c r="O18" s="2662"/>
      <c r="P18" s="2717"/>
      <c r="Q18" s="2650"/>
      <c r="R18" s="2650"/>
      <c r="S18" s="2650"/>
      <c r="T18" s="2650"/>
      <c r="U18" s="2650"/>
      <c r="V18" s="2650"/>
    </row>
    <row r="19" spans="1:28" ht="37.5" thickTop="1" thickBot="1">
      <c r="A19" s="333" t="s">
        <v>1741</v>
      </c>
      <c r="B19" s="313" t="s">
        <v>2944</v>
      </c>
      <c r="C19" s="1741" t="s">
        <v>3055</v>
      </c>
      <c r="D19" s="1742" t="s">
        <v>2945</v>
      </c>
      <c r="E19" s="1743" t="s">
        <v>3055</v>
      </c>
      <c r="F19" s="1744" t="str">
        <f>IF(AND(C19="是",E19="否"),"是否提供他项权证或相关说明","")</f>
        <v/>
      </c>
      <c r="G19" s="1745" t="s">
        <v>3055</v>
      </c>
      <c r="H19" s="2873"/>
      <c r="I19" s="2873"/>
      <c r="J19" s="2650"/>
      <c r="K19" s="2824"/>
      <c r="L19" s="2821"/>
      <c r="M19" s="2821"/>
      <c r="N19" s="2717"/>
      <c r="O19" s="2662"/>
      <c r="P19" s="2717"/>
      <c r="Q19" s="2650"/>
      <c r="R19" s="2650"/>
      <c r="S19" s="2650"/>
      <c r="T19" s="2650"/>
      <c r="U19" s="2650"/>
      <c r="V19" s="2650"/>
    </row>
    <row r="20" spans="1:28">
      <c r="A20" s="2841" t="s">
        <v>2946</v>
      </c>
      <c r="B20" s="3144" t="s">
        <v>2947</v>
      </c>
      <c r="C20" s="3145"/>
      <c r="D20" s="3146" t="s">
        <v>2948</v>
      </c>
      <c r="E20" s="3147"/>
      <c r="F20" s="2856" t="s">
        <v>1742</v>
      </c>
      <c r="G20" s="2873"/>
      <c r="H20" s="2873"/>
      <c r="I20" s="2873"/>
      <c r="J20" s="2650"/>
      <c r="K20" s="3143" t="s">
        <v>2949</v>
      </c>
      <c r="L20" s="69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3"/>
      <c r="N20" s="2623"/>
      <c r="O20" s="2622"/>
      <c r="P20" s="2623"/>
      <c r="Q20" s="2584"/>
      <c r="R20" s="2584"/>
      <c r="S20" s="2584"/>
      <c r="T20" s="2584"/>
      <c r="U20" s="2584"/>
      <c r="V20" s="2584"/>
      <c r="W20" s="1924"/>
      <c r="X20" s="1924"/>
      <c r="Y20" s="1924"/>
      <c r="Z20" s="1924"/>
      <c r="AA20" s="1924"/>
      <c r="AB20" s="1924"/>
    </row>
    <row r="21" spans="1:28" ht="24.75" thickBot="1">
      <c r="A21" s="2841"/>
      <c r="B21" s="2842" t="s">
        <v>2950</v>
      </c>
      <c r="C21" s="2843" t="s">
        <v>3056</v>
      </c>
      <c r="D21" s="1746" t="s">
        <v>2951</v>
      </c>
      <c r="E21" s="2844" t="s">
        <v>3056</v>
      </c>
      <c r="F21" s="2857"/>
      <c r="G21" s="2873"/>
      <c r="H21" s="2873"/>
      <c r="I21" s="2873"/>
      <c r="J21" s="2650"/>
      <c r="K21" s="3143"/>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3"/>
      <c r="N21" s="2623"/>
      <c r="O21" s="2622"/>
      <c r="P21" s="2623"/>
      <c r="Q21" s="2584"/>
      <c r="R21" s="2584"/>
      <c r="S21" s="2584"/>
      <c r="T21" s="2584"/>
      <c r="U21" s="2584"/>
      <c r="V21" s="2584"/>
      <c r="W21" s="1924"/>
      <c r="X21" s="1924"/>
      <c r="Y21" s="1924"/>
      <c r="Z21" s="1924"/>
      <c r="AA21" s="1924"/>
      <c r="AB21" s="1924"/>
    </row>
    <row r="22" spans="1:28" ht="24.75" thickBot="1">
      <c r="A22" s="2841"/>
      <c r="B22" s="2845" t="s">
        <v>2952</v>
      </c>
      <c r="C22" s="2843" t="s">
        <v>1743</v>
      </c>
      <c r="D22" s="2872"/>
      <c r="E22" s="2872"/>
      <c r="F22" s="2872"/>
      <c r="G22" s="2873"/>
      <c r="H22" s="2873"/>
      <c r="I22" s="2873"/>
      <c r="J22" s="2650"/>
      <c r="K22" s="3143"/>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3"/>
      <c r="O22" s="2622"/>
      <c r="P22" s="2623"/>
      <c r="Q22" s="2584"/>
      <c r="R22" s="2584"/>
      <c r="S22" s="2584"/>
      <c r="T22" s="2584"/>
      <c r="U22" s="2584"/>
      <c r="V22" s="2584"/>
      <c r="W22" s="1924"/>
      <c r="X22" s="1924"/>
      <c r="Y22" s="1924"/>
      <c r="Z22" s="1924"/>
      <c r="AA22" s="1924"/>
      <c r="AB22" s="1924"/>
    </row>
    <row r="23" spans="1:28">
      <c r="A23" s="2846" t="s">
        <v>2953</v>
      </c>
      <c r="B23" s="2710" t="s">
        <v>2954</v>
      </c>
      <c r="C23" s="2847">
        <v>43321</v>
      </c>
      <c r="D23" s="2848" t="s">
        <v>2954</v>
      </c>
      <c r="E23" s="2849"/>
      <c r="F23" s="2872"/>
      <c r="G23" s="2873"/>
      <c r="H23" s="2873"/>
      <c r="I23" s="2873"/>
      <c r="J23" s="2650"/>
      <c r="K23" s="2828"/>
      <c r="L23" s="2684"/>
      <c r="M23" s="2821"/>
      <c r="N23" s="2717"/>
      <c r="O23" s="2662"/>
      <c r="P23" s="2717"/>
      <c r="Q23" s="2650"/>
      <c r="R23" s="2650"/>
      <c r="S23" s="2650"/>
      <c r="T23" s="2650"/>
      <c r="U23" s="2650"/>
      <c r="V23" s="2650"/>
    </row>
    <row r="24" spans="1:28" ht="24">
      <c r="A24" s="2846"/>
      <c r="B24" s="2710" t="s">
        <v>1744</v>
      </c>
      <c r="C24" s="3041" t="s">
        <v>3057</v>
      </c>
      <c r="D24" s="2846" t="s">
        <v>1744</v>
      </c>
      <c r="E24" s="2851"/>
      <c r="F24" s="2872"/>
      <c r="G24" s="2873"/>
      <c r="H24" s="2873"/>
      <c r="I24" s="2873"/>
      <c r="J24" s="2650"/>
      <c r="K24" s="2828"/>
      <c r="L24" s="2684"/>
      <c r="M24" s="2821"/>
      <c r="N24" s="2717"/>
      <c r="O24" s="2662"/>
      <c r="P24" s="2717"/>
      <c r="Q24" s="2650"/>
      <c r="R24" s="2650"/>
      <c r="S24" s="2650"/>
      <c r="T24" s="2650"/>
      <c r="U24" s="2650"/>
      <c r="V24" s="2650"/>
    </row>
    <row r="25" spans="1:28">
      <c r="A25" s="2846"/>
      <c r="B25" s="2710" t="s">
        <v>1745</v>
      </c>
      <c r="C25" s="2850"/>
      <c r="D25" s="2846" t="s">
        <v>1745</v>
      </c>
      <c r="E25" s="2851"/>
      <c r="F25" s="2872"/>
      <c r="G25" s="2873"/>
      <c r="H25" s="2873"/>
      <c r="I25" s="2873"/>
      <c r="J25" s="2650"/>
      <c r="K25" s="2824"/>
      <c r="L25" s="2821"/>
      <c r="M25" s="2821"/>
      <c r="N25" s="2717"/>
      <c r="O25" s="2662"/>
      <c r="P25" s="2717"/>
      <c r="Q25" s="2650"/>
      <c r="R25" s="2650"/>
      <c r="S25" s="2650"/>
      <c r="T25" s="2650"/>
      <c r="U25" s="2650"/>
      <c r="V25" s="2650"/>
    </row>
    <row r="26" spans="1:28" ht="13.5" thickBot="1">
      <c r="A26" s="2852"/>
      <c r="B26" s="2853" t="s">
        <v>1746</v>
      </c>
      <c r="C26" s="2854"/>
      <c r="D26" s="2852" t="s">
        <v>1746</v>
      </c>
      <c r="E26" s="2855"/>
      <c r="F26" s="2874"/>
      <c r="G26" s="2874"/>
      <c r="H26" s="2874"/>
      <c r="I26" s="2874"/>
      <c r="J26" s="2650"/>
      <c r="K26" s="2824"/>
      <c r="L26" s="2821"/>
      <c r="M26" s="2821"/>
      <c r="N26" s="2717"/>
      <c r="O26" s="2662"/>
      <c r="P26" s="2717"/>
      <c r="Q26" s="2650"/>
      <c r="R26" s="2650"/>
      <c r="S26" s="2650"/>
      <c r="T26" s="2650"/>
      <c r="U26" s="2650"/>
      <c r="V26" s="2650"/>
    </row>
    <row r="27" spans="1:28" ht="13.5" thickTop="1">
      <c r="A27" s="3161" t="s">
        <v>2955</v>
      </c>
      <c r="B27" s="326" t="s">
        <v>2956</v>
      </c>
      <c r="C27" s="2627"/>
      <c r="D27" s="2628"/>
      <c r="E27" s="2873"/>
      <c r="F27" s="2873"/>
      <c r="G27" s="2873"/>
      <c r="H27" s="2873"/>
      <c r="I27" s="2873"/>
      <c r="J27" s="2650"/>
      <c r="K27" s="2826"/>
      <c r="L27" s="2662"/>
      <c r="M27" s="2662"/>
      <c r="N27" s="2717"/>
      <c r="O27" s="2662"/>
      <c r="P27" s="2717"/>
      <c r="Q27" s="2650"/>
      <c r="R27" s="2650"/>
      <c r="S27" s="2650"/>
      <c r="T27" s="2650"/>
      <c r="U27" s="2650"/>
      <c r="V27" s="2650"/>
    </row>
    <row r="28" spans="1:28">
      <c r="A28" s="3161"/>
      <c r="B28" s="308" t="s">
        <v>2957</v>
      </c>
      <c r="C28" s="2629"/>
      <c r="D28" s="2630"/>
      <c r="E28" s="2873"/>
      <c r="F28" s="2873"/>
      <c r="G28" s="2873"/>
      <c r="H28" s="2873"/>
      <c r="I28" s="2873"/>
      <c r="J28" s="2650"/>
      <c r="K28" s="2824"/>
      <c r="L28" s="2821"/>
      <c r="M28" s="2821"/>
      <c r="N28" s="2650"/>
      <c r="O28" s="2661"/>
      <c r="P28" s="2650"/>
      <c r="Q28" s="2650"/>
      <c r="R28" s="2650"/>
      <c r="S28" s="2650"/>
      <c r="T28" s="2650"/>
      <c r="U28" s="2650"/>
      <c r="V28" s="2650"/>
    </row>
    <row r="29" spans="1:28">
      <c r="A29" s="3161"/>
      <c r="B29" s="308" t="s">
        <v>2958</v>
      </c>
      <c r="C29" s="2631"/>
      <c r="D29" s="2632"/>
      <c r="E29" s="2873"/>
      <c r="F29" s="2873"/>
      <c r="G29" s="2873"/>
      <c r="H29" s="2873"/>
      <c r="I29" s="2873"/>
      <c r="J29" s="2650"/>
      <c r="K29" s="2824"/>
      <c r="L29" s="2821"/>
      <c r="M29" s="2821"/>
      <c r="N29" s="2650"/>
      <c r="O29" s="2661"/>
      <c r="P29" s="2650"/>
      <c r="Q29" s="2650"/>
      <c r="R29" s="2650"/>
      <c r="S29" s="2650"/>
      <c r="T29" s="2650"/>
      <c r="U29" s="2650"/>
      <c r="V29" s="2650"/>
    </row>
    <row r="30" spans="1:28">
      <c r="A30" s="3162"/>
      <c r="B30" s="308" t="s">
        <v>2959</v>
      </c>
      <c r="C30" s="3163"/>
      <c r="D30" s="3164"/>
      <c r="E30" s="2873"/>
      <c r="F30" s="2873"/>
      <c r="G30" s="2873"/>
      <c r="H30" s="2873"/>
      <c r="I30" s="2873"/>
      <c r="J30" s="2650"/>
      <c r="K30" s="2824"/>
      <c r="L30" s="2821"/>
      <c r="M30" s="2821"/>
      <c r="N30" s="2650"/>
      <c r="O30" s="2661"/>
      <c r="P30" s="2650"/>
      <c r="Q30" s="2650"/>
      <c r="R30" s="2650"/>
      <c r="S30" s="2650"/>
      <c r="T30" s="2650"/>
      <c r="U30" s="2650"/>
      <c r="V30" s="2650"/>
    </row>
    <row r="31" spans="1:28">
      <c r="A31" s="3165" t="s">
        <v>2960</v>
      </c>
      <c r="B31" s="2633"/>
      <c r="C31" s="2536" t="str">
        <f>IF(B31="现房","成新及维护状况正常否",IF(B31="在建","工程状态是否正常",IF(B31="土地","是否闲置","-")))</f>
        <v>-</v>
      </c>
      <c r="D31" s="1550"/>
      <c r="E31" s="2634"/>
      <c r="F31" s="2873"/>
      <c r="G31" s="2873"/>
      <c r="H31" s="2873"/>
      <c r="I31" s="2873"/>
      <c r="J31" s="2650"/>
      <c r="K31" s="2823"/>
      <c r="L31" s="2821"/>
      <c r="M31" s="2821"/>
      <c r="N31" s="2650"/>
      <c r="O31" s="2661"/>
      <c r="P31" s="2650"/>
      <c r="Q31" s="2650"/>
      <c r="R31" s="2650"/>
      <c r="S31" s="2650"/>
      <c r="T31" s="2650"/>
      <c r="U31" s="2650"/>
      <c r="V31" s="2650"/>
    </row>
    <row r="32" spans="1:28">
      <c r="A32" s="3166"/>
      <c r="B32" s="2633"/>
      <c r="C32" s="2536" t="str">
        <f>IF(B32="现房","成新及维护状况是否正常",IF(B32="在建","工程状态是否正常",IF(B32="土地","是否闲置","-")))</f>
        <v>-</v>
      </c>
      <c r="D32" s="1550"/>
      <c r="E32" s="2634"/>
      <c r="F32" s="2873"/>
      <c r="G32" s="2873"/>
      <c r="H32" s="2873"/>
      <c r="I32" s="2873"/>
      <c r="J32" s="2650"/>
      <c r="K32" s="2824"/>
      <c r="L32" s="2821"/>
      <c r="M32" s="2821"/>
      <c r="N32" s="2650"/>
      <c r="O32" s="2661"/>
      <c r="P32" s="2650"/>
      <c r="Q32" s="2650"/>
      <c r="R32" s="2650"/>
      <c r="S32" s="2650"/>
      <c r="T32" s="2650"/>
      <c r="U32" s="2650"/>
      <c r="V32" s="2650"/>
    </row>
    <row r="33" spans="1:30">
      <c r="A33" s="3166"/>
      <c r="B33" s="2636"/>
      <c r="C33" s="1768" t="str">
        <f>IF(B33="现房","成新及维护状况是否正常",IF(B33="在建","工程状态是否正常",IF(B33="土地","是否闲置","-")))</f>
        <v>-</v>
      </c>
      <c r="D33" s="1542"/>
      <c r="E33" s="2637"/>
      <c r="F33" s="2873"/>
      <c r="G33" s="2873"/>
      <c r="H33" s="2873"/>
      <c r="I33" s="2873"/>
      <c r="J33" s="2650"/>
      <c r="K33" s="2824"/>
      <c r="L33" s="2821"/>
      <c r="M33" s="2821"/>
      <c r="N33" s="2650"/>
      <c r="O33" s="2661"/>
      <c r="P33" s="2650"/>
      <c r="Q33" s="2650"/>
      <c r="R33" s="2650"/>
      <c r="S33" s="2650"/>
      <c r="T33" s="2650"/>
      <c r="U33" s="2650"/>
      <c r="V33" s="2650"/>
    </row>
    <row r="34" spans="1:30">
      <c r="A34" s="308" t="s">
        <v>2961</v>
      </c>
      <c r="B34" s="2204" t="s">
        <v>3058</v>
      </c>
      <c r="C34" s="2204" t="s">
        <v>3059</v>
      </c>
      <c r="D34" s="2204" t="s">
        <v>3059</v>
      </c>
      <c r="E34" s="2204" t="s">
        <v>3060</v>
      </c>
      <c r="F34" s="2204" t="s">
        <v>3061</v>
      </c>
      <c r="G34" s="2204" t="s">
        <v>3062</v>
      </c>
      <c r="H34" s="2204" t="s">
        <v>3063</v>
      </c>
      <c r="I34" s="2873"/>
      <c r="J34" s="2650"/>
      <c r="K34" s="2638">
        <f>COUNTIF(B34:H34,"——")</f>
        <v>0</v>
      </c>
      <c r="L34" s="329" t="s">
        <v>2962</v>
      </c>
      <c r="M34" s="329" t="s">
        <v>2963</v>
      </c>
      <c r="N34" s="329" t="s">
        <v>2964</v>
      </c>
      <c r="O34" s="329" t="s">
        <v>2965</v>
      </c>
      <c r="P34" s="329" t="s">
        <v>2966</v>
      </c>
      <c r="Q34" s="329" t="s">
        <v>2967</v>
      </c>
      <c r="R34" s="329" t="s">
        <v>2968</v>
      </c>
      <c r="S34" s="3160" t="s">
        <v>2969</v>
      </c>
      <c r="T34" s="2639" t="str">
        <f>NUMBERSTRING(7-K34,1)&amp;"通"</f>
        <v>七通</v>
      </c>
      <c r="U34" s="2650"/>
      <c r="V34" s="2650"/>
    </row>
    <row r="35" spans="1:30">
      <c r="A35" s="2640"/>
      <c r="B35" s="3167" t="s">
        <v>2970</v>
      </c>
      <c r="C35" s="3167"/>
      <c r="D35" s="3167"/>
      <c r="E35" s="3167"/>
      <c r="F35" s="671" t="str">
        <f>C10</f>
        <v>山西省</v>
      </c>
      <c r="G35" s="2873"/>
      <c r="H35" s="2873"/>
      <c r="I35" s="2873"/>
      <c r="J35" s="2650"/>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60"/>
      <c r="T35" s="335" t="str">
        <f>IF(T34="一通",L35,IF(T34="二通",M35,IF(T34="三通",N35,IF(T34="四通",O35,IF(T34="五通",P35,IF(T34="六通",Q35,R35))))))</f>
        <v>通路、通电、通电、通上水、通下水、通热、燃气</v>
      </c>
      <c r="U35" s="2650"/>
      <c r="V35" s="2650"/>
    </row>
    <row r="36" spans="1:30">
      <c r="A36" s="2641"/>
      <c r="B36" s="671" t="s">
        <v>2927</v>
      </c>
      <c r="C36" s="671" t="s">
        <v>2928</v>
      </c>
      <c r="D36" s="671" t="s">
        <v>2926</v>
      </c>
      <c r="E36" s="671" t="s">
        <v>2931</v>
      </c>
      <c r="F36" s="2878"/>
      <c r="G36" s="2873"/>
      <c r="H36" s="2873"/>
      <c r="I36" s="2873"/>
      <c r="J36" s="2650"/>
      <c r="K36" s="2824"/>
      <c r="L36" s="2821"/>
      <c r="M36" s="2821"/>
      <c r="N36" s="2650"/>
      <c r="O36" s="2661"/>
      <c r="P36" s="2650"/>
      <c r="Q36" s="2650"/>
      <c r="R36" s="2650"/>
      <c r="S36" s="2650"/>
      <c r="T36" s="2650"/>
      <c r="U36" s="2650"/>
      <c r="V36" s="2650"/>
    </row>
    <row r="37" spans="1:30">
      <c r="A37" s="2839" t="s">
        <v>2971</v>
      </c>
      <c r="B37" s="2642"/>
      <c r="C37" s="2642"/>
      <c r="D37" s="2642"/>
      <c r="E37" s="2642"/>
      <c r="F37" s="2878"/>
      <c r="G37" s="2873"/>
      <c r="H37" s="2873"/>
      <c r="I37" s="2873"/>
      <c r="J37" s="2650"/>
      <c r="K37" s="2824"/>
      <c r="L37" s="2821"/>
      <c r="M37" s="2821"/>
      <c r="N37" s="2650"/>
      <c r="O37" s="2661"/>
      <c r="P37" s="2650"/>
      <c r="Q37" s="2650"/>
      <c r="R37" s="2650"/>
      <c r="S37" s="2650"/>
      <c r="T37" s="2650"/>
      <c r="U37" s="2650"/>
      <c r="V37" s="2650"/>
    </row>
    <row r="38" spans="1:30" ht="13.5" thickBot="1">
      <c r="A38" s="2840" t="s">
        <v>2972</v>
      </c>
      <c r="B38" s="2643"/>
      <c r="C38" s="2643"/>
      <c r="D38" s="2643"/>
      <c r="E38" s="2643"/>
      <c r="F38" s="2879"/>
      <c r="G38" s="2874"/>
      <c r="H38" s="2874"/>
      <c r="I38" s="2874"/>
      <c r="J38" s="2650"/>
      <c r="K38" s="2824"/>
      <c r="L38" s="2821"/>
      <c r="M38" s="2821"/>
      <c r="N38" s="2650"/>
      <c r="O38" s="2661"/>
      <c r="P38" s="2650"/>
      <c r="Q38" s="2650"/>
      <c r="R38" s="2650"/>
      <c r="S38" s="2650"/>
      <c r="T38" s="2650"/>
      <c r="U38" s="2650"/>
      <c r="V38" s="2650"/>
    </row>
    <row r="39" spans="1:30" s="2646" customFormat="1" ht="14.25" thickTop="1" thickBot="1">
      <c r="A39" s="2644" t="s">
        <v>2973</v>
      </c>
      <c r="B39" s="2645"/>
      <c r="C39" s="2645"/>
      <c r="D39" s="2645"/>
      <c r="E39" s="2645"/>
      <c r="F39" s="2645"/>
      <c r="G39" s="2645"/>
      <c r="H39" s="2645"/>
      <c r="I39" s="2645"/>
      <c r="J39" s="2831"/>
      <c r="K39" s="2832"/>
      <c r="L39" s="2831"/>
      <c r="M39" s="2831"/>
      <c r="N39" s="2831"/>
      <c r="O39" s="2833"/>
      <c r="P39" s="2831"/>
      <c r="Q39" s="2831"/>
      <c r="R39" s="2831"/>
      <c r="S39" s="2831"/>
      <c r="T39" s="2831"/>
      <c r="U39" s="2831"/>
      <c r="V39" s="2831"/>
      <c r="W39" s="2834"/>
      <c r="X39" s="2834"/>
      <c r="Y39" s="2834"/>
      <c r="Z39" s="2834"/>
      <c r="AA39" s="2834"/>
      <c r="AB39" s="2834"/>
      <c r="AC39" s="2834"/>
      <c r="AD39" s="2834"/>
    </row>
    <row r="40" spans="1:30">
      <c r="A40" s="2584"/>
      <c r="B40" s="2584"/>
      <c r="C40" s="2584"/>
      <c r="D40" s="2584"/>
      <c r="E40" s="2584"/>
      <c r="F40" s="2584"/>
      <c r="G40" s="2584"/>
      <c r="H40" s="2584"/>
      <c r="I40" s="1756"/>
      <c r="J40" s="2717"/>
      <c r="K40" s="2823"/>
      <c r="L40" s="2662"/>
      <c r="M40" s="2662"/>
      <c r="N40" s="2717"/>
      <c r="O40" s="2662"/>
      <c r="P40" s="2650"/>
      <c r="Q40" s="2650"/>
      <c r="R40" s="2650"/>
      <c r="S40" s="2650"/>
      <c r="T40" s="2650"/>
      <c r="U40" s="2650"/>
      <c r="V40" s="2650"/>
    </row>
    <row r="41" spans="1:30">
      <c r="A41" s="2647" t="s">
        <v>2974</v>
      </c>
      <c r="B41" s="1936"/>
      <c r="C41" s="1550"/>
      <c r="D41" s="2584"/>
      <c r="E41" s="2584"/>
      <c r="F41" s="2584"/>
      <c r="G41" s="2584"/>
      <c r="H41" s="2584"/>
      <c r="I41" s="1754"/>
      <c r="J41" s="2650"/>
      <c r="K41" s="2824"/>
      <c r="L41" s="2821"/>
      <c r="M41" s="2821"/>
      <c r="N41" s="2650"/>
      <c r="O41" s="2661"/>
      <c r="P41" s="2650"/>
      <c r="Q41" s="2650"/>
      <c r="R41" s="2650"/>
      <c r="S41" s="2650"/>
      <c r="T41" s="2650"/>
      <c r="U41" s="2650"/>
      <c r="V41" s="2650"/>
    </row>
    <row r="42" spans="1:30" ht="25.5">
      <c r="A42" s="329" t="s">
        <v>2975</v>
      </c>
      <c r="B42" s="11" t="s">
        <v>2976</v>
      </c>
      <c r="C42" s="11" t="s">
        <v>2977</v>
      </c>
      <c r="D42" s="11" t="s">
        <v>2978</v>
      </c>
      <c r="E42" s="11" t="s">
        <v>2979</v>
      </c>
      <c r="F42" s="11" t="s">
        <v>2980</v>
      </c>
      <c r="G42" s="11" t="s">
        <v>2981</v>
      </c>
      <c r="H42" s="11" t="s">
        <v>2982</v>
      </c>
      <c r="I42" s="11" t="s">
        <v>2983</v>
      </c>
      <c r="J42" s="2835" t="s">
        <v>2984</v>
      </c>
      <c r="K42" s="2836" t="s">
        <v>2985</v>
      </c>
      <c r="L42" s="2836" t="s">
        <v>2986</v>
      </c>
      <c r="M42" s="2836" t="s">
        <v>2987</v>
      </c>
      <c r="N42" s="2829" t="s">
        <v>2988</v>
      </c>
      <c r="O42" s="2829" t="s">
        <v>2989</v>
      </c>
      <c r="P42" s="2829" t="s">
        <v>2990</v>
      </c>
      <c r="Q42" s="2830" t="s">
        <v>2991</v>
      </c>
      <c r="R42" s="2830" t="s">
        <v>2992</v>
      </c>
      <c r="S42" s="2650"/>
      <c r="T42" s="2650"/>
      <c r="U42" s="2650"/>
      <c r="V42" s="2650"/>
    </row>
    <row r="43" spans="1:30" s="1922" customFormat="1">
      <c r="A43" s="1748"/>
      <c r="B43" s="1177"/>
      <c r="C43" s="1177"/>
      <c r="D43" s="1177"/>
      <c r="E43" s="1177"/>
      <c r="F43" s="1177"/>
      <c r="G43" s="1177"/>
      <c r="H43" s="1177"/>
      <c r="I43" s="1177"/>
      <c r="J43" s="2648"/>
      <c r="K43" s="2649"/>
      <c r="L43" s="2649"/>
      <c r="M43" s="1177"/>
      <c r="N43" s="1177"/>
      <c r="O43" s="1177"/>
      <c r="P43" s="1177"/>
      <c r="Q43" s="1177"/>
      <c r="R43" s="1177"/>
      <c r="S43" s="2650"/>
      <c r="T43" s="2650"/>
      <c r="U43" s="2650"/>
      <c r="V43" s="2650"/>
    </row>
    <row r="44" spans="1:30" s="1922" customFormat="1">
      <c r="A44" s="1748"/>
      <c r="B44" s="1748"/>
      <c r="C44" s="1177"/>
      <c r="D44" s="1177"/>
      <c r="E44" s="1177"/>
      <c r="F44" s="1177"/>
      <c r="G44" s="1177"/>
      <c r="H44" s="1177"/>
      <c r="I44" s="1177"/>
      <c r="J44" s="2648"/>
      <c r="K44" s="2649"/>
      <c r="L44" s="2649"/>
      <c r="M44" s="1177"/>
      <c r="N44" s="1177"/>
      <c r="O44" s="1177"/>
      <c r="P44" s="1177"/>
      <c r="Q44" s="1177"/>
      <c r="R44" s="1177"/>
      <c r="S44" s="2650"/>
      <c r="T44" s="2650"/>
      <c r="U44" s="2650"/>
      <c r="V44" s="2650"/>
    </row>
    <row r="45" spans="1:30" s="1922" customFormat="1">
      <c r="A45" s="1748"/>
      <c r="B45" s="1748"/>
      <c r="C45" s="1177"/>
      <c r="D45" s="1177"/>
      <c r="E45" s="1177"/>
      <c r="F45" s="1177"/>
      <c r="G45" s="1177"/>
      <c r="H45" s="1177"/>
      <c r="I45" s="1177"/>
      <c r="J45" s="2648"/>
      <c r="K45" s="2649"/>
      <c r="L45" s="2649"/>
      <c r="M45" s="1177"/>
      <c r="N45" s="1177"/>
      <c r="O45" s="1177"/>
      <c r="P45" s="1177"/>
      <c r="Q45" s="1177"/>
      <c r="R45" s="1177"/>
      <c r="S45" s="2650"/>
      <c r="T45" s="2650"/>
      <c r="U45" s="2650"/>
      <c r="V45" s="2650"/>
    </row>
    <row r="46" spans="1:30" s="1922" customFormat="1">
      <c r="A46" s="1748"/>
      <c r="B46" s="1748"/>
      <c r="C46" s="1177"/>
      <c r="D46" s="1177"/>
      <c r="E46" s="1177"/>
      <c r="F46" s="1177"/>
      <c r="G46" s="1177"/>
      <c r="H46" s="1177"/>
      <c r="I46" s="1177"/>
      <c r="J46" s="2648"/>
      <c r="K46" s="2649"/>
      <c r="L46" s="2649"/>
      <c r="M46" s="1177"/>
      <c r="N46" s="1177"/>
      <c r="O46" s="1177"/>
      <c r="P46" s="1177"/>
      <c r="Q46" s="1177"/>
      <c r="R46" s="1177"/>
      <c r="S46" s="2650"/>
      <c r="T46" s="2650"/>
      <c r="U46" s="2650"/>
      <c r="V46" s="2650"/>
    </row>
    <row r="47" spans="1:30" s="1922" customFormat="1">
      <c r="A47" s="1748"/>
      <c r="B47" s="1748"/>
      <c r="C47" s="1177"/>
      <c r="D47" s="1177"/>
      <c r="E47" s="1177"/>
      <c r="F47" s="1177"/>
      <c r="G47" s="1177"/>
      <c r="H47" s="1177"/>
      <c r="I47" s="1177"/>
      <c r="J47" s="2648"/>
      <c r="K47" s="2649"/>
      <c r="L47" s="2649"/>
      <c r="M47" s="1177"/>
      <c r="N47" s="1177"/>
      <c r="O47" s="1177"/>
      <c r="P47" s="1177"/>
      <c r="Q47" s="1177"/>
      <c r="R47" s="1177"/>
      <c r="S47" s="2650"/>
      <c r="T47" s="2650"/>
      <c r="U47" s="2650"/>
      <c r="V47" s="2650"/>
    </row>
    <row r="48" spans="1:30" s="1922" customFormat="1">
      <c r="A48" s="1748"/>
      <c r="B48" s="1748"/>
      <c r="C48" s="1177"/>
      <c r="D48" s="1177"/>
      <c r="E48" s="1177"/>
      <c r="F48" s="1177"/>
      <c r="G48" s="1177"/>
      <c r="H48" s="1177"/>
      <c r="I48" s="1177"/>
      <c r="J48" s="2648"/>
      <c r="K48" s="2649"/>
      <c r="L48" s="2649"/>
      <c r="M48" s="1177"/>
      <c r="N48" s="1177"/>
      <c r="O48" s="1177"/>
      <c r="P48" s="1177"/>
      <c r="Q48" s="1177"/>
      <c r="R48" s="1177"/>
      <c r="S48" s="2650"/>
      <c r="T48" s="2650"/>
      <c r="U48" s="2650"/>
      <c r="V48" s="2650"/>
    </row>
    <row r="49" spans="1:22" s="1922" customFormat="1">
      <c r="A49" s="1748"/>
      <c r="B49" s="1748"/>
      <c r="C49" s="1177"/>
      <c r="D49" s="1177"/>
      <c r="E49" s="1177"/>
      <c r="F49" s="1177"/>
      <c r="G49" s="1177"/>
      <c r="H49" s="1177"/>
      <c r="I49" s="1177"/>
      <c r="J49" s="2648"/>
      <c r="K49" s="2649"/>
      <c r="L49" s="2649"/>
      <c r="M49" s="1177"/>
      <c r="N49" s="1177"/>
      <c r="O49" s="1177"/>
      <c r="P49" s="1177"/>
      <c r="Q49" s="1177"/>
      <c r="R49" s="1177"/>
      <c r="S49" s="2650"/>
      <c r="T49" s="2650"/>
      <c r="U49" s="2650"/>
      <c r="V49" s="2650"/>
    </row>
    <row r="50" spans="1:22" s="1922" customFormat="1">
      <c r="A50" s="1748"/>
      <c r="B50" s="1748"/>
      <c r="C50" s="1177"/>
      <c r="D50" s="1177"/>
      <c r="E50" s="1177"/>
      <c r="F50" s="1177"/>
      <c r="G50" s="1177"/>
      <c r="H50" s="1177"/>
      <c r="I50" s="1177"/>
      <c r="J50" s="2648"/>
      <c r="K50" s="2649"/>
      <c r="L50" s="2649"/>
      <c r="M50" s="1177"/>
      <c r="N50" s="1177"/>
      <c r="O50" s="1177"/>
      <c r="P50" s="1177"/>
      <c r="Q50" s="1177"/>
      <c r="R50" s="1177"/>
      <c r="S50" s="2650"/>
      <c r="T50" s="2650"/>
      <c r="U50" s="2650"/>
      <c r="V50" s="2650"/>
    </row>
    <row r="51" spans="1:22" s="1922" customFormat="1">
      <c r="A51" s="1748"/>
      <c r="B51" s="1748"/>
      <c r="C51" s="1177"/>
      <c r="D51" s="1177"/>
      <c r="E51" s="1177"/>
      <c r="F51" s="1177"/>
      <c r="G51" s="1177"/>
      <c r="H51" s="1177"/>
      <c r="I51" s="1177"/>
      <c r="J51" s="2648"/>
      <c r="K51" s="2649"/>
      <c r="L51" s="2649"/>
      <c r="M51" s="1177"/>
      <c r="N51" s="1177"/>
      <c r="O51" s="1177"/>
      <c r="P51" s="1177"/>
      <c r="Q51" s="1177"/>
      <c r="R51" s="1177"/>
    </row>
    <row r="52" spans="1:22" s="1922" customFormat="1">
      <c r="A52" s="1748"/>
      <c r="B52" s="1748"/>
      <c r="C52" s="1748"/>
      <c r="D52" s="1748"/>
      <c r="E52" s="1748"/>
      <c r="F52" s="1177"/>
      <c r="G52" s="1748"/>
      <c r="H52" s="1748"/>
      <c r="I52" s="1748"/>
      <c r="J52" s="2651"/>
      <c r="K52" s="2649"/>
      <c r="L52" s="2649"/>
      <c r="M52" s="2649"/>
      <c r="N52" s="1748"/>
      <c r="O52" s="1748"/>
      <c r="P52" s="1748"/>
      <c r="Q52" s="1748"/>
      <c r="R52" s="1748"/>
    </row>
    <row r="53" spans="1:22" s="1922" customFormat="1">
      <c r="A53" s="1748"/>
      <c r="B53" s="1748"/>
      <c r="C53" s="1748"/>
      <c r="D53" s="1748"/>
      <c r="E53" s="1748"/>
      <c r="F53" s="1177"/>
      <c r="G53" s="1748"/>
      <c r="H53" s="1748"/>
      <c r="I53" s="1748"/>
      <c r="J53" s="2651"/>
      <c r="K53" s="2649"/>
      <c r="L53" s="2649"/>
      <c r="M53" s="2649"/>
      <c r="N53" s="1748"/>
      <c r="O53" s="1748"/>
      <c r="P53" s="1748"/>
      <c r="Q53" s="1748"/>
      <c r="R53" s="1748"/>
    </row>
    <row r="54" spans="1:22" s="1922" customFormat="1">
      <c r="A54" s="1748"/>
      <c r="B54" s="1748"/>
      <c r="C54" s="1748"/>
      <c r="D54" s="1748"/>
      <c r="E54" s="1748"/>
      <c r="F54" s="1177"/>
      <c r="G54" s="1748"/>
      <c r="H54" s="1748"/>
      <c r="I54" s="1748"/>
      <c r="J54" s="2651"/>
      <c r="K54" s="2649"/>
      <c r="L54" s="2649"/>
      <c r="M54" s="2649"/>
      <c r="N54" s="1748"/>
      <c r="O54" s="1748"/>
      <c r="P54" s="1748"/>
      <c r="Q54" s="1748"/>
      <c r="R54" s="1748"/>
    </row>
    <row r="55" spans="1:22" s="1922" customFormat="1">
      <c r="A55" s="1748"/>
      <c r="B55" s="1748"/>
      <c r="C55" s="1748"/>
      <c r="D55" s="1748"/>
      <c r="E55" s="1748"/>
      <c r="F55" s="1177"/>
      <c r="G55" s="1748"/>
      <c r="H55" s="1748"/>
      <c r="I55" s="1748"/>
      <c r="J55" s="2651"/>
      <c r="K55" s="2649"/>
      <c r="L55" s="2649"/>
      <c r="M55" s="2649"/>
      <c r="N55" s="1748"/>
      <c r="O55" s="1748"/>
      <c r="P55" s="1748"/>
      <c r="Q55" s="1748"/>
      <c r="R55" s="1748"/>
    </row>
    <row r="56" spans="1:22" s="1922" customFormat="1">
      <c r="A56" s="1748"/>
      <c r="B56" s="1748"/>
      <c r="C56" s="1748"/>
      <c r="D56" s="1748"/>
      <c r="E56" s="1748"/>
      <c r="F56" s="1177"/>
      <c r="G56" s="1748"/>
      <c r="H56" s="1748"/>
      <c r="I56" s="1748"/>
      <c r="J56" s="2651"/>
      <c r="K56" s="2649"/>
      <c r="L56" s="2649"/>
      <c r="M56" s="2649"/>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1" customWidth="1"/>
    <col min="2" max="2" width="11" style="1751" customWidth="1"/>
    <col min="3" max="3" width="13.125" style="1751" bestFit="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4" t="s">
        <v>1752</v>
      </c>
      <c r="AZ2" s="1175"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699.97</v>
      </c>
      <c r="B3" s="14">
        <f>IF(C3="否",G5-AT5,G5)</f>
        <v>6153.5</v>
      </c>
      <c r="C3" s="1758" t="s">
        <v>1755</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6"/>
      <c r="AZ3" s="1177"/>
      <c r="BA3" s="1178"/>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1756</v>
      </c>
      <c r="B5" s="1524"/>
      <c r="C5" s="1524"/>
      <c r="D5" s="1526"/>
      <c r="E5" s="16" t="s">
        <v>1</v>
      </c>
      <c r="F5" s="16">
        <f>SUM(F13:F587)</f>
        <v>0</v>
      </c>
      <c r="G5" s="16">
        <f>SUM(G13:G587)</f>
        <v>6153.5</v>
      </c>
      <c r="H5" s="16">
        <f t="shared" ref="H5:AT5" si="0">SUM(H13:H656)</f>
        <v>6153.5</v>
      </c>
      <c r="I5" s="16">
        <f t="shared" si="0"/>
        <v>0</v>
      </c>
      <c r="J5" s="16">
        <f t="shared" si="0"/>
        <v>0</v>
      </c>
      <c r="K5" s="16">
        <f t="shared" si="0"/>
        <v>6153.5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1756</v>
      </c>
      <c r="AW5" s="1524"/>
      <c r="AX5" s="1524"/>
      <c r="AY5" s="17" t="s">
        <v>3</v>
      </c>
      <c r="AZ5" s="18">
        <f t="shared" ref="AZ5:BT5" si="1">SUM(AZ13:AZ656)</f>
        <v>1954.06</v>
      </c>
      <c r="BA5" s="18">
        <f t="shared" si="1"/>
        <v>1954.06</v>
      </c>
      <c r="BB5" s="18">
        <f t="shared" si="1"/>
        <v>0</v>
      </c>
      <c r="BC5" s="18">
        <f t="shared" si="1"/>
        <v>1954.06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1757</v>
      </c>
      <c r="B6" s="1764"/>
      <c r="C6" s="1764"/>
      <c r="D6" s="1765"/>
      <c r="E6" s="16">
        <f>H6+AC6+AT6</f>
        <v>699.97</v>
      </c>
      <c r="F6" s="16" t="s">
        <v>1</v>
      </c>
      <c r="G6" s="16" t="s">
        <v>2</v>
      </c>
      <c r="H6" s="20">
        <f>SUMIF(I$12:AB$12,"总值",I6:AB6)</f>
        <v>699.97</v>
      </c>
      <c r="I6" s="16">
        <f t="shared" ref="I6:AB6" si="2">ROUND($A$3*I5/$B$3,2)</f>
        <v>0</v>
      </c>
      <c r="J6" s="16">
        <f t="shared" si="2"/>
        <v>0</v>
      </c>
      <c r="K6" s="16">
        <f t="shared" si="2"/>
        <v>699.97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1757</v>
      </c>
      <c r="AW6" s="1764"/>
      <c r="AX6" s="1764"/>
      <c r="AY6" s="21">
        <f>IF(AY3&gt;0,AY3,ROUND($A$3*AZ5/$B$3,2))</f>
        <v>222.28</v>
      </c>
      <c r="AZ6" s="16" t="s">
        <v>3</v>
      </c>
      <c r="BA6" s="16">
        <f>ROUND($AY$6*BA5/$AZ$5,2)</f>
        <v>222.28</v>
      </c>
      <c r="BB6" s="16">
        <f>ROUND($AY$6*BB5/$AZ$5,2)</f>
        <v>0</v>
      </c>
      <c r="BC6" s="16">
        <f t="shared" ref="BC6:BH6" si="4">ROUND($AY$6*BC5/$AZ$5,2)</f>
        <v>222.28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1758</v>
      </c>
      <c r="B7" s="1747" t="s">
        <v>1759</v>
      </c>
      <c r="C7" s="1747" t="s">
        <v>1760</v>
      </c>
      <c r="D7" s="1747" t="s">
        <v>1761</v>
      </c>
      <c r="E7" s="1747" t="s">
        <v>1762</v>
      </c>
      <c r="F7" s="1747" t="s">
        <v>1763</v>
      </c>
      <c r="G7" s="1768" t="s">
        <v>1764</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1765</v>
      </c>
      <c r="AV7" s="23" t="s">
        <v>1766</v>
      </c>
      <c r="AW7" s="1756" t="s">
        <v>1767</v>
      </c>
      <c r="AX7" s="23" t="s">
        <v>1760</v>
      </c>
      <c r="AY7" s="1524" t="s">
        <v>1768</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1769</v>
      </c>
      <c r="H8" s="1774" t="s">
        <v>1770</v>
      </c>
      <c r="I8" s="1775"/>
      <c r="J8" s="1537"/>
      <c r="K8" s="1537"/>
      <c r="L8" s="1537"/>
      <c r="M8" s="1537"/>
      <c r="N8" s="1537"/>
      <c r="O8" s="1537"/>
      <c r="P8" s="1537"/>
      <c r="Q8" s="1537"/>
      <c r="R8" s="1537"/>
      <c r="S8" s="1537"/>
      <c r="T8" s="1537"/>
      <c r="U8" s="1537"/>
      <c r="V8" s="1776"/>
      <c r="W8" s="1537"/>
      <c r="X8" s="1537"/>
      <c r="Y8" s="1537"/>
      <c r="Z8" s="1537"/>
      <c r="AA8" s="1776"/>
      <c r="AB8" s="1777"/>
      <c r="AC8" s="916" t="s">
        <v>1771</v>
      </c>
      <c r="AD8" s="1778"/>
      <c r="AE8" s="1770"/>
      <c r="AF8" s="1537"/>
      <c r="AG8" s="1537"/>
      <c r="AH8" s="1537"/>
      <c r="AI8" s="1537"/>
      <c r="AJ8" s="1537"/>
      <c r="AK8" s="1537"/>
      <c r="AL8" s="1537"/>
      <c r="AM8" s="1537"/>
      <c r="AN8" s="1537"/>
      <c r="AO8" s="1537"/>
      <c r="AP8" s="1537"/>
      <c r="AQ8" s="1537"/>
      <c r="AR8" s="1537"/>
      <c r="AS8" s="1537"/>
      <c r="AT8" s="1197" t="s">
        <v>1772</v>
      </c>
      <c r="AU8" s="1772" t="s">
        <v>1773</v>
      </c>
      <c r="AV8" s="1197"/>
      <c r="AW8" s="1755"/>
      <c r="AX8" s="1197"/>
      <c r="AY8" s="1756" t="s">
        <v>1774</v>
      </c>
      <c r="AZ8" s="1536" t="s">
        <v>1775</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7"/>
      <c r="H9" s="1780" t="s">
        <v>1776</v>
      </c>
      <c r="I9" s="1781" t="s">
        <v>3066</v>
      </c>
      <c r="J9" s="916"/>
      <c r="K9" s="1781" t="s">
        <v>3066</v>
      </c>
      <c r="L9" s="916"/>
      <c r="M9" s="1781" t="s">
        <v>3106</v>
      </c>
      <c r="N9" s="916"/>
      <c r="O9" s="1781"/>
      <c r="P9" s="916"/>
      <c r="Q9" s="1781"/>
      <c r="R9" s="916"/>
      <c r="S9" s="1781"/>
      <c r="T9" s="916"/>
      <c r="U9" s="1781"/>
      <c r="V9" s="916"/>
      <c r="W9" s="1781"/>
      <c r="X9" s="1782"/>
      <c r="Y9" s="1781"/>
      <c r="Z9" s="916"/>
      <c r="AA9" s="1781"/>
      <c r="AB9" s="916"/>
      <c r="AC9" s="1773" t="s">
        <v>1776</v>
      </c>
      <c r="AD9" s="15" t="s">
        <v>1777</v>
      </c>
      <c r="AE9" s="1203"/>
      <c r="AF9" s="15" t="s">
        <v>1778</v>
      </c>
      <c r="AG9" s="1203"/>
      <c r="AH9" s="15" t="s">
        <v>1777</v>
      </c>
      <c r="AI9" s="1203"/>
      <c r="AJ9" s="15" t="s">
        <v>1778</v>
      </c>
      <c r="AK9" s="1203"/>
      <c r="AL9" s="15" t="s">
        <v>1777</v>
      </c>
      <c r="AM9" s="1203"/>
      <c r="AN9" s="15" t="s">
        <v>1778</v>
      </c>
      <c r="AO9" s="1203"/>
      <c r="AP9" s="15" t="s">
        <v>1777</v>
      </c>
      <c r="AQ9" s="1203"/>
      <c r="AR9" s="15" t="s">
        <v>1778</v>
      </c>
      <c r="AS9" s="1783"/>
      <c r="AT9" s="1772"/>
      <c r="AU9" s="1772" t="s">
        <v>1779</v>
      </c>
      <c r="AV9" s="1197"/>
      <c r="AW9" s="1755"/>
      <c r="AX9" s="1197"/>
      <c r="AY9" s="28"/>
      <c r="AZ9" s="28" t="s">
        <v>1769</v>
      </c>
      <c r="BA9" s="1784" t="s">
        <v>1780</v>
      </c>
      <c r="BB9" s="1785"/>
      <c r="BC9" s="1243"/>
      <c r="BD9" s="1243"/>
      <c r="BE9" s="1243"/>
      <c r="BF9" s="1243"/>
      <c r="BG9" s="1243"/>
      <c r="BH9" s="1243"/>
      <c r="BI9" s="1243"/>
      <c r="BJ9" s="1243"/>
      <c r="BK9" s="1786"/>
      <c r="BL9" s="15" t="s">
        <v>1781</v>
      </c>
      <c r="BM9" s="1537"/>
      <c r="BN9" s="1775"/>
      <c r="BO9" s="1537"/>
      <c r="BP9" s="1537"/>
      <c r="BQ9" s="1537"/>
      <c r="BR9" s="1537"/>
      <c r="BS9" s="1537"/>
      <c r="BT9" s="26"/>
    </row>
    <row r="10" spans="1:72" s="1779" customFormat="1" ht="12.75">
      <c r="A10" s="1772"/>
      <c r="B10" s="1772"/>
      <c r="C10" s="1772"/>
      <c r="D10" s="1772"/>
      <c r="E10" s="1772"/>
      <c r="F10" s="1772"/>
      <c r="G10" s="1197"/>
      <c r="H10" s="28"/>
      <c r="I10" s="1781" t="s">
        <v>27</v>
      </c>
      <c r="J10" s="916"/>
      <c r="K10" s="1787" t="s">
        <v>1343</v>
      </c>
      <c r="L10" s="916"/>
      <c r="M10" s="1787" t="s">
        <v>1343</v>
      </c>
      <c r="N10" s="916"/>
      <c r="O10" s="1787"/>
      <c r="P10" s="916"/>
      <c r="Q10" s="1787"/>
      <c r="R10" s="916"/>
      <c r="S10" s="1787"/>
      <c r="T10" s="916"/>
      <c r="U10" s="1787"/>
      <c r="V10" s="916"/>
      <c r="W10" s="1787"/>
      <c r="X10" s="916"/>
      <c r="Y10" s="1787"/>
      <c r="Z10" s="916"/>
      <c r="AA10" s="1787"/>
      <c r="AB10" s="916"/>
      <c r="AC10" s="1197"/>
      <c r="AD10" s="15" t="s">
        <v>1782</v>
      </c>
      <c r="AE10" s="1788"/>
      <c r="AF10" s="15" t="s">
        <v>1782</v>
      </c>
      <c r="AG10" s="1788"/>
      <c r="AH10" s="15" t="s">
        <v>1783</v>
      </c>
      <c r="AI10" s="1788"/>
      <c r="AJ10" s="15" t="s">
        <v>1783</v>
      </c>
      <c r="AK10" s="1788"/>
      <c r="AL10" s="15" t="s">
        <v>1784</v>
      </c>
      <c r="AM10" s="1203"/>
      <c r="AN10" s="15" t="s">
        <v>1784</v>
      </c>
      <c r="AO10" s="1203"/>
      <c r="AP10" s="15" t="s">
        <v>1785</v>
      </c>
      <c r="AQ10" s="1203"/>
      <c r="AR10" s="15" t="s">
        <v>1785</v>
      </c>
      <c r="AS10" s="1203"/>
      <c r="AT10" s="1772"/>
      <c r="AU10" s="1772"/>
      <c r="AV10" s="1197"/>
      <c r="AW10" s="1755"/>
      <c r="AX10" s="1197"/>
      <c r="AY10" s="28"/>
      <c r="AZ10" s="28"/>
      <c r="BA10" s="1789" t="s">
        <v>1776</v>
      </c>
      <c r="BB10" s="1790"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7"/>
      <c r="H11" s="1789"/>
      <c r="I11" s="1792" t="s">
        <v>3107</v>
      </c>
      <c r="J11" s="1793"/>
      <c r="K11" s="1792" t="s">
        <v>3108</v>
      </c>
      <c r="L11" s="1793"/>
      <c r="M11" s="1792" t="s">
        <v>3108</v>
      </c>
      <c r="N11" s="1793"/>
      <c r="O11" s="1792"/>
      <c r="P11" s="1793"/>
      <c r="Q11" s="1792"/>
      <c r="R11" s="1793"/>
      <c r="S11" s="1792"/>
      <c r="T11" s="1793"/>
      <c r="U11" s="1792"/>
      <c r="V11" s="1793"/>
      <c r="W11" s="1792"/>
      <c r="X11" s="1793"/>
      <c r="Y11" s="1792"/>
      <c r="Z11" s="1793"/>
      <c r="AA11" s="1792"/>
      <c r="AB11" s="1793"/>
      <c r="AC11" s="1197"/>
      <c r="AD11" s="1794" t="s">
        <v>1786</v>
      </c>
      <c r="AE11" s="1538"/>
      <c r="AF11" s="1794" t="s">
        <v>1786</v>
      </c>
      <c r="AG11" s="1538"/>
      <c r="AH11" s="1794" t="s">
        <v>1787</v>
      </c>
      <c r="AI11" s="1795"/>
      <c r="AJ11" s="1794" t="s">
        <v>1787</v>
      </c>
      <c r="AK11" s="1538"/>
      <c r="AL11" s="1536"/>
      <c r="AM11" s="1538"/>
      <c r="AN11" s="1536"/>
      <c r="AO11" s="1538"/>
      <c r="AP11" s="1536"/>
      <c r="AQ11" s="1538"/>
      <c r="AR11" s="1536"/>
      <c r="AS11" s="1538"/>
      <c r="AT11" s="1755"/>
      <c r="AU11" s="1772"/>
      <c r="AV11" s="1197"/>
      <c r="AW11" s="1755"/>
      <c r="AX11" s="1197"/>
      <c r="AY11" s="28"/>
      <c r="AZ11" s="28"/>
      <c r="BA11" s="28"/>
      <c r="BB11" s="1777" t="str">
        <f>I10</f>
        <v>办公</v>
      </c>
      <c r="BC11" s="1777" t="str">
        <f>K10</f>
        <v>商业</v>
      </c>
      <c r="BD11" s="1777" t="str">
        <f>M10</f>
        <v>商业</v>
      </c>
      <c r="BE11" s="1777">
        <f>O10</f>
        <v>0</v>
      </c>
      <c r="BF11" s="1777">
        <f>Q10</f>
        <v>0</v>
      </c>
      <c r="BG11" s="1777">
        <f>S10</f>
        <v>0</v>
      </c>
      <c r="BH11" s="1777">
        <f>U10</f>
        <v>0</v>
      </c>
      <c r="BI11" s="1777">
        <f>W10</f>
        <v>0</v>
      </c>
      <c r="BJ11" s="1777">
        <f>Y10</f>
        <v>0</v>
      </c>
      <c r="BK11" s="1777">
        <f>AA10</f>
        <v>0</v>
      </c>
      <c r="BL11" s="1197"/>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3" t="s">
        <v>1789</v>
      </c>
      <c r="W12" s="11" t="s">
        <v>1788</v>
      </c>
      <c r="X12" s="11" t="s">
        <v>1789</v>
      </c>
      <c r="Y12" s="11" t="s">
        <v>1788</v>
      </c>
      <c r="Z12" s="11" t="s">
        <v>1789</v>
      </c>
      <c r="AA12" s="11" t="s">
        <v>1788</v>
      </c>
      <c r="AB12" s="11" t="s">
        <v>1789</v>
      </c>
      <c r="AC12" s="1799"/>
      <c r="AD12" s="152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7" t="s">
        <v>1789</v>
      </c>
      <c r="AT12" s="1800"/>
      <c r="AU12" s="1797"/>
      <c r="AV12" s="31"/>
      <c r="AW12" s="1756"/>
      <c r="AX12" s="31"/>
      <c r="AY12" s="1801"/>
      <c r="AZ12" s="28"/>
      <c r="BA12" s="1789"/>
      <c r="BB12" s="24" t="str">
        <f>I11</f>
        <v>办公楼</v>
      </c>
      <c r="BC12" s="1802" t="str">
        <f>K11</f>
        <v>底商</v>
      </c>
      <c r="BD12" s="1802" t="str">
        <f>M11</f>
        <v>底商</v>
      </c>
      <c r="BE12" s="1777">
        <f>O11</f>
        <v>0</v>
      </c>
      <c r="BF12" s="1777">
        <f>Q11</f>
        <v>0</v>
      </c>
      <c r="BG12" s="1777">
        <f>S11</f>
        <v>0</v>
      </c>
      <c r="BH12" s="1777">
        <f>U11</f>
        <v>0</v>
      </c>
      <c r="BI12" s="1777">
        <f>W11</f>
        <v>0</v>
      </c>
      <c r="BJ12" s="1777">
        <f>Y11</f>
        <v>0</v>
      </c>
      <c r="BK12" s="1777">
        <f>AA11</f>
        <v>0</v>
      </c>
      <c r="BL12" s="1197"/>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7"/>
      <c r="B13" s="1177"/>
      <c r="C13" s="1177" t="s">
        <v>3191</v>
      </c>
      <c r="D13" s="1803" t="s">
        <v>3055</v>
      </c>
      <c r="E13" s="16">
        <f>IF($C$3="是",ROUND($A$3*G13/$B$3,2),ROUND($A$3*(G13-AT13)/$B$3,2))</f>
        <v>222.28</v>
      </c>
      <c r="F13" s="32"/>
      <c r="G13" s="33">
        <f>H13+AC13+AT13</f>
        <v>1954.06</v>
      </c>
      <c r="H13" s="20">
        <f>SUMIF(I$12:AB$12,"总值",I13:AB13)</f>
        <v>1954.06</v>
      </c>
      <c r="I13" s="1804"/>
      <c r="J13" s="1804"/>
      <c r="K13" s="3084">
        <v>1954.06</v>
      </c>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1层</v>
      </c>
      <c r="AY13" s="1526">
        <f>ROUND($AY$6*AZ13/$AZ$5,2)</f>
        <v>222.28</v>
      </c>
      <c r="AZ13" s="16">
        <f>BA13+BL13</f>
        <v>1954.06</v>
      </c>
      <c r="BA13" s="16">
        <f>SUM(BB13:BK13)</f>
        <v>1954.06</v>
      </c>
      <c r="BB13" s="16">
        <f>IF($D13="是",I13-J13,0)</f>
        <v>0</v>
      </c>
      <c r="BC13" s="16">
        <f>IF($D13="是",K13-L13,0)</f>
        <v>1954.06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7"/>
      <c r="B14" s="1177"/>
      <c r="C14" s="1177" t="s">
        <v>3192</v>
      </c>
      <c r="D14" s="1803" t="s">
        <v>3109</v>
      </c>
      <c r="E14" s="16">
        <f>IF($C$3="是",ROUND($A$3*G14/$B$3,2),ROUND($A$3*(G14-AT14)/$B$3,2))</f>
        <v>271.79000000000002</v>
      </c>
      <c r="F14" s="32"/>
      <c r="G14" s="33">
        <f>H14+AC14+AT14</f>
        <v>2389.34</v>
      </c>
      <c r="H14" s="20">
        <f>SUMIF(I$12:AB$12,"总值",I14:AB14)</f>
        <v>2389.34</v>
      </c>
      <c r="I14" s="1804"/>
      <c r="J14" s="1804"/>
      <c r="K14" s="3085">
        <v>2389.34</v>
      </c>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7"/>
      <c r="B15" s="1177"/>
      <c r="C15" s="1177" t="s">
        <v>3193</v>
      </c>
      <c r="D15" s="1803" t="s">
        <v>3109</v>
      </c>
      <c r="E15" s="16">
        <f>IF($C$3="是",ROUND($A$3*G15/$B$3,2),ROUND($A$3*(G15-AT15)/$B$3,2))</f>
        <v>205.9</v>
      </c>
      <c r="F15" s="32"/>
      <c r="G15" s="33">
        <f>H15+AC15+AT15</f>
        <v>1810.1</v>
      </c>
      <c r="H15" s="20">
        <f>SUMIF(I$12:AB$12,"总值",I15:AB15)</f>
        <v>1810.1</v>
      </c>
      <c r="I15" s="1804"/>
      <c r="J15" s="1804"/>
      <c r="K15" s="3085">
        <v>1810.1</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3层</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7"/>
      <c r="B16" s="1177"/>
      <c r="C16" s="3057"/>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7"/>
      <c r="B17" s="1177"/>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12061</v>
      </c>
      <c r="B19" s="34">
        <f ca="1">典型户型修正!S22</f>
        <v>12673</v>
      </c>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12061</v>
      </c>
      <c r="AW19" s="1520">
        <f t="shared" ca="1" si="12"/>
        <v>12673</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f>A19*1.05</f>
        <v>12664.050000000001</v>
      </c>
      <c r="B20" s="34">
        <f ca="1">B19-A19</f>
        <v>612</v>
      </c>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12664.050000000001</v>
      </c>
      <c r="AW20" s="1520">
        <f t="shared" ca="1" si="12"/>
        <v>612</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f>A20-A19</f>
        <v>603.05000000000109</v>
      </c>
      <c r="B21" s="3087">
        <f ca="1">(B19-A19)/A19</f>
        <v>5.074206118895614E-2</v>
      </c>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603.05000000000109</v>
      </c>
      <c r="AW21" s="1520">
        <f t="shared" ca="1" si="12"/>
        <v>5.074206118895614E-2</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C23"/>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5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1815</v>
      </c>
      <c r="B1" s="1296"/>
      <c r="C1" s="1296"/>
      <c r="D1" s="1296"/>
      <c r="E1" s="1296"/>
      <c r="F1" s="1296"/>
      <c r="G1" s="1296"/>
      <c r="H1" s="1296"/>
      <c r="I1" s="1296"/>
      <c r="J1" s="1296"/>
      <c r="K1" s="1296"/>
      <c r="L1" s="1296"/>
      <c r="M1" s="1296"/>
      <c r="N1" s="1296"/>
      <c r="O1" s="1296"/>
      <c r="P1" s="1296"/>
    </row>
    <row r="2" spans="1:16" ht="15">
      <c r="A2" s="3179" t="s">
        <v>1816</v>
      </c>
      <c r="B2" s="3179"/>
      <c r="C2" s="3179"/>
      <c r="D2" s="902" t="s">
        <v>1792</v>
      </c>
      <c r="E2" s="1817" t="s">
        <v>1793</v>
      </c>
      <c r="F2" s="2868"/>
      <c r="G2" s="2859"/>
      <c r="H2" s="2860"/>
      <c r="I2" s="2538" t="s">
        <v>1817</v>
      </c>
      <c r="J2" s="2868"/>
      <c r="K2" s="2868"/>
      <c r="L2" s="2868"/>
      <c r="M2" s="2868"/>
      <c r="N2" s="2870"/>
      <c r="O2" s="2868"/>
      <c r="P2" s="2868"/>
    </row>
    <row r="3" spans="1:16" ht="15.75" thickBot="1">
      <c r="A3" s="3180" t="s">
        <v>1790</v>
      </c>
      <c r="B3" s="3180"/>
      <c r="C3" s="3180"/>
      <c r="D3" s="46">
        <f>'数据-基础表'!AY6</f>
        <v>222.28</v>
      </c>
      <c r="E3" s="46">
        <f>'数据-基础表'!AZ5</f>
        <v>1954.06</v>
      </c>
      <c r="F3" s="2868"/>
      <c r="G3" s="1302"/>
      <c r="H3" s="1152" t="s">
        <v>1791</v>
      </c>
      <c r="I3" s="962">
        <f>ROUND('数据-基础表'!B3/'数据-基础表'!A3,2)</f>
        <v>8.7899999999999991</v>
      </c>
      <c r="J3" s="2868"/>
      <c r="K3" s="2868"/>
      <c r="L3" s="2868"/>
      <c r="M3" s="2868"/>
      <c r="N3" s="2870"/>
      <c r="O3" s="2868"/>
      <c r="P3" s="2868"/>
    </row>
    <row r="4" spans="1:16" ht="15">
      <c r="A4" s="3181"/>
      <c r="B4" s="3182"/>
      <c r="C4" s="3183"/>
      <c r="D4" s="1819" t="s">
        <v>1792</v>
      </c>
      <c r="E4" s="1820" t="s">
        <v>1793</v>
      </c>
      <c r="F4" s="2868"/>
      <c r="G4" s="2861" t="s">
        <v>1818</v>
      </c>
      <c r="H4" s="1152" t="s">
        <v>1798</v>
      </c>
      <c r="I4" s="962">
        <f>ROUND(SUMIF('数据-基础表'!I9:AS9,"地上",'数据-基础表'!I5:AS5)/'数据-基础表'!A3,2)</f>
        <v>8.7899999999999991</v>
      </c>
      <c r="J4" s="2868"/>
      <c r="K4" s="2868"/>
      <c r="L4" s="2868"/>
      <c r="M4" s="2868"/>
      <c r="N4" s="2870"/>
      <c r="O4" s="2868"/>
      <c r="P4" s="2868"/>
    </row>
    <row r="5" spans="1:16">
      <c r="A5" s="47" t="s">
        <v>1794</v>
      </c>
      <c r="B5" s="3184" t="s">
        <v>1795</v>
      </c>
      <c r="C5" s="3184"/>
      <c r="D5" s="48">
        <f>ROUND($D$3*E5/$E$3,2)</f>
        <v>0</v>
      </c>
      <c r="E5" s="49">
        <f>SUMIF('数据-基础表'!$11:$11,"住宅",'数据-基础表'!$5:$5)</f>
        <v>0</v>
      </c>
      <c r="F5" s="2868"/>
      <c r="G5" s="1302"/>
      <c r="H5" s="1152" t="s">
        <v>1791</v>
      </c>
      <c r="I5" s="962">
        <f>ROUND(E31/D31,2)</f>
        <v>8.7899999999999991</v>
      </c>
      <c r="J5" s="2868"/>
      <c r="K5" s="2868"/>
      <c r="L5" s="2868"/>
      <c r="M5" s="2868"/>
      <c r="N5" s="2868"/>
      <c r="O5" s="2868"/>
      <c r="P5" s="2868"/>
    </row>
    <row r="6" spans="1:16" ht="15" thickBot="1">
      <c r="A6" s="1822"/>
      <c r="B6" s="3184" t="s">
        <v>1796</v>
      </c>
      <c r="C6" s="3184"/>
      <c r="D6" s="48">
        <f>ROUND($D$3*E6/$E$3,2)</f>
        <v>222.28</v>
      </c>
      <c r="E6" s="49">
        <f>E3-E5</f>
        <v>1954.06</v>
      </c>
      <c r="F6" s="2868"/>
      <c r="G6" s="2862" t="s">
        <v>1797</v>
      </c>
      <c r="H6" s="1303" t="s">
        <v>1798</v>
      </c>
      <c r="I6" s="2863">
        <f>ROUND(F31/D31,2)</f>
        <v>8.7899999999999991</v>
      </c>
      <c r="J6" s="2868"/>
      <c r="K6" s="2868"/>
      <c r="L6" s="2868"/>
      <c r="M6" s="2868"/>
      <c r="N6" s="2868"/>
      <c r="O6" s="2868"/>
      <c r="P6" s="2868"/>
    </row>
    <row r="7" spans="1:16" ht="15.75" thickBot="1">
      <c r="A7" s="3176"/>
      <c r="B7" s="3177"/>
      <c r="C7" s="3178"/>
      <c r="D7" s="1819" t="s">
        <v>1792</v>
      </c>
      <c r="E7" s="1823" t="s">
        <v>1799</v>
      </c>
      <c r="F7" s="2868"/>
      <c r="G7" s="2864" t="s">
        <v>1800</v>
      </c>
      <c r="H7" s="2865"/>
      <c r="I7" s="2866"/>
      <c r="J7" s="2868"/>
      <c r="K7" s="2868"/>
      <c r="L7" s="2868"/>
      <c r="M7" s="2868"/>
      <c r="N7" s="2868"/>
      <c r="O7" s="2868"/>
      <c r="P7" s="2868"/>
    </row>
    <row r="8" spans="1:16">
      <c r="A8" s="47" t="s">
        <v>1801</v>
      </c>
      <c r="B8" s="50" t="s">
        <v>1802</v>
      </c>
      <c r="C8" s="48" t="s">
        <v>1803</v>
      </c>
      <c r="D8" s="48">
        <f t="shared" ref="D8:D15" si="0">ROUND($D$3*E8/$E$3,2)</f>
        <v>222.28</v>
      </c>
      <c r="E8" s="51">
        <f>SUMIF('数据-基础表'!BB10:BK10,"地上",'数据-基础表'!BB5:BK5)</f>
        <v>1954.06</v>
      </c>
      <c r="F8" s="2868"/>
      <c r="G8" s="2869"/>
      <c r="H8" s="2869"/>
      <c r="I8" s="2868"/>
      <c r="J8" s="2868"/>
      <c r="K8" s="2868"/>
      <c r="L8" s="2868"/>
      <c r="M8" s="2868"/>
      <c r="N8" s="2868"/>
      <c r="O8" s="2868"/>
      <c r="P8" s="2868"/>
    </row>
    <row r="9" spans="1:16">
      <c r="A9" s="1824"/>
      <c r="B9" s="1825"/>
      <c r="C9" s="48" t="s">
        <v>1804</v>
      </c>
      <c r="D9" s="48">
        <f t="shared" si="0"/>
        <v>0</v>
      </c>
      <c r="E9" s="52">
        <v>0</v>
      </c>
      <c r="F9" s="2868"/>
      <c r="G9" s="2869"/>
      <c r="H9" s="2869"/>
      <c r="I9" s="2868"/>
      <c r="J9" s="2868"/>
      <c r="K9" s="2868"/>
      <c r="L9" s="2868"/>
      <c r="M9" s="2868"/>
      <c r="N9" s="2868"/>
      <c r="O9" s="2868"/>
      <c r="P9" s="2868"/>
    </row>
    <row r="10" spans="1:16">
      <c r="A10" s="1824"/>
      <c r="B10" s="1825"/>
      <c r="C10" s="48" t="s">
        <v>1813</v>
      </c>
      <c r="D10" s="48">
        <f t="shared" si="0"/>
        <v>0</v>
      </c>
      <c r="E10" s="51">
        <f>SUMPRODUCT(('数据-基础表'!BB10:BK10="地下")*('数据-基础表'!BB11:BK11="商业")*('数据-基础表'!BB5:BK5))</f>
        <v>0</v>
      </c>
      <c r="F10" s="2868"/>
      <c r="G10" s="2869"/>
      <c r="H10" s="2869"/>
      <c r="I10" s="2868"/>
      <c r="J10" s="2868"/>
      <c r="K10" s="2868"/>
      <c r="L10" s="2868"/>
      <c r="M10" s="2868"/>
      <c r="N10" s="2868"/>
      <c r="O10" s="2868"/>
      <c r="P10" s="2868"/>
    </row>
    <row r="11" spans="1:16">
      <c r="A11" s="1824"/>
      <c r="B11" s="1825"/>
      <c r="C11" s="48" t="s">
        <v>1805</v>
      </c>
      <c r="D11" s="48">
        <f t="shared" si="0"/>
        <v>0</v>
      </c>
      <c r="E11" s="51">
        <f>SUMPRODUCT(('数据-基础表'!BB10:BK10="地下")*('数据-基础表'!BB11:BK11="办公")*('数据-基础表'!BB5:BK5))+'数据-基础表'!BP5</f>
        <v>0</v>
      </c>
      <c r="F11" s="2868"/>
      <c r="G11" s="2869"/>
      <c r="H11" s="2869"/>
      <c r="I11" s="2868"/>
      <c r="J11" s="2868"/>
      <c r="K11" s="2868"/>
      <c r="L11" s="2868"/>
      <c r="M11" s="2868"/>
      <c r="N11" s="2868"/>
      <c r="O11" s="2868"/>
      <c r="P11" s="2868"/>
    </row>
    <row r="12" spans="1:16">
      <c r="A12" s="1824"/>
      <c r="B12" s="1825"/>
      <c r="C12" s="48" t="s">
        <v>1806</v>
      </c>
      <c r="D12" s="48">
        <f t="shared" si="0"/>
        <v>0</v>
      </c>
      <c r="E12" s="51">
        <f>SUMPRODUCT(('数据-基础表'!BB10:BK10="地下")*('数据-基础表'!BB11:BK11="仓储")*('数据-基础表'!BB5:BK5))</f>
        <v>0</v>
      </c>
      <c r="F12" s="2868"/>
      <c r="G12" s="2869"/>
      <c r="H12" s="2869"/>
      <c r="I12" s="2868"/>
      <c r="J12" s="2868"/>
      <c r="K12" s="2868"/>
      <c r="L12" s="2868"/>
      <c r="M12" s="2868"/>
      <c r="N12" s="2868"/>
      <c r="O12" s="2868"/>
      <c r="P12" s="2868"/>
    </row>
    <row r="13" spans="1:16">
      <c r="A13" s="1824"/>
      <c r="B13" s="1825"/>
      <c r="C13" s="48" t="s">
        <v>1807</v>
      </c>
      <c r="D13" s="48">
        <f t="shared" si="0"/>
        <v>0</v>
      </c>
      <c r="E13" s="51">
        <f>SUMPRODUCT(('数据-基础表'!BB10:BK10="地下")*('数据-基础表'!BB11:BK11="车库")*('数据-基础表'!BB5:BK5))</f>
        <v>0</v>
      </c>
      <c r="F13" s="2868"/>
      <c r="G13" s="2869"/>
      <c r="H13" s="2869"/>
      <c r="I13" s="2868"/>
      <c r="J13" s="2868"/>
      <c r="K13" s="2868"/>
      <c r="L13" s="2868"/>
      <c r="M13" s="2868"/>
      <c r="N13" s="2868"/>
      <c r="O13" s="2868"/>
      <c r="P13" s="2868"/>
    </row>
    <row r="14" spans="1:16">
      <c r="A14" s="1824"/>
      <c r="B14" s="1825"/>
      <c r="C14" s="48" t="s">
        <v>1819</v>
      </c>
      <c r="D14" s="48">
        <f t="shared" si="0"/>
        <v>0</v>
      </c>
      <c r="E14" s="51">
        <f>SUMPRODUCT(('数据-基础表'!BB10:BK10="地下")*('数据-基础表'!BB11:BK11="车库—商业")*('数据-基础表'!BB5:BK5))</f>
        <v>0</v>
      </c>
      <c r="F14" s="2868"/>
      <c r="G14" s="2869"/>
      <c r="H14" s="2869"/>
      <c r="I14" s="2868"/>
      <c r="J14" s="2868"/>
      <c r="K14" s="2868"/>
      <c r="L14" s="2868"/>
      <c r="M14" s="2868"/>
      <c r="N14" s="2868"/>
      <c r="O14" s="2868"/>
      <c r="P14" s="2868"/>
    </row>
    <row r="15" spans="1:16" ht="15" thickBot="1">
      <c r="A15" s="1824"/>
      <c r="B15" s="1825"/>
      <c r="C15" s="48" t="s">
        <v>1814</v>
      </c>
      <c r="D15" s="48">
        <f t="shared" si="0"/>
        <v>0</v>
      </c>
      <c r="E15" s="51">
        <f>SUMPRODUCT(('数据-基础表'!BB10:BK10="地下")*('数据-基础表'!BB11:BK11="车库—办公")*('数据-基础表'!BB5:BK5))</f>
        <v>0</v>
      </c>
      <c r="F15" s="2868"/>
      <c r="G15" s="2869"/>
      <c r="H15" s="2869"/>
      <c r="I15" s="2868"/>
      <c r="J15" s="2868"/>
      <c r="K15" s="2868"/>
      <c r="L15" s="2868"/>
      <c r="M15" s="2868"/>
      <c r="N15" s="2868"/>
      <c r="O15" s="2868"/>
      <c r="P15" s="2868"/>
    </row>
    <row r="16" spans="1:16" ht="15.75" thickBot="1">
      <c r="A16" s="1822"/>
      <c r="B16" s="1825"/>
      <c r="C16" s="50" t="s">
        <v>1808</v>
      </c>
      <c r="D16" s="50">
        <f>SUM(D8:D15)</f>
        <v>222.28</v>
      </c>
      <c r="E16" s="53">
        <f>SUM(E8:E15)</f>
        <v>1954.06</v>
      </c>
      <c r="F16" s="2868"/>
      <c r="G16" s="2869"/>
      <c r="H16" s="1826" t="s">
        <v>1820</v>
      </c>
      <c r="I16" s="1827"/>
      <c r="J16" s="1296"/>
      <c r="K16" s="3173" t="s">
        <v>1820</v>
      </c>
      <c r="L16" s="3174"/>
      <c r="M16" s="3174"/>
      <c r="N16" s="3174"/>
      <c r="O16" s="3174"/>
      <c r="P16" s="3175"/>
    </row>
    <row r="17" spans="1:19" ht="15">
      <c r="A17" s="1828" t="s">
        <v>1821</v>
      </c>
      <c r="B17" s="1829" t="s">
        <v>1822</v>
      </c>
      <c r="C17" s="1830" t="s">
        <v>1823</v>
      </c>
      <c r="D17" s="1831" t="s">
        <v>1811</v>
      </c>
      <c r="E17" s="1832" t="s">
        <v>1812</v>
      </c>
      <c r="F17" s="1833"/>
      <c r="G17" s="1834"/>
      <c r="H17" s="1835" t="s">
        <v>1824</v>
      </c>
      <c r="I17" s="1836" t="s">
        <v>1809</v>
      </c>
      <c r="J17" s="1296"/>
      <c r="K17" s="3170" t="s">
        <v>1825</v>
      </c>
      <c r="L17" s="3171"/>
      <c r="M17" s="3172"/>
      <c r="N17" s="3170" t="s">
        <v>1826</v>
      </c>
      <c r="O17" s="3171"/>
      <c r="P17" s="3172"/>
      <c r="R17" s="1818" t="s">
        <v>1827</v>
      </c>
      <c r="S17" s="60"/>
    </row>
    <row r="18" spans="1:19" ht="15">
      <c r="A18" s="1824"/>
      <c r="B18" s="1837"/>
      <c r="C18" s="1838"/>
      <c r="D18" s="1839"/>
      <c r="E18" s="1840" t="s">
        <v>1828</v>
      </c>
      <c r="F18" s="1841" t="s">
        <v>1829</v>
      </c>
      <c r="G18" s="1842" t="s">
        <v>1830</v>
      </c>
      <c r="H18" s="1167" t="s">
        <v>1831</v>
      </c>
      <c r="I18" s="1843" t="s">
        <v>1832</v>
      </c>
      <c r="J18" s="1296"/>
      <c r="K18" s="1167" t="s">
        <v>1833</v>
      </c>
      <c r="L18" s="1844" t="s">
        <v>1834</v>
      </c>
      <c r="M18" s="962" t="s">
        <v>1835</v>
      </c>
      <c r="N18" s="1167" t="s">
        <v>1833</v>
      </c>
      <c r="O18" s="1844" t="s">
        <v>1834</v>
      </c>
      <c r="P18" s="962" t="s">
        <v>1835</v>
      </c>
      <c r="R18" s="1152" t="s">
        <v>1836</v>
      </c>
      <c r="S18" s="1152" t="s">
        <v>1837</v>
      </c>
    </row>
    <row r="19" spans="1:19">
      <c r="A19" s="1845"/>
      <c r="B19" s="50" t="s">
        <v>1810</v>
      </c>
      <c r="C19" s="3042" t="s">
        <v>3194</v>
      </c>
      <c r="D19" s="48">
        <f>ROUND($D$3*E19/$E$3,2)</f>
        <v>222.28</v>
      </c>
      <c r="E19" s="56">
        <f t="shared" ref="E19:E26" si="1">SUM(F19:G19)</f>
        <v>1954.06</v>
      </c>
      <c r="F19" s="3007">
        <f>'数据-基础表'!K13</f>
        <v>1954.06</v>
      </c>
      <c r="G19" s="3008"/>
      <c r="H19" s="677">
        <f>ROUND($D$3*I19/$E$3,2)</f>
        <v>0</v>
      </c>
      <c r="I19" s="51">
        <f t="shared" ref="I19:I26" si="2">IF($I$17="自定义",P19,M19)</f>
        <v>0</v>
      </c>
      <c r="J19" s="1296"/>
      <c r="K19" s="1295">
        <f t="shared" ref="K19:K26" si="3">ROUND(E$28*E19/E$27,2)</f>
        <v>0</v>
      </c>
      <c r="L19" s="1152">
        <f t="shared" ref="L19:L26" si="4">ROUND(IF(COUNTIF(C19,"*住宅*")&gt;0,E$29*E19/E$32,0),2)</f>
        <v>0</v>
      </c>
      <c r="M19" s="1307">
        <f>K19+L19</f>
        <v>0</v>
      </c>
      <c r="N19" s="1847"/>
      <c r="O19" s="1848"/>
      <c r="P19" s="1307">
        <f>N19+O19</f>
        <v>0</v>
      </c>
      <c r="R19" s="1152">
        <f t="shared" ref="R19:S26" si="5">D19+H19</f>
        <v>222.28</v>
      </c>
      <c r="S19" s="1153">
        <f t="shared" si="5"/>
        <v>1954.06</v>
      </c>
    </row>
    <row r="20" spans="1:19">
      <c r="A20" s="1849"/>
      <c r="B20" s="50" t="s">
        <v>1838</v>
      </c>
      <c r="C20" s="3042"/>
      <c r="D20" s="48">
        <f t="shared" ref="D20:D26" si="6">ROUND($D$3*E20/$E$3,2)</f>
        <v>0</v>
      </c>
      <c r="E20" s="56">
        <f t="shared" si="1"/>
        <v>0</v>
      </c>
      <c r="F20" s="3007"/>
      <c r="G20" s="3008"/>
      <c r="H20" s="677">
        <f t="shared" ref="H20:H26" si="7">ROUND($D$3*I20/$E$3,2)</f>
        <v>0</v>
      </c>
      <c r="I20" s="51">
        <f t="shared" si="2"/>
        <v>0</v>
      </c>
      <c r="J20" s="1296"/>
      <c r="K20" s="1295">
        <f t="shared" si="3"/>
        <v>0</v>
      </c>
      <c r="L20" s="1152">
        <f t="shared" si="4"/>
        <v>0</v>
      </c>
      <c r="M20" s="1307">
        <f t="shared" ref="M20:M26" si="8">K20+L20</f>
        <v>0</v>
      </c>
      <c r="N20" s="1847"/>
      <c r="O20" s="1848"/>
      <c r="P20" s="1307">
        <f t="shared" ref="P20:P26" si="9">N20+O20</f>
        <v>0</v>
      </c>
      <c r="R20" s="1152">
        <f t="shared" si="5"/>
        <v>0</v>
      </c>
      <c r="S20" s="1153">
        <f t="shared" si="5"/>
        <v>0</v>
      </c>
    </row>
    <row r="21" spans="1:19">
      <c r="A21" s="1849"/>
      <c r="B21" s="50" t="s">
        <v>1838</v>
      </c>
      <c r="C21" s="1846"/>
      <c r="D21" s="48">
        <f t="shared" si="6"/>
        <v>0</v>
      </c>
      <c r="E21" s="56">
        <f t="shared" si="1"/>
        <v>0</v>
      </c>
      <c r="F21" s="3007"/>
      <c r="G21" s="3008"/>
      <c r="H21" s="677">
        <f t="shared" si="7"/>
        <v>0</v>
      </c>
      <c r="I21" s="51">
        <f t="shared" si="2"/>
        <v>0</v>
      </c>
      <c r="J21" s="1296"/>
      <c r="K21" s="1295">
        <f t="shared" si="3"/>
        <v>0</v>
      </c>
      <c r="L21" s="1152">
        <f t="shared" si="4"/>
        <v>0</v>
      </c>
      <c r="M21" s="1307">
        <f t="shared" si="8"/>
        <v>0</v>
      </c>
      <c r="N21" s="1847"/>
      <c r="O21" s="1848"/>
      <c r="P21" s="1307">
        <f t="shared" si="9"/>
        <v>0</v>
      </c>
      <c r="R21" s="1152">
        <f t="shared" si="5"/>
        <v>0</v>
      </c>
      <c r="S21" s="1153">
        <f t="shared" si="5"/>
        <v>0</v>
      </c>
    </row>
    <row r="22" spans="1:19">
      <c r="A22" s="1849"/>
      <c r="B22" s="50" t="s">
        <v>1838</v>
      </c>
      <c r="C22" s="58"/>
      <c r="D22" s="48">
        <f t="shared" si="6"/>
        <v>0</v>
      </c>
      <c r="E22" s="56">
        <f t="shared" si="1"/>
        <v>0</v>
      </c>
      <c r="F22" s="3009"/>
      <c r="G22" s="3010"/>
      <c r="H22" s="677">
        <f t="shared" si="7"/>
        <v>0</v>
      </c>
      <c r="I22" s="51">
        <f t="shared" si="2"/>
        <v>0</v>
      </c>
      <c r="J22" s="1296"/>
      <c r="K22" s="1295">
        <f t="shared" si="3"/>
        <v>0</v>
      </c>
      <c r="L22" s="1152">
        <f t="shared" si="4"/>
        <v>0</v>
      </c>
      <c r="M22" s="1307">
        <f t="shared" si="8"/>
        <v>0</v>
      </c>
      <c r="N22" s="1847"/>
      <c r="O22" s="1848"/>
      <c r="P22" s="1307">
        <f t="shared" si="9"/>
        <v>0</v>
      </c>
      <c r="R22" s="1152">
        <f t="shared" si="5"/>
        <v>0</v>
      </c>
      <c r="S22" s="1153">
        <f t="shared" si="5"/>
        <v>0</v>
      </c>
    </row>
    <row r="23" spans="1:19">
      <c r="A23" s="1849"/>
      <c r="B23" s="50" t="s">
        <v>1838</v>
      </c>
      <c r="C23" s="58"/>
      <c r="D23" s="48">
        <f>ROUND($D$3*E23/$E$3,2)</f>
        <v>0</v>
      </c>
      <c r="E23" s="56">
        <f>SUM(F23:G23)</f>
        <v>0</v>
      </c>
      <c r="F23" s="3009"/>
      <c r="G23" s="3010"/>
      <c r="H23" s="677">
        <f>ROUND($D$3*I23/$E$3,2)</f>
        <v>0</v>
      </c>
      <c r="I23" s="51">
        <f t="shared" si="2"/>
        <v>0</v>
      </c>
      <c r="J23" s="1296"/>
      <c r="K23" s="1295">
        <f t="shared" si="3"/>
        <v>0</v>
      </c>
      <c r="L23" s="1152">
        <f t="shared" si="4"/>
        <v>0</v>
      </c>
      <c r="M23" s="1307">
        <f t="shared" si="8"/>
        <v>0</v>
      </c>
      <c r="N23" s="1847"/>
      <c r="O23" s="1848"/>
      <c r="P23" s="1307">
        <f t="shared" si="9"/>
        <v>0</v>
      </c>
      <c r="R23" s="1152">
        <f t="shared" si="5"/>
        <v>0</v>
      </c>
      <c r="S23" s="1153">
        <f t="shared" si="5"/>
        <v>0</v>
      </c>
    </row>
    <row r="24" spans="1:19">
      <c r="A24" s="1849"/>
      <c r="B24" s="50" t="s">
        <v>1838</v>
      </c>
      <c r="C24" s="58"/>
      <c r="D24" s="48">
        <f>ROUND($D$3*E24/$E$3,2)</f>
        <v>0</v>
      </c>
      <c r="E24" s="56">
        <f>SUM(F24:G24)</f>
        <v>0</v>
      </c>
      <c r="F24" s="3009"/>
      <c r="G24" s="3010"/>
      <c r="H24" s="677">
        <f>ROUND($D$3*I24/$E$3,2)</f>
        <v>0</v>
      </c>
      <c r="I24" s="51">
        <f t="shared" si="2"/>
        <v>0</v>
      </c>
      <c r="J24" s="1296"/>
      <c r="K24" s="1295">
        <f t="shared" si="3"/>
        <v>0</v>
      </c>
      <c r="L24" s="1152">
        <f t="shared" si="4"/>
        <v>0</v>
      </c>
      <c r="M24" s="1307">
        <f t="shared" si="8"/>
        <v>0</v>
      </c>
      <c r="N24" s="1847"/>
      <c r="O24" s="1848"/>
      <c r="P24" s="1307">
        <f t="shared" si="9"/>
        <v>0</v>
      </c>
      <c r="R24" s="1152">
        <f t="shared" si="5"/>
        <v>0</v>
      </c>
      <c r="S24" s="1153">
        <f t="shared" si="5"/>
        <v>0</v>
      </c>
    </row>
    <row r="25" spans="1:19">
      <c r="A25" s="1849"/>
      <c r="B25" s="50" t="s">
        <v>1838</v>
      </c>
      <c r="C25" s="58"/>
      <c r="D25" s="48">
        <f t="shared" si="6"/>
        <v>0</v>
      </c>
      <c r="E25" s="56">
        <f t="shared" si="1"/>
        <v>0</v>
      </c>
      <c r="F25" s="3009"/>
      <c r="G25" s="3010"/>
      <c r="H25" s="47">
        <f t="shared" si="7"/>
        <v>0</v>
      </c>
      <c r="I25" s="51">
        <f t="shared" si="2"/>
        <v>0</v>
      </c>
      <c r="J25" s="1296"/>
      <c r="K25" s="1295">
        <f t="shared" si="3"/>
        <v>0</v>
      </c>
      <c r="L25" s="1152">
        <f t="shared" si="4"/>
        <v>0</v>
      </c>
      <c r="M25" s="1307">
        <f t="shared" si="8"/>
        <v>0</v>
      </c>
      <c r="N25" s="1847"/>
      <c r="O25" s="1848"/>
      <c r="P25" s="1307">
        <f t="shared" si="9"/>
        <v>0</v>
      </c>
      <c r="R25" s="1152">
        <f t="shared" si="5"/>
        <v>0</v>
      </c>
      <c r="S25" s="1153">
        <f t="shared" si="5"/>
        <v>0</v>
      </c>
    </row>
    <row r="26" spans="1:19">
      <c r="A26" s="1849"/>
      <c r="B26" s="50" t="s">
        <v>1838</v>
      </c>
      <c r="C26" s="59"/>
      <c r="D26" s="48">
        <f t="shared" si="6"/>
        <v>0</v>
      </c>
      <c r="E26" s="56">
        <f t="shared" si="1"/>
        <v>0</v>
      </c>
      <c r="F26" s="3009"/>
      <c r="G26" s="3010"/>
      <c r="H26" s="47">
        <f t="shared" si="7"/>
        <v>0</v>
      </c>
      <c r="I26" s="51">
        <f t="shared" si="2"/>
        <v>0</v>
      </c>
      <c r="J26" s="1296"/>
      <c r="K26" s="1302">
        <f t="shared" si="3"/>
        <v>0</v>
      </c>
      <c r="L26" s="1303">
        <f t="shared" si="4"/>
        <v>0</v>
      </c>
      <c r="M26" s="63">
        <f t="shared" si="8"/>
        <v>0</v>
      </c>
      <c r="N26" s="1850"/>
      <c r="O26" s="1851"/>
      <c r="P26" s="63">
        <f t="shared" si="9"/>
        <v>0</v>
      </c>
      <c r="R26" s="1152">
        <f t="shared" si="5"/>
        <v>0</v>
      </c>
      <c r="S26" s="1153">
        <f t="shared" si="5"/>
        <v>0</v>
      </c>
    </row>
    <row r="27" spans="1:19" ht="15.75" thickBot="1">
      <c r="A27" s="1849"/>
      <c r="B27" s="48"/>
      <c r="C27" s="1852" t="s">
        <v>1839</v>
      </c>
      <c r="D27" s="1297">
        <f>SUM(D19:D26)</f>
        <v>222.28</v>
      </c>
      <c r="E27" s="1298">
        <f>IF(SUM(E19:E26)='数据-基础表'!BA5,SUM(E19:E26),IF(F27="地上面积有误","面积有误","地下面积有误"))</f>
        <v>1954.06</v>
      </c>
      <c r="F27" s="1297">
        <f>IF(SUM(F19:F26)=E8,SUM(F19:F26),"地上面积有误")</f>
        <v>1954.06</v>
      </c>
      <c r="G27" s="1299">
        <f>SUM(G19:G26)</f>
        <v>0</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f>IF(SUM(R19:R26)=$D$3,SUM(R19:R26),SUM(R19:R26)&amp;"误差"&amp;ROUND(SUM(R19:R26)-$D$3,2))</f>
        <v>222.28</v>
      </c>
      <c r="S27" s="1152">
        <f>IF(SUM(S19:S26)=$E$3,SUM(S19:S26),SUM(S19:S26)&amp;"误差"&amp;ROUND(SUM(S19:S26)-E3,2))</f>
        <v>1954.06</v>
      </c>
    </row>
    <row r="28" spans="1:19">
      <c r="A28" s="1849"/>
      <c r="B28" s="50" t="s">
        <v>1840</v>
      </c>
      <c r="C28" s="1164" t="s">
        <v>1841</v>
      </c>
      <c r="D28" s="48">
        <f>ROUND($D$3*E28/$E$3,2)</f>
        <v>0</v>
      </c>
      <c r="E28" s="56">
        <f>SUM(F28:G28)</f>
        <v>0</v>
      </c>
      <c r="F28" s="60">
        <f>'数据-基础表'!BQ5+'数据-基础表'!BS5</f>
        <v>0</v>
      </c>
      <c r="G28" s="61">
        <f>'数据-基础表'!BR5+'数据-基础表'!BT5</f>
        <v>0</v>
      </c>
      <c r="H28" s="2868"/>
      <c r="I28" s="2868"/>
      <c r="J28" s="2868"/>
      <c r="K28" s="2868"/>
      <c r="L28" s="2868"/>
      <c r="M28" s="2868"/>
      <c r="N28" s="2868"/>
      <c r="O28" s="2868"/>
      <c r="P28" s="2868"/>
    </row>
    <row r="29" spans="1:19">
      <c r="A29" s="1849"/>
      <c r="B29" s="50" t="s">
        <v>1840</v>
      </c>
      <c r="C29" s="1853" t="s">
        <v>1842</v>
      </c>
      <c r="D29" s="48">
        <f>ROUND($D$3*E29/$E$3,2)</f>
        <v>0</v>
      </c>
      <c r="E29" s="56">
        <f>SUM(F29:G29)</f>
        <v>0</v>
      </c>
      <c r="F29" s="62">
        <f>'数据-基础表'!BM5+'数据-基础表'!BO5</f>
        <v>0</v>
      </c>
      <c r="G29" s="63">
        <f>'数据-基础表'!BN5+'数据-基础表'!BP5</f>
        <v>0</v>
      </c>
      <c r="H29" s="2868"/>
      <c r="I29" s="2868"/>
      <c r="J29" s="2868"/>
      <c r="K29" s="2868"/>
      <c r="L29" s="2868"/>
      <c r="M29" s="2868"/>
      <c r="N29" s="2868"/>
      <c r="O29" s="2868"/>
      <c r="P29" s="2868"/>
    </row>
    <row r="30" spans="1:19" ht="15">
      <c r="A30" s="1849"/>
      <c r="B30" s="50"/>
      <c r="C30" s="1854" t="s">
        <v>1839</v>
      </c>
      <c r="D30" s="1297">
        <f>SUM(D28:D29)</f>
        <v>0</v>
      </c>
      <c r="E30" s="1297">
        <f>SUM(E28:E29)</f>
        <v>0</v>
      </c>
      <c r="F30" s="1297">
        <f>SUM(F28:F29)</f>
        <v>0</v>
      </c>
      <c r="G30" s="1299">
        <f>SUM(G28:G29)</f>
        <v>0</v>
      </c>
      <c r="H30" s="2868"/>
      <c r="I30" s="2868"/>
      <c r="J30" s="2868"/>
      <c r="K30" s="2868"/>
      <c r="L30" s="2868"/>
      <c r="M30" s="2868"/>
      <c r="N30" s="2868"/>
      <c r="O30" s="2868"/>
      <c r="P30" s="2868"/>
    </row>
    <row r="31" spans="1:19" ht="15.75" thickBot="1">
      <c r="A31" s="1855"/>
      <c r="B31" s="1856"/>
      <c r="C31" s="942" t="s">
        <v>1843</v>
      </c>
      <c r="D31" s="683">
        <f>D27+D30</f>
        <v>222.28</v>
      </c>
      <c r="E31" s="683">
        <f>E27+E30</f>
        <v>1954.06</v>
      </c>
      <c r="F31" s="684">
        <f>F27+F30</f>
        <v>1954.06</v>
      </c>
      <c r="G31" s="685">
        <f>G27+G30</f>
        <v>0</v>
      </c>
      <c r="H31" s="2868"/>
      <c r="I31" s="2868"/>
      <c r="J31" s="2868"/>
      <c r="K31" s="2868"/>
      <c r="L31" s="2868"/>
      <c r="M31" s="2868"/>
      <c r="N31" s="2868"/>
      <c r="O31" s="2868"/>
      <c r="P31" s="2868"/>
    </row>
    <row r="32" spans="1:19">
      <c r="A32" s="1821"/>
      <c r="B32" s="1821" t="s">
        <v>1844</v>
      </c>
      <c r="C32" s="1821"/>
      <c r="D32" s="1821"/>
      <c r="E32" s="1179">
        <f>SUMIF(C19:C26,"*住宅*",E19:E26)</f>
        <v>0</v>
      </c>
      <c r="F32" s="1821"/>
      <c r="G32" s="1821"/>
      <c r="H32" s="2868"/>
      <c r="I32" s="2868"/>
      <c r="J32" s="2868"/>
      <c r="K32" s="2868"/>
      <c r="L32" s="2868"/>
      <c r="M32" s="2868"/>
      <c r="N32" s="2868"/>
      <c r="O32" s="2868"/>
      <c r="P32" s="2868"/>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C6" activePane="bottomRight" state="frozen"/>
      <selection activeCell="C50" sqref="C50"/>
      <selection pane="topRight" activeCell="C50" sqref="C50"/>
      <selection pane="bottomLeft" activeCell="C50" sqref="C50"/>
      <selection pane="bottomRight" activeCell="AN16" sqref="AN16"/>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10.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1845</v>
      </c>
      <c r="B1" s="686"/>
      <c r="C1" s="1348"/>
      <c r="D1" s="1859"/>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1"/>
      <c r="AO1" s="2881"/>
      <c r="AP1" s="2881"/>
      <c r="AQ1" s="2881"/>
      <c r="AR1" s="2881"/>
    </row>
    <row r="2" spans="1:67" s="1737" customFormat="1" ht="15.75" thickBot="1">
      <c r="A2" s="1862" t="s">
        <v>1846</v>
      </c>
      <c r="B2" s="1171">
        <f>项目基本情况!D3</f>
        <v>44336</v>
      </c>
      <c r="C2" s="1863"/>
      <c r="D2" s="1864"/>
      <c r="E2" s="1863"/>
      <c r="F2" s="1863"/>
      <c r="G2" s="1863"/>
      <c r="H2" s="1863"/>
      <c r="I2" s="1863"/>
      <c r="J2" s="1863"/>
      <c r="K2" s="1325"/>
      <c r="L2" s="1325"/>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83"/>
      <c r="AO2" s="2883"/>
      <c r="AP2" s="2883"/>
      <c r="AQ2" s="2883"/>
      <c r="AR2" s="2883"/>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5"/>
      <c r="L3" s="1325"/>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83"/>
      <c r="AO3" s="2883"/>
      <c r="AP3" s="2883"/>
      <c r="AQ3" s="2883"/>
      <c r="AR3" s="2883"/>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1847</v>
      </c>
      <c r="B4" s="1867"/>
      <c r="C4" s="1868"/>
      <c r="D4" s="1869"/>
      <c r="E4" s="1868" t="s">
        <v>1848</v>
      </c>
      <c r="F4" s="1868"/>
      <c r="G4" s="1868"/>
      <c r="H4" s="1868"/>
      <c r="I4" s="1868"/>
      <c r="J4" s="1870"/>
      <c r="K4" s="1871"/>
      <c r="L4" s="1872"/>
      <c r="M4" s="1868"/>
      <c r="N4" s="1868" t="s">
        <v>1849</v>
      </c>
      <c r="O4" s="1868"/>
      <c r="P4" s="1868"/>
      <c r="Q4" s="1868"/>
      <c r="R4" s="1868"/>
      <c r="S4" s="1870"/>
      <c r="T4" s="2867" t="str">
        <f>'数据-汇总表'!I17</f>
        <v>按面积比例</v>
      </c>
      <c r="U4" s="1867" t="s">
        <v>1850</v>
      </c>
      <c r="V4" s="1868"/>
      <c r="W4" s="1868"/>
      <c r="X4" s="1868"/>
      <c r="Y4" s="1870"/>
      <c r="Z4" s="1830" t="s">
        <v>1851</v>
      </c>
      <c r="AA4" s="1830"/>
      <c r="AB4" s="1830"/>
      <c r="AC4" s="1830"/>
      <c r="AD4" s="1830"/>
      <c r="AE4" s="1828" t="s">
        <v>1852</v>
      </c>
      <c r="AF4" s="1830"/>
      <c r="AG4" s="1873"/>
      <c r="AH4" s="1867"/>
      <c r="AI4" s="1868"/>
      <c r="AJ4" s="1868"/>
      <c r="AK4" s="1868"/>
      <c r="AL4" s="1868"/>
      <c r="AM4" s="1870"/>
      <c r="AN4" s="2883"/>
      <c r="AO4" s="2883"/>
      <c r="AP4" s="2883"/>
      <c r="AQ4" s="2883"/>
      <c r="AR4" s="2883"/>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0.5">
      <c r="A5" s="1874" t="s">
        <v>1853</v>
      </c>
      <c r="B5" s="1875" t="s">
        <v>1854</v>
      </c>
      <c r="C5" s="1876" t="s">
        <v>1855</v>
      </c>
      <c r="D5" s="1877" t="s">
        <v>1856</v>
      </c>
      <c r="E5" s="1173" t="s">
        <v>1857</v>
      </c>
      <c r="F5" s="1878" t="s">
        <v>1858</v>
      </c>
      <c r="G5" s="1173" t="s">
        <v>1859</v>
      </c>
      <c r="H5" s="1173" t="s">
        <v>1860</v>
      </c>
      <c r="I5" s="1173" t="s">
        <v>1861</v>
      </c>
      <c r="J5" s="1879" t="s">
        <v>1862</v>
      </c>
      <c r="K5" s="1880" t="s">
        <v>1863</v>
      </c>
      <c r="L5" s="1881" t="s">
        <v>1864</v>
      </c>
      <c r="M5" s="1882" t="s">
        <v>1865</v>
      </c>
      <c r="N5" s="1883" t="s">
        <v>3067</v>
      </c>
      <c r="O5" s="1881" t="s">
        <v>1866</v>
      </c>
      <c r="P5" s="1884" t="s">
        <v>1867</v>
      </c>
      <c r="Q5" s="65" t="s">
        <v>1868</v>
      </c>
      <c r="R5" s="1885" t="s">
        <v>1869</v>
      </c>
      <c r="S5" s="1886" t="s">
        <v>1870</v>
      </c>
      <c r="T5" s="1887" t="s">
        <v>1871</v>
      </c>
      <c r="U5" s="1172" t="s">
        <v>1872</v>
      </c>
      <c r="V5" s="1173" t="s">
        <v>1873</v>
      </c>
      <c r="W5" s="1173" t="s">
        <v>1874</v>
      </c>
      <c r="X5" s="67"/>
      <c r="Y5" s="66" t="s">
        <v>1875</v>
      </c>
      <c r="Z5" s="1888" t="s">
        <v>1872</v>
      </c>
      <c r="AA5" s="1173" t="s">
        <v>1873</v>
      </c>
      <c r="AB5" s="1173" t="s">
        <v>1874</v>
      </c>
      <c r="AC5" s="67"/>
      <c r="AD5" s="67" t="s">
        <v>1875</v>
      </c>
      <c r="AE5" s="1172" t="s">
        <v>1876</v>
      </c>
      <c r="AF5" s="1173" t="s">
        <v>1877</v>
      </c>
      <c r="AG5" s="66" t="s">
        <v>1878</v>
      </c>
      <c r="AH5" s="1172" t="s">
        <v>1879</v>
      </c>
      <c r="AI5" s="1888" t="s">
        <v>1880</v>
      </c>
      <c r="AJ5" s="1888" t="s">
        <v>1881</v>
      </c>
      <c r="AK5" s="1173" t="s">
        <v>1882</v>
      </c>
      <c r="AL5" s="1173" t="s">
        <v>1883</v>
      </c>
      <c r="AM5" s="66" t="s">
        <v>1884</v>
      </c>
      <c r="AN5" s="1889" t="s">
        <v>1885</v>
      </c>
      <c r="AO5" s="1740" t="s">
        <v>1886</v>
      </c>
      <c r="AP5" s="1154" t="s">
        <v>1887</v>
      </c>
      <c r="AQ5" s="1890" t="s">
        <v>1888</v>
      </c>
      <c r="AR5" s="1890" t="s">
        <v>1889</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1层</v>
      </c>
      <c r="B6" s="1892" t="str">
        <f>IF(A6=0,"","经营性")</f>
        <v>经营性</v>
      </c>
      <c r="C6" s="1893" t="s">
        <v>1343</v>
      </c>
      <c r="D6" s="965">
        <f>SUMIF(项目基本情况!D$12:I$12,C6,项目基本情况!D$14:I$14)</f>
        <v>40</v>
      </c>
      <c r="E6" s="964">
        <f>IF(B6="","",SUMIF(项目基本情况!D$12:I$12,C6,项目基本情况!D$13:I$13))</f>
        <v>53418</v>
      </c>
      <c r="F6" s="68">
        <f>SUMIF(项目基本情况!D$12:I$12,C6,项目基本情况!D$15:I$15)</f>
        <v>24.88</v>
      </c>
      <c r="G6" s="69">
        <f>IF(ISERROR(ROUND(POWER(1+H6,D6-F6)*(POWER(1+H6,F6)-1)/(POWER(1+H6,D6)-1),3)),0,ROUND(POWER(1+H6,D6-F6)*(POWER(1+H6,F6)-1)/(POWER(1+H6,D6)-1),3))</f>
        <v>0.81899999999999995</v>
      </c>
      <c r="H6" s="739">
        <v>0.05</v>
      </c>
      <c r="I6" s="739">
        <v>5.5E-2</v>
      </c>
      <c r="J6" s="70">
        <v>0.08</v>
      </c>
      <c r="K6" s="1156">
        <f>SUMIF('数据-汇总表'!C$19:C$33,A6,'数据-汇总表'!E$19:E$33)</f>
        <v>1954.06</v>
      </c>
      <c r="L6" s="740">
        <v>4000</v>
      </c>
      <c r="M6" s="71">
        <f t="shared" ref="M6:M14" si="0">ROUND(K6*L6/10000,0)</f>
        <v>782</v>
      </c>
      <c r="N6" s="738">
        <f>ROUND(1-(1-0%)*(2021-2004)/60,3)</f>
        <v>0.71699999999999997</v>
      </c>
      <c r="O6" s="71" t="str">
        <f>IF($N$5="成新度","——",ROUND(M6*N6,0))</f>
        <v>——</v>
      </c>
      <c r="P6" s="72" t="str">
        <f>IF($N$5="成新度","——",M6-O6)</f>
        <v>——</v>
      </c>
      <c r="Q6" s="741">
        <v>0.15</v>
      </c>
      <c r="R6" s="73">
        <f ca="1">SUMIF('数据-汇总表'!C$19:C$33,A6,'数据-汇总表'!R$19:R$27)</f>
        <v>222.28</v>
      </c>
      <c r="S6" s="54">
        <f>IF('数据-汇总表'!$I$17="按面积比例",SUMIF('数据-汇总表'!C$19:C$33,A6,'数据-汇总表'!K$19:K$33),SUMIF('数据-汇总表'!C$19:C$33,A6,'数据-汇总表'!N$19:N$33))</f>
        <v>0</v>
      </c>
      <c r="T6" s="1329">
        <f>ROUND($L$14*S6/10000,0)</f>
        <v>0</v>
      </c>
      <c r="U6" s="74">
        <v>5</v>
      </c>
      <c r="V6" s="75">
        <v>0.03</v>
      </c>
      <c r="W6" s="75">
        <v>0.1</v>
      </c>
      <c r="X6" s="1166"/>
      <c r="Y6" s="76">
        <f>N6</f>
        <v>0.71699999999999997</v>
      </c>
      <c r="Z6" s="77"/>
      <c r="AA6" s="70"/>
      <c r="AB6" s="70"/>
      <c r="AC6" s="1166"/>
      <c r="AD6" s="78"/>
      <c r="AE6" s="1167">
        <f ca="1">IF(AN6="",0,SUMIF(INDIRECT("'"&amp;AN6&amp;"'"&amp;"!E:E"),$AE$5,INDIRECT("'"&amp;AN6&amp;"'"&amp;"!F:F")))</f>
        <v>24.88</v>
      </c>
      <c r="AF6" s="1525"/>
      <c r="AG6" s="143">
        <f>IF(AF6="",0,AE6-AF6)</f>
        <v>0</v>
      </c>
      <c r="AH6" s="3059">
        <f>K6</f>
        <v>1954.06</v>
      </c>
      <c r="AI6" s="81">
        <v>365</v>
      </c>
      <c r="AJ6" s="82"/>
      <c r="AK6" s="83">
        <v>1.4999999999999999E-2</v>
      </c>
      <c r="AL6" s="84">
        <v>1.5E-3</v>
      </c>
      <c r="AM6" s="85">
        <v>0.02</v>
      </c>
      <c r="AN6" s="1894" t="s">
        <v>3092</v>
      </c>
      <c r="AO6" s="55">
        <f ca="1">SUMIF(INDIRECT("'"&amp;AN6&amp;"'"&amp;"!A:A"),"总价",INDIRECT("'"&amp;AN6&amp;"'"&amp;"!B:B"))</f>
        <v>4367</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6">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29">
        <f t="shared" ref="T7:T13" si="5">ROUND($L$14*S7/10000,0)</f>
        <v>0</v>
      </c>
      <c r="U7" s="3058"/>
      <c r="V7" s="75"/>
      <c r="W7" s="75"/>
      <c r="X7" s="1166"/>
      <c r="Y7" s="76"/>
      <c r="Z7" s="77"/>
      <c r="AA7" s="70"/>
      <c r="AB7" s="70"/>
      <c r="AC7" s="1166"/>
      <c r="AD7" s="78"/>
      <c r="AE7" s="1167">
        <f t="shared" ref="AE7:AE13" ca="1" si="6">IF(AN7="",0,SUMIF(INDIRECT("'"&amp;AN7&amp;"'"&amp;"!E:E"),$AE$5,INDIRECT("'"&amp;AN7&amp;"'"&amp;"!F:F")))</f>
        <v>0</v>
      </c>
      <c r="AF7" s="1525"/>
      <c r="AG7" s="143">
        <f t="shared" ref="AG7:AG13" si="7">IF(AF7="",0,AE7-AF7)</f>
        <v>0</v>
      </c>
      <c r="AH7" s="3059">
        <f>K7</f>
        <v>0</v>
      </c>
      <c r="AI7" s="81">
        <v>365</v>
      </c>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6">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29">
        <f t="shared" si="5"/>
        <v>0</v>
      </c>
      <c r="U8" s="742"/>
      <c r="V8" s="743"/>
      <c r="W8" s="743"/>
      <c r="X8" s="1166"/>
      <c r="Y8" s="744"/>
      <c r="Z8" s="77"/>
      <c r="AA8" s="70"/>
      <c r="AB8" s="70"/>
      <c r="AC8" s="1166"/>
      <c r="AD8" s="78"/>
      <c r="AE8" s="1167">
        <f t="shared" ca="1" si="6"/>
        <v>0</v>
      </c>
      <c r="AF8" s="1525"/>
      <c r="AG8" s="143">
        <f t="shared" si="7"/>
        <v>0</v>
      </c>
      <c r="AH8" s="745"/>
      <c r="AI8" s="81"/>
      <c r="AJ8" s="82"/>
      <c r="AK8" s="746"/>
      <c r="AL8" s="747"/>
      <c r="AM8" s="748"/>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9">
        <f t="shared" si="5"/>
        <v>0</v>
      </c>
      <c r="U9" s="74"/>
      <c r="V9" s="75"/>
      <c r="W9" s="75"/>
      <c r="X9" s="1166"/>
      <c r="Y9" s="76"/>
      <c r="Z9" s="77"/>
      <c r="AA9" s="70"/>
      <c r="AB9" s="70"/>
      <c r="AC9" s="1166"/>
      <c r="AD9" s="78"/>
      <c r="AE9" s="1167">
        <f t="shared" ca="1" si="6"/>
        <v>0</v>
      </c>
      <c r="AF9" s="1525"/>
      <c r="AG9" s="143">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9">
        <f t="shared" si="5"/>
        <v>0</v>
      </c>
      <c r="U10" s="74"/>
      <c r="V10" s="75"/>
      <c r="W10" s="75"/>
      <c r="X10" s="1166"/>
      <c r="Y10" s="76"/>
      <c r="Z10" s="77"/>
      <c r="AA10" s="70"/>
      <c r="AB10" s="70"/>
      <c r="AC10" s="1166"/>
      <c r="AD10" s="78"/>
      <c r="AE10" s="1167">
        <f t="shared" ca="1" si="6"/>
        <v>0</v>
      </c>
      <c r="AF10" s="1525"/>
      <c r="AG10" s="143">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9">
        <f t="shared" si="5"/>
        <v>0</v>
      </c>
      <c r="U11" s="79"/>
      <c r="V11" s="70"/>
      <c r="W11" s="70"/>
      <c r="X11" s="1166"/>
      <c r="Y11" s="76"/>
      <c r="Z11" s="89"/>
      <c r="AA11" s="70"/>
      <c r="AB11" s="70"/>
      <c r="AC11" s="1166"/>
      <c r="AD11" s="78"/>
      <c r="AE11" s="1167">
        <f t="shared" ca="1" si="6"/>
        <v>0</v>
      </c>
      <c r="AF11" s="1525"/>
      <c r="AG11" s="143">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9">
        <f t="shared" si="5"/>
        <v>0</v>
      </c>
      <c r="U12" s="79"/>
      <c r="V12" s="70"/>
      <c r="W12" s="70"/>
      <c r="X12" s="1166"/>
      <c r="Y12" s="76"/>
      <c r="Z12" s="89"/>
      <c r="AA12" s="70"/>
      <c r="AB12" s="70"/>
      <c r="AC12" s="1166"/>
      <c r="AD12" s="78"/>
      <c r="AE12" s="1167">
        <f t="shared" ca="1" si="6"/>
        <v>0</v>
      </c>
      <c r="AF12" s="1525"/>
      <c r="AG12" s="143">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9">
        <f t="shared" si="5"/>
        <v>0</v>
      </c>
      <c r="U13" s="74"/>
      <c r="V13" s="75"/>
      <c r="W13" s="75"/>
      <c r="X13" s="1166"/>
      <c r="Y13" s="76"/>
      <c r="Z13" s="77"/>
      <c r="AA13" s="70"/>
      <c r="AB13" s="70"/>
      <c r="AC13" s="1166"/>
      <c r="AD13" s="78"/>
      <c r="AE13" s="1167">
        <f t="shared" ca="1" si="6"/>
        <v>0</v>
      </c>
      <c r="AF13" s="1525"/>
      <c r="AG13" s="143">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1890</v>
      </c>
      <c r="B14" s="1892" t="s">
        <v>1891</v>
      </c>
      <c r="C14" s="1897" t="s">
        <v>1890</v>
      </c>
      <c r="D14" s="965"/>
      <c r="E14" s="964"/>
      <c r="F14" s="68"/>
      <c r="G14" s="69"/>
      <c r="H14" s="1155"/>
      <c r="I14" s="1155"/>
      <c r="J14" s="1155"/>
      <c r="K14" s="1156">
        <f>SUMIF('数据-汇总表'!C$19:C$33,A14,'数据-汇总表'!E$19:E$33)</f>
        <v>0</v>
      </c>
      <c r="L14" s="87"/>
      <c r="M14" s="71">
        <f t="shared" si="0"/>
        <v>0</v>
      </c>
      <c r="N14" s="88"/>
      <c r="O14" s="71" t="str">
        <f t="shared" si="3"/>
        <v>——</v>
      </c>
      <c r="P14" s="72" t="str">
        <f t="shared" si="4"/>
        <v>——</v>
      </c>
      <c r="Q14" s="1159"/>
      <c r="R14" s="73"/>
      <c r="S14" s="54"/>
      <c r="T14" s="1329"/>
      <c r="U14" s="677"/>
      <c r="V14" s="1161"/>
      <c r="W14" s="1161"/>
      <c r="X14" s="1162"/>
      <c r="Y14" s="1163"/>
      <c r="Z14" s="1164"/>
      <c r="AA14" s="1165"/>
      <c r="AB14" s="1165"/>
      <c r="AC14" s="1166"/>
      <c r="AD14" s="1162"/>
      <c r="AE14" s="1167"/>
      <c r="AF14" s="55"/>
      <c r="AG14" s="143"/>
      <c r="AH14" s="1167"/>
      <c r="AI14" s="1534"/>
      <c r="AJ14" s="711"/>
      <c r="AK14" s="1168"/>
      <c r="AL14" s="1169"/>
      <c r="AM14" s="1170"/>
      <c r="AN14" s="2881"/>
      <c r="AO14" s="2883"/>
      <c r="AP14" s="2883"/>
      <c r="AQ14" s="2883"/>
      <c r="AR14" s="2883"/>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1892</v>
      </c>
      <c r="B15" s="1892" t="s">
        <v>1891</v>
      </c>
      <c r="C15" s="1897" t="s">
        <v>1893</v>
      </c>
      <c r="D15" s="965"/>
      <c r="E15" s="964"/>
      <c r="F15" s="68"/>
      <c r="G15" s="69"/>
      <c r="H15" s="1155"/>
      <c r="I15" s="1155"/>
      <c r="J15" s="1155"/>
      <c r="K15" s="1156">
        <f>SUMIF('数据-汇总表'!C$19:C$33,A15,'数据-汇总表'!E$19:E$33)</f>
        <v>0</v>
      </c>
      <c r="L15" s="1157"/>
      <c r="M15" s="71"/>
      <c r="N15" s="1158"/>
      <c r="O15" s="71"/>
      <c r="P15" s="72"/>
      <c r="Q15" s="1159"/>
      <c r="R15" s="73"/>
      <c r="S15" s="54"/>
      <c r="T15" s="1329"/>
      <c r="U15" s="677"/>
      <c r="V15" s="1161"/>
      <c r="W15" s="1161"/>
      <c r="X15" s="1162"/>
      <c r="Y15" s="1163"/>
      <c r="Z15" s="1164"/>
      <c r="AA15" s="1165"/>
      <c r="AB15" s="1165"/>
      <c r="AC15" s="1166"/>
      <c r="AD15" s="1162"/>
      <c r="AE15" s="1167"/>
      <c r="AF15" s="55"/>
      <c r="AG15" s="143"/>
      <c r="AH15" s="1167"/>
      <c r="AI15" s="1534"/>
      <c r="AJ15" s="711"/>
      <c r="AK15" s="1168"/>
      <c r="AL15" s="1169"/>
      <c r="AM15" s="1170"/>
      <c r="AN15" s="2881"/>
      <c r="AO15" s="2883"/>
      <c r="AP15" s="2883"/>
      <c r="AQ15" s="2883"/>
      <c r="AR15" s="2883"/>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1894</v>
      </c>
      <c r="B16" s="93"/>
      <c r="C16" s="940"/>
      <c r="D16" s="1899"/>
      <c r="E16" s="93"/>
      <c r="F16" s="93"/>
      <c r="G16" s="94">
        <f>ROUND(SUMPRODUCT(G6:G13,K6:K13)/SUMPRODUCT((G6:G13&gt;0)*(K6:K13)),3)</f>
        <v>0.81899999999999995</v>
      </c>
      <c r="H16" s="95">
        <f>ROUND(SUMPRODUCT(H6:H13,K6:K13)/SUMPRODUCT((H6:H13&gt;0)*(K6:K13)),3)</f>
        <v>0.05</v>
      </c>
      <c r="I16" s="96"/>
      <c r="J16" s="96"/>
      <c r="K16" s="97">
        <f>SUM(K6:K15)</f>
        <v>1954.06</v>
      </c>
      <c r="L16" s="98">
        <f>ROUND(M16*10000/SUM(K6:K14),0)</f>
        <v>4002</v>
      </c>
      <c r="M16" s="98">
        <f>SUM(M6:M14)</f>
        <v>782</v>
      </c>
      <c r="N16" s="99">
        <f>ROUND(SUMPRODUCT(M6:M14,N6:N14)/M16,3)</f>
        <v>0.71699999999999997</v>
      </c>
      <c r="O16" s="98">
        <f>SUM(O6:O14)</f>
        <v>0</v>
      </c>
      <c r="P16" s="98">
        <f>SUM(P6:P14)</f>
        <v>0</v>
      </c>
      <c r="Q16" s="100">
        <f>ROUND(SUMPRODUCT(Q6:Q13,K6:K13)/SUMPRODUCT((Q6:Q13&gt;0)*(K6:K13)),2)</f>
        <v>0.15</v>
      </c>
      <c r="R16" s="1160">
        <f ca="1">SUM(R6:R13)</f>
        <v>222.28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1"/>
      <c r="AO16" s="2883"/>
      <c r="AP16" s="2883"/>
      <c r="AQ16" s="2883"/>
      <c r="AR16" s="2883"/>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892"/>
      <c r="C17" s="2881"/>
      <c r="D17" s="2885"/>
      <c r="E17" s="2885"/>
      <c r="F17" s="2881"/>
      <c r="G17" s="2881"/>
      <c r="H17" s="2881"/>
      <c r="I17" s="2881"/>
      <c r="J17" s="2881"/>
      <c r="K17" s="2882"/>
      <c r="L17" s="2882"/>
      <c r="M17" s="2881"/>
      <c r="N17" s="2881"/>
      <c r="O17" s="2881"/>
      <c r="P17" s="2881"/>
      <c r="Q17" s="2881"/>
      <c r="R17" s="2881"/>
      <c r="S17" s="2881"/>
      <c r="T17" s="2881"/>
      <c r="U17" s="2881"/>
      <c r="V17" s="2881"/>
      <c r="W17" s="2881"/>
      <c r="X17" s="2881"/>
      <c r="Y17" s="2881"/>
      <c r="Z17" s="2881"/>
      <c r="AA17" s="2881"/>
      <c r="AB17" s="2881"/>
      <c r="AC17" s="2881"/>
      <c r="AD17" s="2881"/>
      <c r="AE17" s="2881"/>
      <c r="AF17" s="2881"/>
      <c r="AG17" s="2881"/>
      <c r="AH17" s="2881"/>
      <c r="AI17" s="2881"/>
      <c r="AJ17" s="2881"/>
      <c r="AK17" s="2881"/>
      <c r="AL17" s="2881"/>
      <c r="AM17" s="2881"/>
      <c r="AN17" s="2881"/>
      <c r="AO17" s="2881"/>
      <c r="AP17" s="2881"/>
      <c r="AQ17" s="2881"/>
      <c r="AR17" s="2881"/>
    </row>
    <row r="18" spans="1:67" ht="15" thickBot="1">
      <c r="A18" s="64" t="s">
        <v>1895</v>
      </c>
      <c r="B18" s="2895"/>
      <c r="C18" s="2883"/>
      <c r="D18" s="2886"/>
      <c r="E18" s="2883"/>
      <c r="F18" s="2883"/>
      <c r="G18" s="2883"/>
      <c r="H18" s="2883"/>
      <c r="I18" s="2883"/>
      <c r="J18" s="2883"/>
      <c r="K18" s="2882"/>
      <c r="L18" s="2882"/>
      <c r="M18" s="2881"/>
      <c r="N18" s="2881"/>
      <c r="O18" s="2881"/>
      <c r="P18" s="2881"/>
      <c r="Q18" s="2881"/>
      <c r="R18" s="2881"/>
      <c r="S18" s="2881"/>
      <c r="T18" s="2881"/>
      <c r="U18" s="2881"/>
      <c r="V18" s="2881"/>
      <c r="W18" s="2881"/>
      <c r="X18" s="2881"/>
      <c r="Y18" s="2881"/>
      <c r="Z18" s="2881"/>
      <c r="AA18" s="2881"/>
      <c r="AB18" s="2881"/>
      <c r="AC18" s="2881"/>
      <c r="AD18" s="2881"/>
      <c r="AE18" s="2881"/>
      <c r="AF18" s="2881"/>
      <c r="AG18" s="2881"/>
      <c r="AH18" s="2881"/>
      <c r="AI18" s="2881"/>
      <c r="AJ18" s="2881"/>
      <c r="AK18" s="2881"/>
      <c r="AL18" s="2881"/>
      <c r="AM18" s="2881"/>
      <c r="AN18" s="2881"/>
      <c r="AO18" s="2881"/>
      <c r="AP18" s="2881"/>
      <c r="AQ18" s="2881"/>
      <c r="AR18" s="2881"/>
    </row>
    <row r="19" spans="1:67" ht="14.25">
      <c r="A19" s="1901" t="s">
        <v>1896</v>
      </c>
      <c r="B19" s="108">
        <v>0</v>
      </c>
      <c r="C19" s="3011" t="s">
        <v>3042</v>
      </c>
      <c r="D19" s="2886"/>
      <c r="E19" s="2883"/>
      <c r="F19" s="2883"/>
      <c r="G19" s="2883"/>
      <c r="H19" s="2883"/>
      <c r="I19" s="2883"/>
      <c r="J19" s="2883"/>
      <c r="K19" s="2882"/>
      <c r="L19" s="2882"/>
      <c r="M19" s="2881"/>
      <c r="N19" s="2881"/>
      <c r="O19" s="2881"/>
      <c r="P19" s="2881"/>
      <c r="Q19" s="2881"/>
      <c r="R19" s="2881"/>
      <c r="S19" s="2881"/>
      <c r="T19" s="2881"/>
      <c r="U19" s="2881"/>
      <c r="V19" s="2881"/>
      <c r="W19" s="2881"/>
      <c r="X19" s="2881"/>
      <c r="Y19" s="2881"/>
      <c r="Z19" s="2881"/>
      <c r="AA19" s="2881"/>
      <c r="AB19" s="2881"/>
      <c r="AC19" s="2881"/>
      <c r="AD19" s="2881"/>
      <c r="AE19" s="2881"/>
      <c r="AF19" s="2881"/>
      <c r="AG19" s="2881"/>
      <c r="AH19" s="2881"/>
      <c r="AI19" s="2881"/>
      <c r="AJ19" s="2881"/>
      <c r="AK19" s="2881"/>
      <c r="AL19" s="2881"/>
      <c r="AM19" s="2881"/>
      <c r="AN19" s="2881"/>
      <c r="AO19" s="2881"/>
      <c r="AP19" s="2881"/>
      <c r="AQ19" s="2881"/>
      <c r="AR19" s="2881"/>
    </row>
    <row r="20" spans="1:67" ht="14.25">
      <c r="A20" s="1902" t="s">
        <v>1897</v>
      </c>
      <c r="B20" s="109">
        <v>2</v>
      </c>
      <c r="C20" s="3012" t="s">
        <v>3040</v>
      </c>
      <c r="D20" s="2886"/>
      <c r="E20" s="2883"/>
      <c r="F20" s="2883"/>
      <c r="G20" s="2883"/>
      <c r="H20" s="2883"/>
      <c r="I20" s="2883"/>
      <c r="J20" s="2883"/>
      <c r="K20" s="2882"/>
      <c r="L20" s="2882"/>
      <c r="M20" s="2881"/>
      <c r="N20" s="2881"/>
      <c r="O20" s="2881"/>
      <c r="P20" s="2881"/>
      <c r="Q20" s="2881"/>
      <c r="R20" s="2881"/>
      <c r="S20" s="2881"/>
      <c r="T20" s="2881"/>
      <c r="U20" s="2881"/>
      <c r="V20" s="2881"/>
      <c r="W20" s="2881"/>
      <c r="X20" s="2881"/>
      <c r="Y20" s="2881"/>
      <c r="Z20" s="2881"/>
      <c r="AA20" s="2881"/>
      <c r="AB20" s="2881"/>
      <c r="AC20" s="2881"/>
      <c r="AD20" s="2881"/>
      <c r="AE20" s="2881"/>
      <c r="AF20" s="2881"/>
      <c r="AG20" s="2881"/>
      <c r="AH20" s="2881"/>
      <c r="AI20" s="2881"/>
      <c r="AJ20" s="2881"/>
      <c r="AK20" s="2881"/>
      <c r="AL20" s="2881"/>
      <c r="AM20" s="2881"/>
      <c r="AN20" s="2881"/>
      <c r="AO20" s="2881"/>
      <c r="AP20" s="2881"/>
      <c r="AQ20" s="2881"/>
      <c r="AR20" s="2881"/>
    </row>
    <row r="21" spans="1:67" ht="14.25">
      <c r="A21" s="1903" t="s">
        <v>1898</v>
      </c>
      <c r="B21" s="109">
        <v>2</v>
      </c>
      <c r="C21" s="2883"/>
      <c r="D21" s="2886"/>
      <c r="E21" s="2883"/>
      <c r="F21" s="2883"/>
      <c r="G21" s="2883"/>
      <c r="H21" s="2883"/>
      <c r="I21" s="2883"/>
      <c r="J21" s="2883"/>
      <c r="K21" s="2882"/>
      <c r="L21" s="2882"/>
      <c r="M21" s="2881"/>
      <c r="N21" s="2881"/>
      <c r="O21" s="2881"/>
      <c r="P21" s="2881"/>
      <c r="Q21" s="2881"/>
      <c r="R21" s="2881"/>
      <c r="S21" s="2881"/>
      <c r="T21" s="2881"/>
      <c r="U21" s="2881"/>
      <c r="V21" s="2881"/>
      <c r="W21" s="2881"/>
      <c r="X21" s="2881"/>
      <c r="Y21" s="2881"/>
      <c r="Z21" s="2881"/>
      <c r="AA21" s="2881"/>
      <c r="AB21" s="2881"/>
      <c r="AC21" s="2881"/>
      <c r="AD21" s="2881"/>
      <c r="AE21" s="2881"/>
      <c r="AF21" s="2881"/>
      <c r="AG21" s="2881"/>
      <c r="AH21" s="2881"/>
      <c r="AI21" s="2881"/>
      <c r="AJ21" s="2881"/>
      <c r="AK21" s="2881"/>
      <c r="AL21" s="2881"/>
      <c r="AM21" s="2881"/>
      <c r="AN21" s="2881"/>
      <c r="AO21" s="2881"/>
      <c r="AP21" s="2881"/>
      <c r="AQ21" s="2881"/>
      <c r="AR21" s="2881"/>
    </row>
    <row r="22" spans="1:67" ht="14.25">
      <c r="A22" s="1902" t="s">
        <v>1899</v>
      </c>
      <c r="B22" s="110">
        <f>B19+B20</f>
        <v>2</v>
      </c>
      <c r="C22" s="2883"/>
      <c r="D22" s="2886"/>
      <c r="E22" s="2883"/>
      <c r="F22" s="2883"/>
      <c r="G22" s="2883"/>
      <c r="H22" s="2883"/>
      <c r="I22" s="2883"/>
      <c r="J22" s="2883"/>
      <c r="K22" s="2882"/>
      <c r="L22" s="2882"/>
      <c r="M22" s="2881"/>
      <c r="N22" s="2881"/>
      <c r="O22" s="2881"/>
      <c r="P22" s="2881"/>
      <c r="Q22" s="2881"/>
      <c r="R22" s="2881"/>
      <c r="S22" s="2881"/>
      <c r="T22" s="2881"/>
      <c r="U22" s="2881"/>
      <c r="V22" s="2881"/>
      <c r="W22" s="2881"/>
      <c r="X22" s="2881"/>
      <c r="Y22" s="2881"/>
      <c r="Z22" s="2881"/>
      <c r="AA22" s="2881"/>
      <c r="AB22" s="2881"/>
      <c r="AC22" s="2881"/>
      <c r="AD22" s="2881"/>
      <c r="AE22" s="2881"/>
      <c r="AF22" s="2881"/>
      <c r="AG22" s="2881"/>
      <c r="AH22" s="2881"/>
      <c r="AI22" s="2881"/>
      <c r="AJ22" s="2881"/>
      <c r="AK22" s="2881"/>
      <c r="AL22" s="2881"/>
      <c r="AM22" s="2881"/>
      <c r="AN22" s="2881"/>
      <c r="AO22" s="2881"/>
      <c r="AP22" s="2881"/>
      <c r="AQ22" s="2881"/>
      <c r="AR22" s="2881"/>
    </row>
    <row r="23" spans="1:67" ht="14.25">
      <c r="A23" s="1903" t="s">
        <v>1900</v>
      </c>
      <c r="B23" s="110">
        <f>B19+B21</f>
        <v>2</v>
      </c>
      <c r="C23" s="2883"/>
      <c r="D23" s="2886"/>
      <c r="E23" s="2883"/>
      <c r="F23" s="2883"/>
      <c r="G23" s="2883"/>
      <c r="H23" s="2883"/>
      <c r="I23" s="2883"/>
      <c r="J23" s="2883"/>
      <c r="K23" s="2882"/>
      <c r="L23" s="2882"/>
      <c r="M23" s="2881"/>
      <c r="N23" s="2881"/>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c r="AJ23" s="2881"/>
      <c r="AK23" s="2881"/>
      <c r="AL23" s="2881"/>
      <c r="AM23" s="2881"/>
      <c r="AN23" s="2881"/>
      <c r="AO23" s="2881"/>
      <c r="AP23" s="2881"/>
      <c r="AQ23" s="2881"/>
      <c r="AR23" s="2881"/>
    </row>
    <row r="24" spans="1:67" ht="15" thickBot="1">
      <c r="A24" s="1904" t="s">
        <v>1901</v>
      </c>
      <c r="B24" s="111">
        <f>B20-B21</f>
        <v>0</v>
      </c>
      <c r="C24" s="2883"/>
      <c r="D24" s="2886"/>
      <c r="E24" s="2883"/>
      <c r="F24" s="2883"/>
      <c r="G24" s="2883"/>
      <c r="H24" s="2883"/>
      <c r="I24" s="2883"/>
      <c r="J24" s="2883"/>
      <c r="K24" s="2882"/>
      <c r="L24" s="2882"/>
      <c r="M24" s="2881"/>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c r="AL24" s="2881"/>
      <c r="AM24" s="2881"/>
      <c r="AN24" s="2881"/>
      <c r="AO24" s="2881"/>
      <c r="AP24" s="2881"/>
      <c r="AQ24" s="2881"/>
      <c r="AR24" s="2881"/>
    </row>
    <row r="25" spans="1:67" ht="15" thickBot="1">
      <c r="A25" s="1735"/>
      <c r="B25" s="1866"/>
      <c r="C25" s="2883"/>
      <c r="D25" s="2886"/>
      <c r="E25" s="2883"/>
      <c r="F25" s="2883"/>
      <c r="G25" s="2883"/>
      <c r="H25" s="2883"/>
      <c r="I25" s="2883"/>
      <c r="J25" s="2883"/>
      <c r="K25" s="2882"/>
      <c r="L25" s="2882"/>
      <c r="M25" s="2881"/>
      <c r="N25" s="2881"/>
      <c r="O25" s="2881"/>
      <c r="P25" s="2881"/>
      <c r="Q25" s="2881"/>
      <c r="R25" s="2881"/>
      <c r="S25" s="2881"/>
      <c r="T25" s="2881"/>
      <c r="U25" s="2881"/>
      <c r="V25" s="2881"/>
      <c r="W25" s="2881"/>
      <c r="X25" s="2881"/>
      <c r="Y25" s="2881"/>
      <c r="Z25" s="2881"/>
      <c r="AA25" s="2881"/>
      <c r="AB25" s="2881"/>
      <c r="AC25" s="2881"/>
      <c r="AD25" s="2881"/>
      <c r="AE25" s="2881"/>
      <c r="AF25" s="2881"/>
      <c r="AG25" s="2881"/>
      <c r="AH25" s="2881"/>
      <c r="AI25" s="2881"/>
      <c r="AJ25" s="2881"/>
      <c r="AK25" s="2881"/>
      <c r="AL25" s="2881"/>
      <c r="AM25" s="2881"/>
      <c r="AN25" s="2881"/>
      <c r="AO25" s="2881"/>
      <c r="AP25" s="2881"/>
      <c r="AQ25" s="2881"/>
      <c r="AR25" s="2881"/>
    </row>
    <row r="26" spans="1:67" ht="15" thickBot="1">
      <c r="A26" s="1862" t="s">
        <v>1902</v>
      </c>
      <c r="B26" s="1905" t="s">
        <v>1903</v>
      </c>
      <c r="C26" s="2887" t="s">
        <v>1904</v>
      </c>
      <c r="D26" s="2886"/>
      <c r="E26" s="2883"/>
      <c r="F26" s="2883"/>
      <c r="G26" s="2883"/>
      <c r="H26" s="2883"/>
      <c r="I26" s="2883"/>
      <c r="J26" s="2883"/>
      <c r="K26" s="2882"/>
      <c r="L26" s="2882"/>
      <c r="M26" s="2881"/>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row>
    <row r="27" spans="1:67" s="1907" customFormat="1" ht="27.75">
      <c r="A27" s="1906" t="s">
        <v>1905</v>
      </c>
      <c r="B27" s="112"/>
      <c r="C27" s="3013" t="s">
        <v>3044</v>
      </c>
      <c r="D27" s="2889"/>
      <c r="E27" s="2870"/>
      <c r="F27" s="2870"/>
      <c r="G27" s="2883"/>
      <c r="H27" s="2883"/>
      <c r="I27" s="2883"/>
      <c r="J27" s="2883"/>
      <c r="K27" s="2882"/>
      <c r="L27" s="2882"/>
      <c r="M27" s="2881"/>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7" customFormat="1" ht="27.75">
      <c r="A28" s="1908" t="s">
        <v>1906</v>
      </c>
      <c r="B28" s="115"/>
      <c r="C28" s="2890"/>
      <c r="D28" s="2889"/>
      <c r="E28" s="2870"/>
      <c r="F28" s="2870"/>
      <c r="G28" s="2883"/>
      <c r="H28" s="2883"/>
      <c r="I28" s="2883"/>
      <c r="J28" s="2883"/>
      <c r="K28" s="2882"/>
      <c r="L28" s="2882"/>
      <c r="M28" s="2881"/>
      <c r="N28" s="2881"/>
      <c r="O28" s="2881"/>
      <c r="P28" s="2881"/>
      <c r="Q28" s="2881"/>
      <c r="R28" s="2881"/>
      <c r="S28" s="2881"/>
      <c r="T28" s="2881"/>
      <c r="U28" s="2881"/>
      <c r="V28" s="2881"/>
      <c r="W28" s="2881"/>
      <c r="X28" s="2881"/>
      <c r="Y28" s="2881"/>
      <c r="Z28" s="2881"/>
      <c r="AA28" s="2881"/>
      <c r="AB28" s="2881"/>
      <c r="AC28" s="2881"/>
      <c r="AD28" s="2881"/>
      <c r="AE28" s="2881"/>
      <c r="AF28" s="2881"/>
      <c r="AG28" s="2881"/>
      <c r="AH28" s="2881"/>
      <c r="AI28" s="2881"/>
      <c r="AJ28" s="2881"/>
      <c r="AK28" s="2881"/>
      <c r="AL28" s="2881"/>
      <c r="AM28" s="2881"/>
      <c r="AN28" s="2881"/>
      <c r="AO28" s="2881"/>
      <c r="AP28" s="2881"/>
      <c r="AQ28" s="2881"/>
      <c r="AR28" s="2881"/>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7" customFormat="1" ht="28.5" thickBot="1">
      <c r="A29" s="1909" t="s">
        <v>1907</v>
      </c>
      <c r="B29" s="117"/>
      <c r="C29" s="3014" t="s">
        <v>3031</v>
      </c>
      <c r="D29" s="2889"/>
      <c r="E29" s="2870"/>
      <c r="F29" s="2870"/>
      <c r="G29" s="2883"/>
      <c r="H29" s="2883"/>
      <c r="I29" s="2883"/>
      <c r="J29" s="2883"/>
      <c r="K29" s="2882"/>
      <c r="L29" s="2882"/>
      <c r="M29" s="2881"/>
      <c r="N29" s="2881"/>
      <c r="O29" s="2881"/>
      <c r="P29" s="2881"/>
      <c r="Q29" s="2881"/>
      <c r="R29" s="2881"/>
      <c r="S29" s="2881"/>
      <c r="T29" s="2881"/>
      <c r="U29" s="2881"/>
      <c r="V29" s="2881"/>
      <c r="W29" s="2881"/>
      <c r="X29" s="2881"/>
      <c r="Y29" s="2881"/>
      <c r="Z29" s="2881"/>
      <c r="AA29" s="2881"/>
      <c r="AB29" s="2881"/>
      <c r="AC29" s="2881"/>
      <c r="AD29" s="2881"/>
      <c r="AE29" s="2881"/>
      <c r="AF29" s="2881"/>
      <c r="AG29" s="2881"/>
      <c r="AH29" s="2881"/>
      <c r="AI29" s="2881"/>
      <c r="AJ29" s="2881"/>
      <c r="AK29" s="2881"/>
      <c r="AL29" s="2881"/>
      <c r="AM29" s="2881"/>
      <c r="AN29" s="2881"/>
      <c r="AO29" s="2881"/>
      <c r="AP29" s="2881"/>
      <c r="AQ29" s="2881"/>
      <c r="AR29" s="2881"/>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7" customFormat="1" ht="27">
      <c r="A30" s="1910" t="s">
        <v>1908</v>
      </c>
      <c r="B30" s="678">
        <v>200</v>
      </c>
      <c r="C30" s="2890"/>
      <c r="D30" s="2889"/>
      <c r="E30" s="2870"/>
      <c r="F30" s="2870"/>
      <c r="G30" s="2883"/>
      <c r="H30" s="2883"/>
      <c r="I30" s="2883"/>
      <c r="J30" s="2883"/>
      <c r="K30" s="2882"/>
      <c r="L30" s="2882"/>
      <c r="M30" s="2881"/>
      <c r="N30" s="2881"/>
      <c r="O30" s="2881"/>
      <c r="P30" s="2881"/>
      <c r="Q30" s="2881"/>
      <c r="R30" s="2881"/>
      <c r="S30" s="2881"/>
      <c r="T30" s="2881"/>
      <c r="U30" s="2881"/>
      <c r="V30" s="2881"/>
      <c r="W30" s="2881"/>
      <c r="X30" s="2881"/>
      <c r="Y30" s="2881"/>
      <c r="Z30" s="2881"/>
      <c r="AA30" s="2881"/>
      <c r="AB30" s="2881"/>
      <c r="AC30" s="2881"/>
      <c r="AD30" s="2881"/>
      <c r="AE30" s="2881"/>
      <c r="AF30" s="2881"/>
      <c r="AG30" s="2881"/>
      <c r="AH30" s="2881"/>
      <c r="AI30" s="2881"/>
      <c r="AJ30" s="2881"/>
      <c r="AK30" s="2881"/>
      <c r="AL30" s="2881"/>
      <c r="AM30" s="2881"/>
      <c r="AN30" s="2881"/>
      <c r="AO30" s="2881"/>
      <c r="AP30" s="2881"/>
      <c r="AQ30" s="2881"/>
      <c r="AR30" s="2881"/>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7" customFormat="1" ht="27">
      <c r="A31" s="1908" t="s">
        <v>1909</v>
      </c>
      <c r="B31" s="116">
        <f>B30-B32</f>
        <v>200</v>
      </c>
      <c r="C31" s="2888"/>
      <c r="D31" s="2889"/>
      <c r="E31" s="2870"/>
      <c r="F31" s="2870"/>
      <c r="G31" s="2883"/>
      <c r="H31" s="2883"/>
      <c r="I31" s="2883"/>
      <c r="J31" s="2883"/>
      <c r="K31" s="2882"/>
      <c r="L31" s="2882"/>
      <c r="M31" s="2881"/>
      <c r="N31" s="2881"/>
      <c r="O31" s="2881"/>
      <c r="P31" s="2881"/>
      <c r="Q31" s="2881"/>
      <c r="R31" s="2881"/>
      <c r="S31" s="2881"/>
      <c r="T31" s="2881"/>
      <c r="U31" s="2881"/>
      <c r="V31" s="2881"/>
      <c r="W31" s="2881"/>
      <c r="X31" s="2881"/>
      <c r="Y31" s="2881"/>
      <c r="Z31" s="2881"/>
      <c r="AA31" s="2881"/>
      <c r="AB31" s="2881"/>
      <c r="AC31" s="2881"/>
      <c r="AD31" s="2881"/>
      <c r="AE31" s="2881"/>
      <c r="AF31" s="2881"/>
      <c r="AG31" s="2881"/>
      <c r="AH31" s="2881"/>
      <c r="AI31" s="2881"/>
      <c r="AJ31" s="2881"/>
      <c r="AK31" s="2881"/>
      <c r="AL31" s="2881"/>
      <c r="AM31" s="2881"/>
      <c r="AN31" s="2881"/>
      <c r="AO31" s="2881"/>
      <c r="AP31" s="2881"/>
      <c r="AQ31" s="2881"/>
      <c r="AR31" s="2881"/>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7" customFormat="1" ht="27.75" thickBot="1">
      <c r="A32" s="1911" t="s">
        <v>1910</v>
      </c>
      <c r="B32" s="679"/>
      <c r="C32" s="2890"/>
      <c r="D32" s="2886"/>
      <c r="E32" s="2883"/>
      <c r="F32" s="2883"/>
      <c r="G32" s="2883"/>
      <c r="H32" s="2883"/>
      <c r="I32" s="2883"/>
      <c r="J32" s="2883"/>
      <c r="K32" s="2882"/>
      <c r="L32" s="2882"/>
      <c r="M32" s="2881"/>
      <c r="N32" s="2881"/>
      <c r="O32" s="2881"/>
      <c r="P32" s="2881"/>
      <c r="Q32" s="2881"/>
      <c r="R32" s="2881"/>
      <c r="S32" s="2881"/>
      <c r="T32" s="2881"/>
      <c r="U32" s="2881"/>
      <c r="V32" s="2881"/>
      <c r="W32" s="2881"/>
      <c r="X32" s="2881"/>
      <c r="Y32" s="2881"/>
      <c r="Z32" s="2881"/>
      <c r="AA32" s="2881"/>
      <c r="AB32" s="2881"/>
      <c r="AC32" s="2881"/>
      <c r="AD32" s="2881"/>
      <c r="AE32" s="2881"/>
      <c r="AF32" s="2881"/>
      <c r="AG32" s="2881"/>
      <c r="AH32" s="2881"/>
      <c r="AI32" s="2881"/>
      <c r="AJ32" s="2881"/>
      <c r="AK32" s="2881"/>
      <c r="AL32" s="2881"/>
      <c r="AM32" s="2881"/>
      <c r="AN32" s="2881"/>
      <c r="AO32" s="2881"/>
      <c r="AP32" s="2881"/>
      <c r="AQ32" s="2881"/>
      <c r="AR32" s="2881"/>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7" customFormat="1" ht="14.25">
      <c r="A33" s="1906" t="s">
        <v>1911</v>
      </c>
      <c r="B33" s="680">
        <v>0.03</v>
      </c>
      <c r="C33" s="3015" t="s">
        <v>3032</v>
      </c>
      <c r="D33" s="2886"/>
      <c r="E33" s="2883"/>
      <c r="F33" s="2883"/>
      <c r="G33" s="2883"/>
      <c r="H33" s="2883"/>
      <c r="I33" s="2883"/>
      <c r="J33" s="2883"/>
      <c r="K33" s="2882"/>
      <c r="L33" s="2882"/>
      <c r="M33" s="2881"/>
      <c r="N33" s="2881"/>
      <c r="O33" s="2881"/>
      <c r="P33" s="2881"/>
      <c r="Q33" s="2881"/>
      <c r="R33" s="2881"/>
      <c r="S33" s="2881"/>
      <c r="T33" s="2881"/>
      <c r="U33" s="2881"/>
      <c r="V33" s="2881"/>
      <c r="W33" s="2881"/>
      <c r="X33" s="2881"/>
      <c r="Y33" s="2881"/>
      <c r="Z33" s="2881"/>
      <c r="AA33" s="2881"/>
      <c r="AB33" s="2881"/>
      <c r="AC33" s="2881"/>
      <c r="AD33" s="2881"/>
      <c r="AE33" s="2881"/>
      <c r="AF33" s="2881"/>
      <c r="AG33" s="2881"/>
      <c r="AH33" s="2881"/>
      <c r="AI33" s="2881"/>
      <c r="AJ33" s="2881"/>
      <c r="AK33" s="2881"/>
      <c r="AL33" s="2881"/>
      <c r="AM33" s="2881"/>
      <c r="AN33" s="2881"/>
      <c r="AO33" s="2881"/>
      <c r="AP33" s="2881"/>
      <c r="AQ33" s="2881"/>
      <c r="AR33" s="2881"/>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7" customFormat="1" ht="14.25">
      <c r="A34" s="1908" t="s">
        <v>1912</v>
      </c>
      <c r="B34" s="118"/>
      <c r="C34" s="3015" t="s">
        <v>3033</v>
      </c>
      <c r="D34" s="2894" t="s">
        <v>3041</v>
      </c>
      <c r="E34" s="2892"/>
      <c r="F34" s="2883"/>
      <c r="G34" s="2883"/>
      <c r="H34" s="2883"/>
      <c r="I34" s="2883"/>
      <c r="J34" s="2883"/>
      <c r="K34" s="2882"/>
      <c r="L34" s="2882"/>
      <c r="M34" s="2881"/>
      <c r="N34" s="2881"/>
      <c r="O34" s="2881"/>
      <c r="P34" s="2881"/>
      <c r="Q34" s="2881"/>
      <c r="R34" s="2881"/>
      <c r="S34" s="2881"/>
      <c r="T34" s="2881"/>
      <c r="U34" s="2881"/>
      <c r="V34" s="2881"/>
      <c r="W34" s="2881"/>
      <c r="X34" s="2881"/>
      <c r="Y34" s="2881"/>
      <c r="Z34" s="2881"/>
      <c r="AA34" s="2881"/>
      <c r="AB34" s="2881"/>
      <c r="AC34" s="2881"/>
      <c r="AD34" s="2881"/>
      <c r="AE34" s="2881"/>
      <c r="AF34" s="2881"/>
      <c r="AG34" s="2881"/>
      <c r="AH34" s="2881"/>
      <c r="AI34" s="2881"/>
      <c r="AJ34" s="2881"/>
      <c r="AK34" s="2881"/>
      <c r="AL34" s="2881"/>
      <c r="AM34" s="2881"/>
      <c r="AN34" s="2881"/>
      <c r="AO34" s="2881"/>
      <c r="AP34" s="2881"/>
      <c r="AQ34" s="2881"/>
      <c r="AR34" s="2881"/>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7" customFormat="1" ht="14.25">
      <c r="A35" s="1908" t="s">
        <v>1913</v>
      </c>
      <c r="B35" s="115">
        <f>B30</f>
        <v>200</v>
      </c>
      <c r="C35" s="3015" t="s">
        <v>3034</v>
      </c>
      <c r="D35" s="2889"/>
      <c r="E35" s="2870"/>
      <c r="F35" s="2870"/>
      <c r="G35" s="2883"/>
      <c r="H35" s="2883"/>
      <c r="I35" s="2883"/>
      <c r="J35" s="2883"/>
      <c r="K35" s="2882"/>
      <c r="L35" s="2882"/>
      <c r="M35" s="2881"/>
      <c r="N35" s="2881"/>
      <c r="O35" s="2881"/>
      <c r="P35" s="2881"/>
      <c r="Q35" s="2881"/>
      <c r="R35" s="2881"/>
      <c r="S35" s="2881"/>
      <c r="T35" s="2881"/>
      <c r="U35" s="2881"/>
      <c r="V35" s="2881"/>
      <c r="W35" s="2881"/>
      <c r="X35" s="2881"/>
      <c r="Y35" s="2881"/>
      <c r="Z35" s="2881"/>
      <c r="AA35" s="2881"/>
      <c r="AB35" s="2881"/>
      <c r="AC35" s="2881"/>
      <c r="AD35" s="2881"/>
      <c r="AE35" s="2881"/>
      <c r="AF35" s="2881"/>
      <c r="AG35" s="2881"/>
      <c r="AH35" s="2881"/>
      <c r="AI35" s="2881"/>
      <c r="AJ35" s="2881"/>
      <c r="AK35" s="2881"/>
      <c r="AL35" s="2881"/>
      <c r="AM35" s="2881"/>
      <c r="AN35" s="2881"/>
      <c r="AO35" s="2881"/>
      <c r="AP35" s="2881"/>
      <c r="AQ35" s="2881"/>
      <c r="AR35" s="2881"/>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09" t="s">
        <v>1914</v>
      </c>
      <c r="B36" s="119">
        <v>1.4999999999999999E-2</v>
      </c>
      <c r="C36" s="3015" t="s">
        <v>3035</v>
      </c>
      <c r="D36" s="2886"/>
      <c r="E36" s="2883"/>
      <c r="F36" s="2883"/>
      <c r="G36" s="2883"/>
      <c r="H36" s="2883"/>
      <c r="I36" s="2883"/>
      <c r="J36" s="2883"/>
      <c r="K36" s="2882"/>
      <c r="L36" s="2882"/>
      <c r="M36" s="2881"/>
      <c r="N36" s="2881"/>
      <c r="O36" s="2881"/>
      <c r="P36" s="2881"/>
      <c r="Q36" s="2881"/>
      <c r="R36" s="2881"/>
      <c r="S36" s="2881"/>
      <c r="T36" s="2881"/>
      <c r="U36" s="2881"/>
      <c r="V36" s="2881"/>
      <c r="W36" s="2881"/>
      <c r="X36" s="2881"/>
      <c r="Y36" s="2881"/>
      <c r="Z36" s="2881"/>
      <c r="AA36" s="2881"/>
      <c r="AB36" s="2881"/>
      <c r="AC36" s="2881"/>
      <c r="AD36" s="2881"/>
      <c r="AE36" s="2881"/>
      <c r="AF36" s="2881"/>
      <c r="AG36" s="2881"/>
      <c r="AH36" s="2881"/>
      <c r="AI36" s="2881"/>
      <c r="AJ36" s="2881"/>
      <c r="AK36" s="2881"/>
      <c r="AL36" s="2881"/>
      <c r="AM36" s="2881"/>
      <c r="AN36" s="2881"/>
      <c r="AO36" s="2881"/>
      <c r="AP36" s="2881"/>
      <c r="AQ36" s="2881"/>
      <c r="AR36" s="2881"/>
    </row>
    <row r="37" spans="1:67" ht="14.25">
      <c r="A37" s="1910" t="s">
        <v>1915</v>
      </c>
      <c r="B37" s="120">
        <v>0.02</v>
      </c>
      <c r="C37" s="3015" t="s">
        <v>3036</v>
      </c>
      <c r="D37" s="2886"/>
      <c r="E37" s="2883"/>
      <c r="F37" s="2883"/>
      <c r="G37" s="2883"/>
      <c r="H37" s="2883"/>
      <c r="I37" s="2883"/>
      <c r="J37" s="2883"/>
      <c r="K37" s="2882"/>
      <c r="L37" s="2882"/>
      <c r="M37" s="2881"/>
      <c r="N37" s="2881"/>
      <c r="O37" s="2881"/>
      <c r="P37" s="2881"/>
      <c r="Q37" s="2881"/>
      <c r="R37" s="2881"/>
      <c r="S37" s="2881"/>
      <c r="T37" s="2881"/>
      <c r="U37" s="2881"/>
      <c r="V37" s="2881"/>
      <c r="W37" s="2881"/>
      <c r="X37" s="2881"/>
      <c r="Y37" s="2881"/>
      <c r="Z37" s="2881"/>
      <c r="AA37" s="2881"/>
      <c r="AB37" s="2881"/>
      <c r="AC37" s="2881"/>
      <c r="AD37" s="2881"/>
      <c r="AE37" s="2881"/>
      <c r="AF37" s="2881"/>
      <c r="AG37" s="2881"/>
      <c r="AH37" s="2881"/>
      <c r="AI37" s="2881"/>
      <c r="AJ37" s="2881"/>
      <c r="AK37" s="2881"/>
      <c r="AL37" s="2881"/>
      <c r="AM37" s="2881"/>
      <c r="AN37" s="2881"/>
      <c r="AO37" s="2881"/>
      <c r="AP37" s="2881"/>
      <c r="AQ37" s="2881"/>
      <c r="AR37" s="2881"/>
    </row>
    <row r="38" spans="1:67" ht="14.25">
      <c r="A38" s="1908" t="s">
        <v>1916</v>
      </c>
      <c r="B38" s="118">
        <v>0.02</v>
      </c>
      <c r="C38" s="3015" t="s">
        <v>3036</v>
      </c>
      <c r="D38" s="2886"/>
      <c r="E38" s="2883"/>
      <c r="F38" s="2883"/>
      <c r="G38" s="2883"/>
      <c r="H38" s="2883"/>
      <c r="I38" s="2883"/>
      <c r="J38" s="2883"/>
      <c r="K38" s="2882"/>
      <c r="L38" s="2882"/>
      <c r="M38" s="2881"/>
      <c r="N38" s="2881"/>
      <c r="O38" s="2881"/>
      <c r="P38" s="2881"/>
      <c r="Q38" s="2881"/>
      <c r="R38" s="2881"/>
      <c r="S38" s="2881"/>
      <c r="T38" s="2881"/>
      <c r="U38" s="2881"/>
      <c r="V38" s="2881"/>
      <c r="W38" s="2881"/>
      <c r="X38" s="2881"/>
      <c r="Y38" s="2881"/>
      <c r="Z38" s="2881"/>
      <c r="AA38" s="2881"/>
      <c r="AB38" s="2881"/>
      <c r="AC38" s="2881"/>
      <c r="AD38" s="2881"/>
      <c r="AE38" s="2881"/>
      <c r="AF38" s="2881"/>
      <c r="AG38" s="2881"/>
      <c r="AH38" s="2881"/>
      <c r="AI38" s="2881"/>
      <c r="AJ38" s="2881"/>
      <c r="AK38" s="2881"/>
      <c r="AL38" s="2881"/>
      <c r="AM38" s="2881"/>
      <c r="AN38" s="2881"/>
      <c r="AO38" s="2881"/>
      <c r="AP38" s="2881"/>
      <c r="AQ38" s="2881"/>
      <c r="AR38" s="2881"/>
    </row>
    <row r="39" spans="1:67" ht="14.25">
      <c r="A39" s="1911" t="s">
        <v>1917</v>
      </c>
      <c r="B39" s="323">
        <f ca="1">存贷款利率!I1</f>
        <v>1.4999999999999999E-2</v>
      </c>
      <c r="C39" s="2891"/>
      <c r="D39" s="2886"/>
      <c r="E39" s="2883"/>
      <c r="F39" s="2883"/>
      <c r="G39" s="2883"/>
      <c r="H39" s="2883"/>
      <c r="I39" s="2883"/>
      <c r="J39" s="2883"/>
      <c r="K39" s="2882"/>
      <c r="L39" s="2882"/>
      <c r="M39" s="2881"/>
      <c r="N39" s="2881"/>
      <c r="O39" s="2881"/>
      <c r="P39" s="2881"/>
      <c r="Q39" s="2881"/>
      <c r="R39" s="2881"/>
      <c r="S39" s="2881"/>
      <c r="T39" s="2881"/>
      <c r="U39" s="2881"/>
      <c r="V39" s="2881"/>
      <c r="W39" s="2881"/>
      <c r="X39" s="2881"/>
      <c r="Y39" s="2881"/>
      <c r="Z39" s="2881"/>
      <c r="AA39" s="2881"/>
      <c r="AB39" s="2881"/>
      <c r="AC39" s="2881"/>
      <c r="AD39" s="2881"/>
      <c r="AE39" s="2881"/>
      <c r="AF39" s="2881"/>
      <c r="AG39" s="2881"/>
      <c r="AH39" s="2881"/>
      <c r="AI39" s="2881"/>
      <c r="AJ39" s="2881"/>
      <c r="AK39" s="2881"/>
      <c r="AL39" s="2881"/>
      <c r="AM39" s="2881"/>
      <c r="AN39" s="2881"/>
      <c r="AO39" s="2881"/>
      <c r="AP39" s="2881"/>
      <c r="AQ39" s="2881"/>
      <c r="AR39" s="2881"/>
    </row>
    <row r="40" spans="1:67" ht="29.25" thickBot="1">
      <c r="A40" s="3027" t="s">
        <v>3100</v>
      </c>
      <c r="B40" s="1205">
        <f ca="1">IF(A40="利息：取LPR",存贷款利率!G1,存贷款利率!G1+C40)</f>
        <v>4.3499999999999997E-2</v>
      </c>
      <c r="C40" s="3026">
        <v>5.0000000000000001E-3</v>
      </c>
      <c r="D40" s="2881"/>
      <c r="E40" s="2886"/>
      <c r="F40" s="2883"/>
      <c r="G40" s="2883"/>
      <c r="H40" s="2883"/>
      <c r="I40" s="2883"/>
      <c r="J40" s="2883"/>
      <c r="K40" s="2882"/>
      <c r="L40" s="2882"/>
      <c r="M40" s="2881"/>
      <c r="N40" s="2881"/>
      <c r="O40" s="2881"/>
      <c r="P40" s="2881"/>
      <c r="Q40" s="2881"/>
      <c r="R40" s="2881"/>
      <c r="S40" s="2881"/>
      <c r="T40" s="2881"/>
      <c r="U40" s="2881"/>
      <c r="V40" s="2881"/>
      <c r="W40" s="2881"/>
      <c r="X40" s="2881"/>
      <c r="Y40" s="2881"/>
      <c r="Z40" s="2881"/>
      <c r="AA40" s="2881"/>
      <c r="AB40" s="2881"/>
      <c r="AC40" s="2881"/>
      <c r="AD40" s="2881"/>
      <c r="AE40" s="2881"/>
      <c r="AF40" s="2881"/>
      <c r="AG40" s="2881"/>
      <c r="AH40" s="2881"/>
      <c r="AI40" s="2881"/>
      <c r="AJ40" s="2881"/>
      <c r="AK40" s="2881"/>
      <c r="AL40" s="2881"/>
      <c r="AM40" s="2881"/>
      <c r="AN40" s="2881"/>
      <c r="AO40" s="2881"/>
      <c r="AP40" s="2881"/>
      <c r="AQ40" s="2881"/>
      <c r="AR40" s="2881"/>
    </row>
    <row r="41" spans="1:67" ht="14.25">
      <c r="A41" s="1906" t="s">
        <v>1918</v>
      </c>
      <c r="B41" s="121">
        <f>B42+B43</f>
        <v>5.6000000000000001E-2</v>
      </c>
      <c r="C41" s="2888"/>
      <c r="D41" s="2881"/>
      <c r="E41" s="2886"/>
      <c r="F41" s="2883"/>
      <c r="G41" s="2883"/>
      <c r="H41" s="2883"/>
      <c r="I41" s="2883"/>
      <c r="J41" s="2883"/>
      <c r="K41" s="2882"/>
      <c r="L41" s="2882"/>
      <c r="M41" s="2881"/>
      <c r="N41" s="2881"/>
      <c r="O41" s="2881"/>
      <c r="P41" s="2881"/>
      <c r="Q41" s="2881"/>
      <c r="R41" s="2881"/>
      <c r="S41" s="2881"/>
      <c r="T41" s="2881"/>
      <c r="U41" s="2881"/>
      <c r="V41" s="2881"/>
      <c r="W41" s="2881"/>
      <c r="X41" s="2881"/>
      <c r="Y41" s="2881"/>
      <c r="Z41" s="2881"/>
      <c r="AA41" s="2881"/>
      <c r="AB41" s="2881"/>
      <c r="AC41" s="2881"/>
      <c r="AD41" s="2881"/>
      <c r="AE41" s="2881"/>
      <c r="AF41" s="2881"/>
      <c r="AG41" s="2881"/>
      <c r="AH41" s="2881"/>
      <c r="AI41" s="2881"/>
      <c r="AJ41" s="2881"/>
      <c r="AK41" s="2881"/>
      <c r="AL41" s="2881"/>
      <c r="AM41" s="2881"/>
      <c r="AN41" s="2881"/>
      <c r="AO41" s="2881"/>
      <c r="AP41" s="2881"/>
      <c r="AQ41" s="2881"/>
      <c r="AR41" s="2881"/>
    </row>
    <row r="42" spans="1:67" ht="14.25">
      <c r="A42" s="1912" t="s">
        <v>1919</v>
      </c>
      <c r="B42" s="122">
        <v>0.05</v>
      </c>
      <c r="C42" s="2893">
        <f>IF(B2&lt;DATE(2016,5,1),0,B42)</f>
        <v>0.05</v>
      </c>
      <c r="D42" s="2886"/>
      <c r="E42" s="2883"/>
      <c r="F42" s="2883"/>
      <c r="G42" s="2883"/>
      <c r="H42" s="2883"/>
      <c r="I42" s="2883"/>
      <c r="J42" s="2883"/>
      <c r="K42" s="2882"/>
      <c r="L42" s="2882"/>
      <c r="M42" s="2881"/>
      <c r="N42" s="2881"/>
      <c r="O42" s="2881"/>
      <c r="P42" s="2881"/>
      <c r="Q42" s="2881"/>
      <c r="R42" s="2881"/>
      <c r="S42" s="2881"/>
      <c r="T42" s="2881"/>
      <c r="U42" s="2881"/>
      <c r="V42" s="2881"/>
      <c r="W42" s="2881"/>
      <c r="X42" s="2881"/>
      <c r="Y42" s="2881"/>
      <c r="Z42" s="2881"/>
      <c r="AA42" s="2881"/>
      <c r="AB42" s="2881"/>
      <c r="AC42" s="2881"/>
      <c r="AD42" s="2881"/>
      <c r="AE42" s="2881"/>
      <c r="AF42" s="2881"/>
      <c r="AG42" s="2881"/>
      <c r="AH42" s="2881"/>
      <c r="AI42" s="2881"/>
      <c r="AJ42" s="2881"/>
      <c r="AK42" s="2881"/>
      <c r="AL42" s="2881"/>
      <c r="AM42" s="2881"/>
      <c r="AN42" s="2881"/>
      <c r="AO42" s="2881"/>
      <c r="AP42" s="2881"/>
      <c r="AQ42" s="2881"/>
      <c r="AR42" s="2881"/>
    </row>
    <row r="43" spans="1:67" ht="14.25">
      <c r="A43" s="1912" t="s">
        <v>1920</v>
      </c>
      <c r="B43" s="123">
        <f>B42*(B44+B45+B46)+B47</f>
        <v>6.000000000000001E-3</v>
      </c>
      <c r="C43" s="2888"/>
      <c r="D43" s="2886"/>
      <c r="E43" s="2883"/>
      <c r="F43" s="2883"/>
      <c r="G43" s="2883"/>
      <c r="H43" s="2883"/>
      <c r="I43" s="2883"/>
      <c r="J43" s="2883"/>
      <c r="K43" s="2882"/>
      <c r="L43" s="2882"/>
      <c r="M43" s="2881"/>
      <c r="N43" s="2881"/>
      <c r="O43" s="2881"/>
      <c r="P43" s="2881"/>
      <c r="Q43" s="2881"/>
      <c r="R43" s="2881"/>
      <c r="S43" s="2881"/>
      <c r="T43" s="2881"/>
      <c r="U43" s="2881"/>
      <c r="V43" s="2881"/>
      <c r="W43" s="2881"/>
      <c r="X43" s="2881"/>
      <c r="Y43" s="2881"/>
      <c r="Z43" s="2881"/>
      <c r="AA43" s="2881"/>
      <c r="AB43" s="2881"/>
      <c r="AC43" s="2881"/>
      <c r="AD43" s="2881"/>
      <c r="AE43" s="2881"/>
      <c r="AF43" s="2881"/>
      <c r="AG43" s="2881"/>
      <c r="AH43" s="2881"/>
      <c r="AI43" s="2881"/>
      <c r="AJ43" s="2881"/>
      <c r="AK43" s="2881"/>
      <c r="AL43" s="2881"/>
      <c r="AM43" s="2881"/>
      <c r="AN43" s="2881"/>
      <c r="AO43" s="2881"/>
      <c r="AP43" s="2881"/>
      <c r="AQ43" s="2881"/>
      <c r="AR43" s="2881"/>
    </row>
    <row r="44" spans="1:67" ht="14.25">
      <c r="A44" s="1913" t="s">
        <v>1921</v>
      </c>
      <c r="B44" s="124">
        <v>7.0000000000000007E-2</v>
      </c>
      <c r="C44" s="3015" t="s">
        <v>3045</v>
      </c>
      <c r="D44" s="2886"/>
      <c r="E44" s="2883"/>
      <c r="F44" s="2883"/>
      <c r="G44" s="2883"/>
      <c r="H44" s="2883"/>
      <c r="I44" s="2883"/>
      <c r="J44" s="2883"/>
      <c r="K44" s="2882"/>
      <c r="L44" s="2882"/>
      <c r="M44" s="2881"/>
      <c r="N44" s="2881"/>
      <c r="O44" s="2881"/>
      <c r="P44" s="2881"/>
      <c r="Q44" s="2881"/>
      <c r="R44" s="2881"/>
      <c r="S44" s="2881"/>
      <c r="T44" s="2881"/>
      <c r="U44" s="2881"/>
      <c r="V44" s="2881"/>
      <c r="W44" s="2881"/>
      <c r="X44" s="2881"/>
      <c r="Y44" s="2881"/>
      <c r="Z44" s="2881"/>
      <c r="AA44" s="2881"/>
      <c r="AB44" s="2881"/>
      <c r="AC44" s="2881"/>
      <c r="AD44" s="2881"/>
      <c r="AE44" s="2881"/>
      <c r="AF44" s="2881"/>
      <c r="AG44" s="2881"/>
      <c r="AH44" s="2881"/>
      <c r="AI44" s="2881"/>
      <c r="AJ44" s="2881"/>
      <c r="AK44" s="2881"/>
      <c r="AL44" s="2881"/>
      <c r="AM44" s="2881"/>
      <c r="AN44" s="2881"/>
      <c r="AO44" s="2881"/>
      <c r="AP44" s="2881"/>
      <c r="AQ44" s="2881"/>
      <c r="AR44" s="2881"/>
    </row>
    <row r="45" spans="1:67" ht="14.25">
      <c r="A45" s="1913" t="s">
        <v>1922</v>
      </c>
      <c r="B45" s="122">
        <v>0.03</v>
      </c>
      <c r="C45" s="3014" t="s">
        <v>3037</v>
      </c>
      <c r="D45" s="2886"/>
      <c r="E45" s="2883"/>
      <c r="F45" s="2883"/>
      <c r="G45" s="2883"/>
      <c r="H45" s="2883"/>
      <c r="I45" s="2883"/>
      <c r="J45" s="2883"/>
      <c r="K45" s="2882"/>
      <c r="L45" s="2882"/>
      <c r="M45" s="2881"/>
      <c r="N45" s="2881"/>
      <c r="O45" s="2881"/>
      <c r="P45" s="2881"/>
      <c r="Q45" s="2881"/>
      <c r="R45" s="2881"/>
      <c r="S45" s="2881"/>
      <c r="T45" s="2881"/>
      <c r="U45" s="2881"/>
      <c r="V45" s="2881"/>
      <c r="W45" s="2881"/>
      <c r="X45" s="2881"/>
      <c r="Y45" s="2881"/>
      <c r="Z45" s="2881"/>
      <c r="AA45" s="2881"/>
      <c r="AB45" s="2881"/>
      <c r="AC45" s="2881"/>
      <c r="AD45" s="2881"/>
      <c r="AE45" s="2881"/>
      <c r="AF45" s="2881"/>
      <c r="AG45" s="2881"/>
      <c r="AH45" s="2881"/>
      <c r="AI45" s="2881"/>
      <c r="AJ45" s="2881"/>
      <c r="AK45" s="2881"/>
      <c r="AL45" s="2881"/>
      <c r="AM45" s="2881"/>
      <c r="AN45" s="2881"/>
      <c r="AO45" s="2881"/>
      <c r="AP45" s="2881"/>
      <c r="AQ45" s="2881"/>
      <c r="AR45" s="2881"/>
    </row>
    <row r="46" spans="1:67" ht="14.25">
      <c r="A46" s="1913" t="s">
        <v>1923</v>
      </c>
      <c r="B46" s="122">
        <v>0.02</v>
      </c>
      <c r="C46" s="3014" t="s">
        <v>3038</v>
      </c>
      <c r="D46" s="2886"/>
      <c r="E46" s="2883"/>
      <c r="F46" s="2883"/>
      <c r="G46" s="2883"/>
      <c r="H46" s="2883"/>
      <c r="I46" s="2883"/>
      <c r="J46" s="2883"/>
      <c r="K46" s="2882"/>
      <c r="L46" s="2882"/>
      <c r="M46" s="2881"/>
      <c r="N46" s="2881"/>
      <c r="O46" s="2881"/>
      <c r="P46" s="2881"/>
      <c r="Q46" s="2881"/>
      <c r="R46" s="2881"/>
      <c r="S46" s="2881"/>
      <c r="T46" s="2881"/>
      <c r="U46" s="2881"/>
      <c r="V46" s="2881"/>
      <c r="W46" s="2881"/>
      <c r="X46" s="2881"/>
      <c r="Y46" s="2881"/>
      <c r="Z46" s="2881"/>
      <c r="AA46" s="2881"/>
      <c r="AB46" s="2881"/>
      <c r="AC46" s="2881"/>
      <c r="AD46" s="2881"/>
      <c r="AE46" s="2881"/>
      <c r="AF46" s="2881"/>
      <c r="AG46" s="2881"/>
      <c r="AH46" s="2881"/>
      <c r="AI46" s="2881"/>
      <c r="AJ46" s="2881"/>
      <c r="AK46" s="2881"/>
      <c r="AL46" s="2881"/>
      <c r="AM46" s="2881"/>
      <c r="AN46" s="2881"/>
      <c r="AO46" s="2881"/>
      <c r="AP46" s="2881"/>
      <c r="AQ46" s="2881"/>
      <c r="AR46" s="2881"/>
    </row>
    <row r="47" spans="1:67" ht="15" thickBot="1">
      <c r="A47" s="1914" t="s">
        <v>1924</v>
      </c>
      <c r="B47" s="125"/>
      <c r="C47" s="3017" t="s">
        <v>3046</v>
      </c>
      <c r="D47" s="2886"/>
      <c r="E47" s="2883"/>
      <c r="F47" s="2883"/>
      <c r="G47" s="2883"/>
      <c r="H47" s="2883"/>
      <c r="I47" s="2883"/>
      <c r="J47" s="2883"/>
      <c r="K47" s="2882"/>
      <c r="L47" s="2882"/>
      <c r="M47" s="2881"/>
      <c r="N47" s="2881"/>
      <c r="O47" s="2881"/>
      <c r="P47" s="2881"/>
      <c r="Q47" s="2881"/>
      <c r="R47" s="2881"/>
      <c r="S47" s="2881"/>
      <c r="T47" s="2881"/>
      <c r="U47" s="2881"/>
      <c r="V47" s="2881"/>
      <c r="W47" s="2881"/>
      <c r="X47" s="2881"/>
      <c r="Y47" s="2881"/>
      <c r="Z47" s="2881"/>
      <c r="AA47" s="2881"/>
      <c r="AB47" s="2881"/>
      <c r="AC47" s="2881"/>
      <c r="AD47" s="2881"/>
      <c r="AE47" s="2881"/>
      <c r="AF47" s="2881"/>
      <c r="AG47" s="2881"/>
      <c r="AH47" s="2881"/>
      <c r="AI47" s="2881"/>
      <c r="AJ47" s="2881"/>
      <c r="AK47" s="2881"/>
      <c r="AL47" s="2881"/>
      <c r="AM47" s="2881"/>
      <c r="AN47" s="2881"/>
      <c r="AO47" s="2881"/>
      <c r="AP47" s="2881"/>
      <c r="AQ47" s="2881"/>
      <c r="AR47" s="2881"/>
    </row>
    <row r="48" spans="1:67" ht="14.25">
      <c r="A48" s="1915" t="s">
        <v>1925</v>
      </c>
      <c r="B48" s="126">
        <v>0.03</v>
      </c>
      <c r="C48" s="3014" t="s">
        <v>3037</v>
      </c>
      <c r="D48" s="2886"/>
      <c r="E48" s="2883"/>
      <c r="F48" s="2883"/>
      <c r="G48" s="2883"/>
      <c r="H48" s="2883"/>
      <c r="I48" s="2883"/>
      <c r="J48" s="2883"/>
      <c r="K48" s="2882"/>
      <c r="L48" s="2882"/>
      <c r="M48" s="2881"/>
      <c r="N48" s="2881"/>
      <c r="O48" s="2881"/>
      <c r="P48" s="2881"/>
      <c r="Q48" s="2881"/>
      <c r="R48" s="2881"/>
      <c r="S48" s="2881"/>
      <c r="T48" s="2881"/>
      <c r="U48" s="2881"/>
      <c r="V48" s="2881"/>
      <c r="W48" s="2881"/>
      <c r="X48" s="2881"/>
      <c r="Y48" s="2881"/>
      <c r="Z48" s="2881"/>
      <c r="AA48" s="2881"/>
      <c r="AB48" s="2881"/>
      <c r="AC48" s="2881"/>
      <c r="AD48" s="2881"/>
      <c r="AE48" s="2881"/>
      <c r="AF48" s="2881"/>
      <c r="AG48" s="2881"/>
      <c r="AH48" s="2881"/>
      <c r="AI48" s="2881"/>
      <c r="AJ48" s="2881"/>
      <c r="AK48" s="2881"/>
      <c r="AL48" s="2881"/>
      <c r="AM48" s="2881"/>
      <c r="AN48" s="2881"/>
      <c r="AO48" s="2881"/>
      <c r="AP48" s="2881"/>
      <c r="AQ48" s="2881"/>
      <c r="AR48" s="2881"/>
    </row>
    <row r="49" spans="1:44" ht="15" thickBot="1">
      <c r="A49" s="1911" t="s">
        <v>1926</v>
      </c>
      <c r="B49" s="122">
        <v>5.0000000000000001E-4</v>
      </c>
      <c r="C49" s="3014" t="s">
        <v>3039</v>
      </c>
      <c r="D49" s="2886"/>
      <c r="E49" s="2883"/>
      <c r="F49" s="2883"/>
      <c r="G49" s="2883"/>
      <c r="H49" s="2883"/>
      <c r="I49" s="2883"/>
      <c r="J49" s="2883"/>
      <c r="K49" s="2882"/>
      <c r="L49" s="2882"/>
      <c r="M49" s="2881"/>
      <c r="N49" s="2881"/>
      <c r="O49" s="2881"/>
      <c r="P49" s="2881"/>
      <c r="Q49" s="2881"/>
      <c r="R49" s="2881"/>
      <c r="S49" s="2881"/>
      <c r="T49" s="2881"/>
      <c r="U49" s="2881"/>
      <c r="V49" s="2881"/>
      <c r="W49" s="2881"/>
      <c r="X49" s="2881"/>
      <c r="Y49" s="2881"/>
      <c r="Z49" s="2881"/>
      <c r="AA49" s="2881"/>
      <c r="AB49" s="2881"/>
      <c r="AC49" s="2881"/>
      <c r="AD49" s="2881"/>
      <c r="AE49" s="2881"/>
      <c r="AF49" s="2881"/>
      <c r="AG49" s="2881"/>
      <c r="AH49" s="2881"/>
      <c r="AI49" s="2881"/>
      <c r="AJ49" s="2881"/>
      <c r="AK49" s="2881"/>
      <c r="AL49" s="2881"/>
      <c r="AM49" s="2881"/>
      <c r="AN49" s="2881"/>
      <c r="AO49" s="2881"/>
      <c r="AP49" s="2881"/>
      <c r="AQ49" s="2881"/>
      <c r="AR49" s="2881"/>
    </row>
    <row r="50" spans="1:44" ht="14.25">
      <c r="A50" s="1916" t="s">
        <v>1927</v>
      </c>
      <c r="B50" s="127">
        <v>1.2E-2</v>
      </c>
      <c r="C50" s="2870"/>
      <c r="D50" s="2886"/>
      <c r="E50" s="2883"/>
      <c r="F50" s="2883"/>
      <c r="G50" s="2883"/>
      <c r="H50" s="2883"/>
      <c r="I50" s="2883"/>
      <c r="J50" s="2883"/>
      <c r="K50" s="2882"/>
      <c r="L50" s="2882"/>
      <c r="M50" s="2881"/>
      <c r="N50" s="2881"/>
      <c r="O50" s="2881"/>
      <c r="P50" s="2881"/>
      <c r="Q50" s="2881"/>
      <c r="R50" s="2881"/>
      <c r="S50" s="2881"/>
      <c r="T50" s="2881"/>
      <c r="U50" s="2881"/>
      <c r="V50" s="2881"/>
      <c r="W50" s="2881"/>
      <c r="X50" s="2881"/>
      <c r="Y50" s="2881"/>
      <c r="Z50" s="2881"/>
      <c r="AA50" s="2881"/>
      <c r="AB50" s="2881"/>
      <c r="AC50" s="2881"/>
      <c r="AD50" s="2881"/>
      <c r="AE50" s="2881"/>
      <c r="AF50" s="2881"/>
      <c r="AG50" s="2881"/>
      <c r="AH50" s="2881"/>
      <c r="AI50" s="2881"/>
      <c r="AJ50" s="2881"/>
      <c r="AK50" s="2881"/>
      <c r="AL50" s="2881"/>
      <c r="AM50" s="2881"/>
      <c r="AN50" s="2881"/>
      <c r="AO50" s="2881"/>
      <c r="AP50" s="2881"/>
      <c r="AQ50" s="2881"/>
      <c r="AR50" s="2881"/>
    </row>
    <row r="51" spans="1:44" ht="15" thickBot="1">
      <c r="A51" s="1909" t="s">
        <v>1928</v>
      </c>
      <c r="B51" s="128">
        <v>0.12</v>
      </c>
      <c r="C51" s="2870"/>
      <c r="D51" s="2886"/>
      <c r="E51" s="2883"/>
      <c r="F51" s="2883"/>
      <c r="G51" s="2883"/>
      <c r="H51" s="2883"/>
      <c r="I51" s="2883"/>
      <c r="J51" s="2883"/>
      <c r="K51" s="2882"/>
      <c r="L51" s="2882"/>
      <c r="M51" s="2881"/>
      <c r="N51" s="2881"/>
      <c r="O51" s="2881"/>
      <c r="P51" s="2881"/>
      <c r="Q51" s="2881"/>
      <c r="R51" s="2881"/>
      <c r="S51" s="2881"/>
      <c r="T51" s="2881"/>
      <c r="U51" s="2881"/>
      <c r="V51" s="2881"/>
      <c r="W51" s="2881"/>
      <c r="X51" s="2881"/>
      <c r="Y51" s="2881"/>
      <c r="Z51" s="2881"/>
      <c r="AA51" s="2881"/>
      <c r="AB51" s="2881"/>
      <c r="AC51" s="2881"/>
      <c r="AD51" s="2881"/>
      <c r="AE51" s="2881"/>
      <c r="AF51" s="2881"/>
      <c r="AG51" s="2881"/>
      <c r="AH51" s="2881"/>
      <c r="AI51" s="2881"/>
      <c r="AJ51" s="2881"/>
      <c r="AK51" s="2881"/>
      <c r="AL51" s="2881"/>
      <c r="AM51" s="2881"/>
      <c r="AN51" s="2881"/>
      <c r="AO51" s="2881"/>
      <c r="AP51" s="2881"/>
      <c r="AQ51" s="2881"/>
      <c r="AR51" s="2881"/>
    </row>
    <row r="52" spans="1:44" ht="14.25">
      <c r="A52" s="1916" t="s">
        <v>1929</v>
      </c>
      <c r="B52" s="129">
        <f>SUMIF(A54:A63,B53,B54:B63)</f>
        <v>1.5</v>
      </c>
      <c r="C52" s="2870"/>
      <c r="D52" s="2886"/>
      <c r="E52" s="2883"/>
      <c r="F52" s="2883"/>
      <c r="G52" s="2883"/>
      <c r="H52" s="2883"/>
      <c r="I52" s="2883"/>
      <c r="J52" s="2883"/>
      <c r="K52" s="2882"/>
      <c r="L52" s="2882"/>
      <c r="M52" s="2881"/>
      <c r="N52" s="2881"/>
      <c r="O52" s="2881"/>
      <c r="P52" s="2881"/>
      <c r="Q52" s="2881"/>
      <c r="R52" s="2881"/>
      <c r="S52" s="2881"/>
      <c r="T52" s="2881"/>
      <c r="U52" s="2881"/>
      <c r="V52" s="2881"/>
      <c r="W52" s="2881"/>
      <c r="X52" s="2881"/>
      <c r="Y52" s="2881"/>
      <c r="Z52" s="2881"/>
      <c r="AA52" s="2881"/>
      <c r="AB52" s="2881"/>
      <c r="AC52" s="2881"/>
      <c r="AD52" s="2881"/>
      <c r="AE52" s="2881"/>
      <c r="AF52" s="2881"/>
      <c r="AG52" s="2881"/>
      <c r="AH52" s="2881"/>
      <c r="AI52" s="2881"/>
      <c r="AJ52" s="2881"/>
      <c r="AK52" s="2881"/>
      <c r="AL52" s="2881"/>
      <c r="AM52" s="2881"/>
      <c r="AN52" s="2881"/>
      <c r="AO52" s="2881"/>
      <c r="AP52" s="2881"/>
      <c r="AQ52" s="2881"/>
      <c r="AR52" s="2881"/>
    </row>
    <row r="53" spans="1:44" ht="27">
      <c r="A53" s="1908" t="s">
        <v>1930</v>
      </c>
      <c r="B53" s="1917" t="s">
        <v>56</v>
      </c>
      <c r="C53" s="2870" t="s">
        <v>1931</v>
      </c>
      <c r="D53" s="3016" t="s">
        <v>3043</v>
      </c>
      <c r="E53" s="2883"/>
      <c r="F53" s="2883"/>
      <c r="G53" s="2883"/>
      <c r="H53" s="2883"/>
      <c r="I53" s="2883"/>
      <c r="J53" s="2883"/>
      <c r="K53" s="2882"/>
      <c r="L53" s="2882"/>
      <c r="M53" s="2881"/>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row>
    <row r="54" spans="1:44" ht="14.25">
      <c r="A54" s="1918" t="s">
        <v>1932</v>
      </c>
      <c r="B54" s="80">
        <v>30</v>
      </c>
      <c r="C54" s="2870">
        <v>30</v>
      </c>
      <c r="D54" s="2886"/>
      <c r="E54" s="2883"/>
      <c r="F54" s="2883"/>
      <c r="G54" s="2883"/>
      <c r="H54" s="2883"/>
      <c r="I54" s="2883"/>
      <c r="J54" s="2883"/>
      <c r="K54" s="2882"/>
      <c r="L54" s="2882"/>
      <c r="M54" s="2881"/>
      <c r="N54" s="2881"/>
      <c r="O54" s="2881"/>
      <c r="P54" s="2881"/>
      <c r="Q54" s="2881"/>
      <c r="R54" s="2881"/>
      <c r="S54" s="2881"/>
      <c r="T54" s="2881"/>
      <c r="U54" s="2881"/>
      <c r="V54" s="2881"/>
      <c r="W54" s="2881"/>
      <c r="X54" s="2881"/>
      <c r="Y54" s="2881"/>
      <c r="Z54" s="2881"/>
      <c r="AA54" s="2881"/>
      <c r="AB54" s="2881"/>
      <c r="AC54" s="2881"/>
      <c r="AD54" s="2881"/>
      <c r="AE54" s="2881"/>
      <c r="AF54" s="2881"/>
      <c r="AG54" s="2881"/>
      <c r="AH54" s="2881"/>
      <c r="AI54" s="2881"/>
      <c r="AJ54" s="2881"/>
      <c r="AK54" s="2881"/>
      <c r="AL54" s="2881"/>
      <c r="AM54" s="2881"/>
      <c r="AN54" s="2881"/>
      <c r="AO54" s="2881"/>
      <c r="AP54" s="2881"/>
      <c r="AQ54" s="2881"/>
      <c r="AR54" s="2881"/>
    </row>
    <row r="55" spans="1:44" ht="14.25">
      <c r="A55" s="1918" t="s">
        <v>1933</v>
      </c>
      <c r="B55" s="80">
        <v>24</v>
      </c>
      <c r="C55" s="2870">
        <v>24</v>
      </c>
      <c r="D55" s="2886"/>
      <c r="E55" s="2883"/>
      <c r="F55" s="2883"/>
      <c r="G55" s="2883"/>
      <c r="H55" s="2883"/>
      <c r="I55" s="2884"/>
      <c r="J55" s="2883"/>
      <c r="K55" s="2882"/>
      <c r="L55" s="2882"/>
      <c r="M55" s="2881"/>
      <c r="N55" s="2881"/>
      <c r="O55" s="2881"/>
      <c r="P55" s="2881"/>
      <c r="Q55" s="2881"/>
      <c r="R55" s="2881"/>
      <c r="S55" s="2881"/>
      <c r="T55" s="2881"/>
      <c r="U55" s="2881"/>
      <c r="V55" s="2881"/>
      <c r="W55" s="2881"/>
      <c r="X55" s="2881"/>
      <c r="Y55" s="2881"/>
      <c r="Z55" s="2881"/>
      <c r="AA55" s="2881"/>
      <c r="AB55" s="2881"/>
      <c r="AC55" s="2881"/>
      <c r="AD55" s="2881"/>
      <c r="AE55" s="2881"/>
      <c r="AF55" s="2881"/>
      <c r="AG55" s="2881"/>
      <c r="AH55" s="2881"/>
      <c r="AI55" s="2881"/>
      <c r="AJ55" s="2881"/>
      <c r="AK55" s="2881"/>
      <c r="AL55" s="2881"/>
      <c r="AM55" s="2881"/>
      <c r="AN55" s="2881"/>
      <c r="AO55" s="2881"/>
      <c r="AP55" s="2881"/>
      <c r="AQ55" s="2881"/>
      <c r="AR55" s="2881"/>
    </row>
    <row r="56" spans="1:44" ht="14.25">
      <c r="A56" s="1918" t="s">
        <v>1934</v>
      </c>
      <c r="B56" s="80">
        <v>18</v>
      </c>
      <c r="C56" s="2870">
        <v>18</v>
      </c>
      <c r="D56" s="2886"/>
      <c r="E56" s="2883"/>
      <c r="F56" s="2883"/>
      <c r="G56" s="2883"/>
      <c r="H56" s="2883"/>
      <c r="I56" s="2883"/>
      <c r="J56" s="2883"/>
      <c r="K56" s="2882"/>
      <c r="L56" s="2882"/>
      <c r="M56" s="2881"/>
      <c r="N56" s="2881"/>
      <c r="O56" s="2881"/>
      <c r="P56" s="2881"/>
      <c r="Q56" s="2881"/>
      <c r="R56" s="2881"/>
      <c r="S56" s="2881"/>
      <c r="T56" s="2881"/>
      <c r="U56" s="2881"/>
      <c r="V56" s="2881"/>
      <c r="W56" s="2881"/>
      <c r="X56" s="2881"/>
      <c r="Y56" s="2881"/>
      <c r="Z56" s="2881"/>
      <c r="AA56" s="2881"/>
      <c r="AB56" s="2881"/>
      <c r="AC56" s="2881"/>
      <c r="AD56" s="2881"/>
      <c r="AE56" s="2881"/>
      <c r="AF56" s="2881"/>
      <c r="AG56" s="2881"/>
      <c r="AH56" s="2881"/>
      <c r="AI56" s="2881"/>
      <c r="AJ56" s="2881"/>
      <c r="AK56" s="2881"/>
      <c r="AL56" s="2881"/>
      <c r="AM56" s="2881"/>
      <c r="AN56" s="2881"/>
      <c r="AO56" s="2881"/>
      <c r="AP56" s="2881"/>
      <c r="AQ56" s="2881"/>
      <c r="AR56" s="2881"/>
    </row>
    <row r="57" spans="1:44" ht="14.25">
      <c r="A57" s="1918" t="s">
        <v>1935</v>
      </c>
      <c r="B57" s="80">
        <v>12</v>
      </c>
      <c r="C57" s="2870">
        <v>12</v>
      </c>
      <c r="D57" s="2886"/>
      <c r="E57" s="2883"/>
      <c r="F57" s="2883"/>
      <c r="G57" s="2883"/>
      <c r="H57" s="2883"/>
      <c r="I57" s="2883"/>
      <c r="J57" s="2883"/>
      <c r="K57" s="2882"/>
      <c r="L57" s="2882"/>
      <c r="M57" s="2881"/>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row>
    <row r="58" spans="1:44" ht="14.25">
      <c r="A58" s="1918" t="s">
        <v>1936</v>
      </c>
      <c r="B58" s="80">
        <v>3</v>
      </c>
      <c r="C58" s="2870">
        <v>3</v>
      </c>
      <c r="D58" s="2886"/>
      <c r="E58" s="2883"/>
      <c r="F58" s="2883"/>
      <c r="G58" s="2883"/>
      <c r="H58" s="2883"/>
      <c r="I58" s="2883"/>
      <c r="J58" s="2883"/>
      <c r="K58" s="2882"/>
      <c r="L58" s="2882"/>
      <c r="M58" s="2881"/>
      <c r="N58" s="2881"/>
      <c r="O58" s="2881"/>
      <c r="P58" s="2881"/>
      <c r="Q58" s="2881"/>
      <c r="R58" s="2881"/>
      <c r="S58" s="2881"/>
      <c r="T58" s="2881"/>
      <c r="U58" s="2881"/>
      <c r="V58" s="2881"/>
      <c r="W58" s="2881"/>
      <c r="X58" s="2881"/>
      <c r="Y58" s="2881"/>
      <c r="Z58" s="2881"/>
      <c r="AA58" s="2881"/>
      <c r="AB58" s="2881"/>
      <c r="AC58" s="2881"/>
      <c r="AD58" s="2881"/>
      <c r="AE58" s="2881"/>
      <c r="AF58" s="2881"/>
      <c r="AG58" s="2881"/>
      <c r="AH58" s="2881"/>
      <c r="AI58" s="2881"/>
      <c r="AJ58" s="2881"/>
      <c r="AK58" s="2881"/>
      <c r="AL58" s="2881"/>
      <c r="AM58" s="2881"/>
      <c r="AN58" s="2881"/>
      <c r="AO58" s="2881"/>
      <c r="AP58" s="2881"/>
      <c r="AQ58" s="2881"/>
      <c r="AR58" s="2881"/>
    </row>
    <row r="59" spans="1:44" ht="14.25">
      <c r="A59" s="1918" t="s">
        <v>1937</v>
      </c>
      <c r="B59" s="80">
        <v>1.5</v>
      </c>
      <c r="C59" s="2870">
        <v>1.5</v>
      </c>
      <c r="D59" s="2886"/>
      <c r="E59" s="2883"/>
      <c r="F59" s="2883"/>
      <c r="G59" s="2883"/>
      <c r="H59" s="2883"/>
      <c r="I59" s="2883"/>
      <c r="J59" s="2883"/>
      <c r="K59" s="2882"/>
      <c r="L59" s="2882"/>
      <c r="M59" s="2881"/>
      <c r="N59" s="2881"/>
      <c r="O59" s="2881"/>
      <c r="P59" s="2881"/>
      <c r="Q59" s="2881"/>
      <c r="R59" s="2881"/>
      <c r="S59" s="2881"/>
      <c r="T59" s="2881"/>
      <c r="U59" s="2881"/>
      <c r="V59" s="2881"/>
      <c r="W59" s="2881"/>
      <c r="X59" s="2881"/>
      <c r="Y59" s="2881"/>
      <c r="Z59" s="2881"/>
      <c r="AA59" s="2881"/>
      <c r="AB59" s="2881"/>
      <c r="AC59" s="2881"/>
      <c r="AD59" s="2881"/>
      <c r="AE59" s="2881"/>
      <c r="AF59" s="2881"/>
      <c r="AG59" s="2881"/>
      <c r="AH59" s="2881"/>
      <c r="AI59" s="2881"/>
      <c r="AJ59" s="2881"/>
      <c r="AK59" s="2881"/>
      <c r="AL59" s="2881"/>
      <c r="AM59" s="2881"/>
      <c r="AN59" s="2881"/>
      <c r="AO59" s="2881"/>
      <c r="AP59" s="2881"/>
      <c r="AQ59" s="2881"/>
      <c r="AR59" s="2881"/>
    </row>
    <row r="60" spans="1:44" ht="14.25">
      <c r="A60" s="1918" t="s">
        <v>1938</v>
      </c>
      <c r="B60" s="80"/>
      <c r="C60" s="2883"/>
      <c r="D60" s="2886"/>
      <c r="E60" s="2883"/>
      <c r="F60" s="2883"/>
      <c r="G60" s="2883"/>
      <c r="H60" s="2883"/>
      <c r="I60" s="2883"/>
      <c r="J60" s="2883"/>
      <c r="K60" s="2882"/>
      <c r="L60" s="2882"/>
      <c r="M60" s="2881"/>
      <c r="N60" s="2881"/>
      <c r="O60" s="2881"/>
      <c r="P60" s="2881"/>
      <c r="Q60" s="2881"/>
      <c r="R60" s="2881"/>
      <c r="S60" s="2881"/>
      <c r="T60" s="2881"/>
      <c r="U60" s="2881"/>
      <c r="V60" s="2881"/>
      <c r="W60" s="2881"/>
      <c r="X60" s="2881"/>
      <c r="Y60" s="2881"/>
      <c r="Z60" s="2881"/>
      <c r="AA60" s="2881"/>
      <c r="AB60" s="2881"/>
      <c r="AC60" s="2881"/>
      <c r="AD60" s="2881"/>
      <c r="AE60" s="2881"/>
      <c r="AF60" s="2881"/>
      <c r="AG60" s="2881"/>
      <c r="AH60" s="2881"/>
      <c r="AI60" s="2881"/>
      <c r="AJ60" s="2881"/>
      <c r="AK60" s="2881"/>
      <c r="AL60" s="2881"/>
      <c r="AM60" s="2881"/>
      <c r="AN60" s="2881"/>
      <c r="AO60" s="2881"/>
      <c r="AP60" s="2881"/>
      <c r="AQ60" s="2881"/>
      <c r="AR60" s="2881"/>
    </row>
    <row r="61" spans="1:44" ht="14.25">
      <c r="A61" s="1918" t="s">
        <v>1939</v>
      </c>
      <c r="B61" s="80"/>
      <c r="C61" s="2883"/>
      <c r="D61" s="2886"/>
      <c r="E61" s="2883"/>
      <c r="F61" s="2883"/>
      <c r="G61" s="2883"/>
      <c r="H61" s="2883"/>
      <c r="I61" s="2883"/>
      <c r="J61" s="2883"/>
      <c r="K61" s="2882"/>
      <c r="L61" s="2882"/>
      <c r="M61" s="2881"/>
      <c r="N61" s="2881"/>
      <c r="O61" s="2881"/>
      <c r="P61" s="2881"/>
      <c r="Q61" s="2881"/>
      <c r="R61" s="2881"/>
      <c r="S61" s="2881"/>
      <c r="T61" s="2881"/>
      <c r="U61" s="2881"/>
      <c r="V61" s="2881"/>
      <c r="W61" s="2881"/>
      <c r="X61" s="2881"/>
      <c r="Y61" s="2881"/>
      <c r="Z61" s="2881"/>
      <c r="AA61" s="2881"/>
      <c r="AB61" s="2881"/>
      <c r="AC61" s="2881"/>
      <c r="AD61" s="2881"/>
      <c r="AE61" s="2881"/>
      <c r="AF61" s="2881"/>
      <c r="AG61" s="2881"/>
      <c r="AH61" s="2881"/>
      <c r="AI61" s="2881"/>
      <c r="AJ61" s="2881"/>
      <c r="AK61" s="2881"/>
      <c r="AL61" s="2881"/>
      <c r="AM61" s="2881"/>
      <c r="AN61" s="2881"/>
      <c r="AO61" s="2881"/>
      <c r="AP61" s="2881"/>
      <c r="AQ61" s="2881"/>
      <c r="AR61" s="2881"/>
    </row>
    <row r="62" spans="1:44" ht="14.25">
      <c r="A62" s="1918" t="s">
        <v>1940</v>
      </c>
      <c r="B62" s="80"/>
      <c r="C62" s="2883"/>
      <c r="D62" s="2886"/>
      <c r="E62" s="2883"/>
      <c r="F62" s="2883"/>
      <c r="G62" s="2883"/>
      <c r="H62" s="2883"/>
      <c r="I62" s="2883"/>
      <c r="J62" s="2883"/>
      <c r="K62" s="2882"/>
      <c r="L62" s="2882"/>
      <c r="M62" s="2881"/>
      <c r="N62" s="2881"/>
      <c r="O62" s="2881"/>
      <c r="P62" s="2881"/>
      <c r="Q62" s="2881"/>
      <c r="R62" s="2881"/>
      <c r="S62" s="2881"/>
      <c r="T62" s="2881"/>
      <c r="U62" s="2881"/>
      <c r="V62" s="2881"/>
      <c r="W62" s="2881"/>
      <c r="X62" s="2881"/>
      <c r="Y62" s="2881"/>
      <c r="Z62" s="2881"/>
      <c r="AA62" s="2881"/>
      <c r="AB62" s="2881"/>
      <c r="AC62" s="2881"/>
      <c r="AD62" s="2881"/>
      <c r="AE62" s="2881"/>
      <c r="AF62" s="2881"/>
      <c r="AG62" s="2881"/>
      <c r="AH62" s="2881"/>
      <c r="AI62" s="2881"/>
      <c r="AJ62" s="2881"/>
      <c r="AK62" s="2881"/>
      <c r="AL62" s="2881"/>
      <c r="AM62" s="2881"/>
      <c r="AN62" s="2881"/>
      <c r="AO62" s="2881"/>
      <c r="AP62" s="2881"/>
      <c r="AQ62" s="2881"/>
      <c r="AR62" s="2881"/>
    </row>
    <row r="63" spans="1:44" ht="15" thickBot="1">
      <c r="A63" s="1919" t="s">
        <v>1941</v>
      </c>
      <c r="B63" s="130"/>
      <c r="C63" s="2883"/>
      <c r="D63" s="2886"/>
      <c r="E63" s="2883"/>
      <c r="F63" s="2883"/>
      <c r="G63" s="2883"/>
      <c r="H63" s="2883"/>
      <c r="I63" s="2883"/>
      <c r="J63" s="2883"/>
      <c r="K63" s="2882"/>
      <c r="L63" s="2882"/>
      <c r="M63" s="2881"/>
      <c r="N63" s="2881"/>
      <c r="O63" s="2881"/>
      <c r="P63" s="2881"/>
      <c r="Q63" s="2881"/>
      <c r="R63" s="2881"/>
      <c r="S63" s="2881"/>
      <c r="T63" s="2881"/>
      <c r="U63" s="2881"/>
      <c r="V63" s="2881"/>
      <c r="W63" s="2881"/>
      <c r="X63" s="2881"/>
      <c r="Y63" s="2881"/>
      <c r="Z63" s="2881"/>
      <c r="AA63" s="2881"/>
      <c r="AB63" s="2881"/>
      <c r="AC63" s="2881"/>
      <c r="AD63" s="2881"/>
      <c r="AE63" s="2881"/>
      <c r="AF63" s="2881"/>
      <c r="AG63" s="2881"/>
      <c r="AH63" s="2881"/>
      <c r="AI63" s="2881"/>
      <c r="AJ63" s="2881"/>
      <c r="AK63" s="2881"/>
      <c r="AL63" s="2881"/>
      <c r="AM63" s="2881"/>
      <c r="AN63" s="2881"/>
      <c r="AO63" s="2881"/>
      <c r="AP63" s="2881"/>
      <c r="AQ63" s="2881"/>
      <c r="AR63" s="2881"/>
    </row>
    <row r="64" spans="1:44" s="899" customFormat="1">
      <c r="A64" s="2873"/>
      <c r="B64" s="2881"/>
      <c r="C64" s="2881"/>
      <c r="D64" s="2885"/>
      <c r="E64" s="2881"/>
      <c r="F64" s="2881"/>
      <c r="G64" s="2881"/>
      <c r="H64" s="2881"/>
      <c r="I64" s="2881"/>
      <c r="J64" s="2881"/>
      <c r="K64" s="2882"/>
      <c r="L64" s="2882"/>
      <c r="M64" s="2881"/>
      <c r="N64" s="2881"/>
      <c r="O64" s="2881"/>
      <c r="P64" s="2881"/>
      <c r="Q64" s="2881"/>
      <c r="R64" s="2881"/>
      <c r="S64" s="2881"/>
      <c r="T64" s="2881"/>
      <c r="U64" s="2881"/>
      <c r="V64" s="2881"/>
      <c r="W64" s="2881"/>
      <c r="X64" s="2881"/>
      <c r="Y64" s="2881"/>
      <c r="Z64" s="2881"/>
      <c r="AA64" s="2881"/>
      <c r="AB64" s="2881"/>
      <c r="AC64" s="2881"/>
      <c r="AD64" s="2881"/>
      <c r="AE64" s="2881"/>
      <c r="AF64" s="2881"/>
      <c r="AG64" s="2881"/>
      <c r="AH64" s="2881"/>
      <c r="AI64" s="2881"/>
      <c r="AJ64" s="2881"/>
      <c r="AK64" s="2881"/>
      <c r="AL64" s="2881"/>
      <c r="AM64" s="2881"/>
      <c r="AN64" s="2881"/>
      <c r="AO64" s="2881"/>
      <c r="AP64" s="2881"/>
      <c r="AQ64" s="2881"/>
      <c r="AR64" s="2881"/>
    </row>
    <row r="65" spans="1:44" s="899" customFormat="1">
      <c r="A65" s="2873"/>
      <c r="B65" s="2881"/>
      <c r="C65" s="2881"/>
      <c r="D65" s="2885"/>
      <c r="E65" s="2881"/>
      <c r="F65" s="2881"/>
      <c r="G65" s="2881"/>
      <c r="H65" s="2881"/>
      <c r="I65" s="2881"/>
      <c r="J65" s="2881"/>
      <c r="K65" s="2882"/>
      <c r="L65" s="2882"/>
      <c r="M65" s="2881"/>
      <c r="N65" s="2881"/>
      <c r="O65" s="2881"/>
      <c r="P65" s="2881"/>
      <c r="Q65" s="2881"/>
      <c r="R65" s="2881"/>
      <c r="S65" s="2881"/>
      <c r="T65" s="2881"/>
      <c r="U65" s="2881"/>
      <c r="V65" s="2881"/>
      <c r="W65" s="2881"/>
      <c r="X65" s="2881"/>
      <c r="Y65" s="2881"/>
      <c r="Z65" s="2881"/>
      <c r="AA65" s="2881"/>
      <c r="AB65" s="2881"/>
      <c r="AC65" s="2881"/>
      <c r="AD65" s="2881"/>
      <c r="AE65" s="2881"/>
      <c r="AF65" s="2881"/>
      <c r="AG65" s="2881"/>
      <c r="AH65" s="2881"/>
      <c r="AI65" s="2881"/>
      <c r="AJ65" s="2881"/>
      <c r="AK65" s="2881"/>
      <c r="AL65" s="2881"/>
      <c r="AM65" s="2881"/>
      <c r="AN65" s="2881"/>
      <c r="AO65" s="2881"/>
      <c r="AP65" s="2881"/>
      <c r="AQ65" s="2881"/>
      <c r="AR65" s="2881"/>
    </row>
    <row r="66" spans="1:44" s="899" customFormat="1">
      <c r="A66" s="2873"/>
      <c r="B66" s="2881"/>
      <c r="C66" s="2881"/>
      <c r="D66" s="2885"/>
      <c r="E66" s="2881"/>
      <c r="F66" s="2881"/>
      <c r="G66" s="2881"/>
      <c r="H66" s="2881"/>
      <c r="I66" s="2881"/>
      <c r="J66" s="2881"/>
      <c r="K66" s="2882"/>
      <c r="L66" s="2882"/>
      <c r="M66" s="2881"/>
      <c r="N66" s="2881"/>
      <c r="O66" s="2881"/>
      <c r="P66" s="2881"/>
      <c r="Q66" s="2881"/>
      <c r="R66" s="2881"/>
      <c r="S66" s="2881"/>
      <c r="T66" s="2881"/>
      <c r="U66" s="2881"/>
      <c r="V66" s="2881"/>
      <c r="W66" s="2881"/>
      <c r="X66" s="2881"/>
      <c r="Y66" s="2881"/>
      <c r="Z66" s="2881"/>
      <c r="AA66" s="2881"/>
      <c r="AB66" s="2881"/>
      <c r="AC66" s="2881"/>
      <c r="AD66" s="2881"/>
      <c r="AE66" s="2881"/>
      <c r="AF66" s="2881"/>
      <c r="AG66" s="2881"/>
      <c r="AH66" s="2881"/>
      <c r="AI66" s="2881"/>
      <c r="AJ66" s="2881"/>
      <c r="AK66" s="2881"/>
      <c r="AL66" s="2881"/>
      <c r="AM66" s="2881"/>
      <c r="AN66" s="2881"/>
      <c r="AO66" s="2881"/>
      <c r="AP66" s="2881"/>
      <c r="AQ66" s="2881"/>
      <c r="AR66" s="2881"/>
    </row>
    <row r="67" spans="1:44" s="899" customFormat="1">
      <c r="A67" s="2873"/>
      <c r="B67" s="2881"/>
      <c r="C67" s="2881"/>
      <c r="D67" s="2885"/>
      <c r="E67" s="2881"/>
      <c r="F67" s="2881"/>
      <c r="G67" s="2881"/>
      <c r="H67" s="2881"/>
      <c r="I67" s="2881"/>
      <c r="J67" s="2881"/>
      <c r="K67" s="2882"/>
      <c r="L67" s="2882"/>
      <c r="M67" s="2881"/>
      <c r="N67" s="2881"/>
      <c r="O67" s="2881"/>
      <c r="P67" s="2881"/>
      <c r="Q67" s="2881"/>
      <c r="R67" s="2881"/>
      <c r="S67" s="2881"/>
      <c r="T67" s="2881"/>
      <c r="U67" s="2881"/>
      <c r="V67" s="2881"/>
      <c r="W67" s="2881"/>
      <c r="X67" s="2881"/>
      <c r="Y67" s="2881"/>
      <c r="Z67" s="2881"/>
      <c r="AA67" s="2881"/>
      <c r="AB67" s="2881"/>
      <c r="AC67" s="2881"/>
      <c r="AD67" s="2881"/>
      <c r="AE67" s="2881"/>
      <c r="AF67" s="2881"/>
      <c r="AG67" s="2881"/>
      <c r="AH67" s="2881"/>
      <c r="AI67" s="2881"/>
      <c r="AJ67" s="2881"/>
      <c r="AK67" s="2881"/>
      <c r="AL67" s="2881"/>
      <c r="AM67" s="2881"/>
      <c r="AN67" s="2881"/>
      <c r="AO67" s="2881"/>
      <c r="AP67" s="2881"/>
      <c r="AQ67" s="2881"/>
      <c r="AR67" s="2881"/>
    </row>
    <row r="68" spans="1:44" s="899" customFormat="1">
      <c r="A68" s="2873"/>
      <c r="B68" s="2881"/>
      <c r="C68" s="2881"/>
      <c r="D68" s="2885"/>
      <c r="E68" s="2881"/>
      <c r="F68" s="2881"/>
      <c r="G68" s="2881"/>
      <c r="H68" s="2881"/>
      <c r="I68" s="2881"/>
      <c r="J68" s="2881"/>
      <c r="K68" s="2882"/>
      <c r="L68" s="2882"/>
      <c r="M68" s="2881"/>
      <c r="N68" s="2881"/>
      <c r="O68" s="2881"/>
      <c r="P68" s="2881"/>
      <c r="Q68" s="2881"/>
      <c r="R68" s="2881"/>
      <c r="S68" s="2881"/>
      <c r="T68" s="2881"/>
      <c r="U68" s="2881"/>
      <c r="V68" s="2881"/>
      <c r="W68" s="2881"/>
      <c r="X68" s="2881"/>
      <c r="Y68" s="2881"/>
      <c r="Z68" s="2881"/>
      <c r="AA68" s="2881"/>
      <c r="AB68" s="2881"/>
      <c r="AC68" s="2881"/>
      <c r="AD68" s="2881"/>
      <c r="AE68" s="2881"/>
      <c r="AF68" s="2881"/>
      <c r="AG68" s="2881"/>
      <c r="AH68" s="2881"/>
      <c r="AI68" s="2881"/>
      <c r="AJ68" s="2881"/>
      <c r="AK68" s="2881"/>
      <c r="AL68" s="2881"/>
      <c r="AM68" s="2881"/>
      <c r="AN68" s="2881"/>
      <c r="AO68" s="2881"/>
      <c r="AP68" s="2881"/>
      <c r="AQ68" s="2881"/>
      <c r="AR68" s="2881"/>
    </row>
    <row r="69" spans="1:44" s="899" customFormat="1">
      <c r="A69" s="1920"/>
      <c r="D69" s="1921"/>
      <c r="K69" s="735"/>
      <c r="L69" s="735"/>
    </row>
    <row r="70" spans="1:44" s="899" customFormat="1">
      <c r="A70" s="1920"/>
      <c r="D70" s="1921"/>
      <c r="K70" s="735"/>
      <c r="L70" s="735"/>
    </row>
    <row r="71" spans="1:44" s="899" customFormat="1">
      <c r="A71" s="1920"/>
      <c r="D71" s="1921"/>
      <c r="K71" s="735"/>
      <c r="L71" s="735"/>
    </row>
    <row r="72" spans="1:44" s="899" customFormat="1">
      <c r="A72" s="1920"/>
      <c r="D72" s="1921"/>
      <c r="K72" s="735"/>
      <c r="L72" s="735"/>
    </row>
    <row r="73" spans="1:44" s="899" customFormat="1">
      <c r="A73" s="1920"/>
      <c r="D73" s="1921"/>
      <c r="K73" s="735"/>
      <c r="L73" s="735"/>
    </row>
    <row r="74" spans="1:44" s="899" customFormat="1">
      <c r="A74" s="1920"/>
      <c r="D74" s="1921"/>
      <c r="K74" s="735"/>
      <c r="L74" s="735"/>
    </row>
    <row r="75" spans="1:44" s="899" customFormat="1">
      <c r="A75" s="1920"/>
      <c r="D75" s="1921"/>
      <c r="K75" s="735"/>
      <c r="L75" s="735"/>
    </row>
    <row r="76" spans="1:44" s="899" customFormat="1">
      <c r="A76" s="1920"/>
      <c r="D76" s="1921"/>
      <c r="K76" s="735"/>
      <c r="L76" s="735"/>
    </row>
    <row r="77" spans="1:44" s="899" customFormat="1">
      <c r="A77" s="1920"/>
      <c r="D77" s="1921"/>
      <c r="K77" s="735"/>
      <c r="L77" s="735"/>
    </row>
    <row r="78" spans="1:44" s="899" customFormat="1">
      <c r="A78" s="1920"/>
      <c r="D78" s="1921"/>
      <c r="K78" s="735"/>
      <c r="L78" s="735"/>
    </row>
    <row r="79" spans="1:44" s="899" customFormat="1">
      <c r="A79" s="1920"/>
      <c r="D79" s="1921"/>
      <c r="K79" s="735"/>
      <c r="L79" s="735"/>
    </row>
    <row r="80" spans="1:44" s="899" customFormat="1">
      <c r="A80" s="1920"/>
      <c r="D80" s="1921"/>
      <c r="K80" s="735"/>
      <c r="L80" s="735"/>
    </row>
    <row r="81" spans="1:12" s="899" customFormat="1">
      <c r="A81" s="1920"/>
      <c r="D81" s="1921"/>
      <c r="K81" s="735"/>
      <c r="L81" s="735"/>
    </row>
    <row r="82" spans="1:12" s="899" customFormat="1">
      <c r="A82" s="1920"/>
      <c r="D82" s="1921"/>
      <c r="K82" s="735"/>
      <c r="L82" s="735"/>
    </row>
    <row r="83" spans="1:12" s="899" customFormat="1">
      <c r="A83" s="1920"/>
      <c r="D83" s="1921"/>
      <c r="K83" s="735"/>
      <c r="L83" s="735"/>
    </row>
    <row r="84" spans="1:12" s="899" customFormat="1">
      <c r="A84" s="1920"/>
      <c r="D84" s="1921"/>
      <c r="K84" s="735"/>
      <c r="L84" s="735"/>
    </row>
    <row r="85" spans="1:12" s="899" customFormat="1">
      <c r="A85" s="1920"/>
      <c r="D85" s="1921"/>
      <c r="K85" s="735"/>
      <c r="L85" s="735"/>
    </row>
    <row r="86" spans="1:12" s="899" customFormat="1">
      <c r="A86" s="1920"/>
      <c r="D86" s="1921"/>
      <c r="K86" s="735"/>
      <c r="L86" s="735"/>
    </row>
    <row r="87" spans="1:12" s="899" customFormat="1">
      <c r="A87" s="1920"/>
      <c r="D87" s="1921"/>
      <c r="K87" s="735"/>
      <c r="L87" s="735"/>
    </row>
    <row r="88" spans="1:12" s="899" customFormat="1">
      <c r="A88" s="1920"/>
      <c r="D88" s="1921"/>
      <c r="K88" s="735"/>
      <c r="L88" s="735"/>
    </row>
    <row r="89" spans="1:12" s="899" customFormat="1">
      <c r="A89" s="1920"/>
      <c r="D89" s="1921"/>
      <c r="K89" s="735"/>
      <c r="L89" s="735"/>
    </row>
    <row r="90" spans="1:12" s="899" customFormat="1">
      <c r="A90" s="1920"/>
      <c r="D90" s="1921"/>
      <c r="K90" s="735"/>
      <c r="L90" s="735"/>
    </row>
    <row r="91" spans="1:12" s="899" customFormat="1">
      <c r="A91" s="1920"/>
      <c r="D91" s="1921"/>
      <c r="K91" s="735"/>
      <c r="L91" s="735"/>
    </row>
    <row r="92" spans="1:12" s="899" customFormat="1">
      <c r="A92" s="1920"/>
      <c r="D92" s="1921"/>
      <c r="K92" s="735"/>
      <c r="L92" s="735"/>
    </row>
    <row r="93" spans="1:12" s="899" customFormat="1">
      <c r="A93" s="1920"/>
      <c r="D93" s="1921"/>
      <c r="K93" s="735"/>
      <c r="L93" s="735"/>
    </row>
    <row r="94" spans="1:12" s="899" customFormat="1">
      <c r="A94" s="1920"/>
      <c r="D94" s="1921"/>
      <c r="K94" s="735"/>
      <c r="L94" s="735"/>
    </row>
    <row r="95" spans="1:12" s="899" customFormat="1">
      <c r="A95" s="1920"/>
      <c r="D95" s="1921"/>
      <c r="K95" s="735"/>
      <c r="L95" s="735"/>
    </row>
    <row r="96" spans="1:12" s="899" customFormat="1">
      <c r="A96" s="1920"/>
      <c r="D96" s="1921"/>
      <c r="K96" s="735"/>
      <c r="L96" s="735"/>
    </row>
    <row r="97" spans="1:12" s="899" customFormat="1">
      <c r="A97" s="1920"/>
      <c r="D97" s="1921"/>
      <c r="K97" s="735"/>
      <c r="L97" s="735"/>
    </row>
    <row r="98" spans="1:12" s="899" customFormat="1">
      <c r="A98" s="1920"/>
      <c r="D98" s="1921"/>
      <c r="K98" s="735"/>
      <c r="L98" s="735"/>
    </row>
    <row r="99" spans="1:12" s="899" customFormat="1">
      <c r="A99" s="1920"/>
      <c r="D99" s="1921"/>
      <c r="K99" s="735"/>
      <c r="L99" s="735"/>
    </row>
    <row r="100" spans="1:12" s="899" customFormat="1">
      <c r="A100" s="1920"/>
      <c r="D100" s="1921"/>
      <c r="K100" s="735"/>
      <c r="L100" s="735"/>
    </row>
    <row r="101" spans="1:12" s="899" customFormat="1">
      <c r="A101" s="1920"/>
      <c r="D101" s="1921"/>
      <c r="K101" s="735"/>
      <c r="L101" s="735"/>
    </row>
    <row r="102" spans="1:12" s="899" customFormat="1">
      <c r="A102" s="1920"/>
      <c r="D102" s="1921"/>
      <c r="K102" s="735"/>
      <c r="L102" s="735"/>
    </row>
    <row r="103" spans="1:12" s="899" customFormat="1">
      <c r="A103" s="1920"/>
      <c r="D103" s="1921"/>
      <c r="K103" s="735"/>
      <c r="L103" s="735"/>
    </row>
    <row r="104" spans="1:12" s="899" customFormat="1">
      <c r="A104" s="1920"/>
      <c r="D104" s="1921"/>
      <c r="K104" s="735"/>
      <c r="L104" s="735"/>
    </row>
    <row r="105" spans="1:12" s="899" customFormat="1">
      <c r="A105" s="1920"/>
      <c r="D105" s="1921"/>
      <c r="K105" s="735"/>
      <c r="L105" s="735"/>
    </row>
    <row r="106" spans="1:12" s="899" customFormat="1">
      <c r="A106" s="1920"/>
      <c r="D106" s="1921"/>
      <c r="K106" s="735"/>
      <c r="L106" s="735"/>
    </row>
    <row r="107" spans="1:12" s="899" customFormat="1">
      <c r="A107" s="1920"/>
      <c r="D107" s="1921"/>
      <c r="K107" s="735"/>
      <c r="L107" s="735"/>
    </row>
    <row r="108" spans="1:12" s="899" customFormat="1">
      <c r="A108" s="1920"/>
      <c r="D108" s="1921"/>
      <c r="K108" s="735"/>
      <c r="L108" s="735"/>
    </row>
    <row r="109" spans="1:12" s="899" customFormat="1">
      <c r="A109" s="1920"/>
      <c r="D109" s="1921"/>
      <c r="K109" s="735"/>
      <c r="L109" s="735"/>
    </row>
    <row r="110" spans="1:12" s="899" customFormat="1">
      <c r="A110" s="1920"/>
      <c r="D110" s="1921"/>
      <c r="K110" s="735"/>
      <c r="L110" s="735"/>
    </row>
    <row r="111" spans="1:12" s="899" customFormat="1">
      <c r="A111" s="1920"/>
      <c r="D111" s="1921"/>
      <c r="K111" s="735"/>
      <c r="L111" s="735"/>
    </row>
    <row r="112" spans="1:12" s="899" customFormat="1">
      <c r="A112" s="1920"/>
      <c r="D112" s="1921"/>
      <c r="K112" s="735"/>
      <c r="L112" s="735"/>
    </row>
    <row r="113" spans="1:12" s="899" customFormat="1">
      <c r="A113" s="1920"/>
      <c r="D113" s="1921"/>
      <c r="K113" s="735"/>
      <c r="L113" s="735"/>
    </row>
    <row r="114" spans="1:12" s="899" customFormat="1">
      <c r="A114" s="1920"/>
      <c r="D114" s="1921"/>
      <c r="K114" s="735"/>
      <c r="L114" s="735"/>
    </row>
    <row r="115" spans="1:12" s="899" customFormat="1">
      <c r="A115" s="1920"/>
      <c r="D115" s="1921"/>
      <c r="K115" s="735"/>
      <c r="L115" s="735"/>
    </row>
    <row r="116" spans="1:12" s="899" customFormat="1">
      <c r="A116" s="1920"/>
      <c r="D116" s="1921"/>
      <c r="K116" s="735"/>
      <c r="L116" s="735"/>
    </row>
    <row r="117" spans="1:12" s="899" customFormat="1">
      <c r="A117" s="1920"/>
      <c r="D117" s="1921"/>
      <c r="K117" s="735"/>
      <c r="L117" s="735"/>
    </row>
    <row r="118" spans="1:12" s="899" customFormat="1">
      <c r="A118" s="1920"/>
      <c r="D118" s="1921"/>
      <c r="K118" s="735"/>
      <c r="L118" s="735"/>
    </row>
    <row r="119" spans="1:12" s="899" customFormat="1">
      <c r="A119" s="1920"/>
      <c r="D119" s="1921"/>
      <c r="K119" s="735"/>
      <c r="L119" s="735"/>
    </row>
    <row r="120" spans="1:12" s="899" customFormat="1">
      <c r="A120" s="1920"/>
      <c r="D120" s="1921"/>
      <c r="K120" s="735"/>
      <c r="L120" s="735"/>
    </row>
    <row r="121" spans="1:12" s="899" customFormat="1">
      <c r="A121" s="1920"/>
      <c r="D121" s="1921"/>
      <c r="K121" s="735"/>
      <c r="L121" s="735"/>
    </row>
    <row r="122" spans="1:12" s="899" customFormat="1">
      <c r="A122" s="1920"/>
      <c r="D122" s="1921"/>
      <c r="K122" s="735"/>
      <c r="L122" s="735"/>
    </row>
    <row r="123" spans="1:12" s="899" customFormat="1">
      <c r="A123" s="1920"/>
      <c r="D123" s="1921"/>
      <c r="K123" s="735"/>
      <c r="L123" s="735"/>
    </row>
    <row r="124" spans="1:12" s="899" customFormat="1">
      <c r="A124" s="1920"/>
      <c r="D124" s="1921"/>
      <c r="K124" s="735"/>
      <c r="L124" s="735"/>
    </row>
    <row r="125" spans="1:12" s="899" customFormat="1">
      <c r="A125" s="1920"/>
      <c r="D125" s="1921"/>
      <c r="K125" s="735"/>
      <c r="L125" s="735"/>
    </row>
    <row r="126" spans="1:12" s="899" customFormat="1">
      <c r="A126" s="1920"/>
      <c r="D126" s="1921"/>
      <c r="K126" s="735"/>
      <c r="L126" s="735"/>
    </row>
    <row r="127" spans="1:12" s="899" customFormat="1">
      <c r="A127" s="1920"/>
      <c r="D127" s="1921"/>
      <c r="K127" s="735"/>
      <c r="L127" s="735"/>
    </row>
    <row r="128" spans="1:12" s="899" customFormat="1">
      <c r="A128" s="1920"/>
      <c r="D128" s="1921"/>
      <c r="K128" s="735"/>
      <c r="L128" s="735"/>
    </row>
    <row r="129" spans="1:12" s="899" customFormat="1">
      <c r="A129" s="1920"/>
      <c r="D129" s="1921"/>
      <c r="K129" s="735"/>
      <c r="L129" s="735"/>
    </row>
    <row r="130" spans="1:12" s="899" customFormat="1">
      <c r="A130" s="1920"/>
      <c r="D130" s="1921"/>
      <c r="K130" s="735"/>
      <c r="L130" s="735"/>
    </row>
    <row r="131" spans="1:12" s="899" customFormat="1">
      <c r="A131" s="1920"/>
      <c r="D131" s="1921"/>
      <c r="K131" s="735"/>
      <c r="L131" s="735"/>
    </row>
    <row r="132" spans="1:12" s="899" customFormat="1">
      <c r="A132" s="1920"/>
      <c r="D132" s="1921"/>
      <c r="K132" s="735"/>
      <c r="L132" s="735"/>
    </row>
    <row r="133" spans="1:12" s="899" customFormat="1">
      <c r="A133" s="1920"/>
      <c r="D133" s="1921"/>
      <c r="K133" s="735"/>
      <c r="L133" s="735"/>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65" customWidth="1"/>
    <col min="2" max="2" width="24.5" style="1750" customWidth="1"/>
    <col min="3" max="3" width="24.5" style="2718" customWidth="1"/>
    <col min="4" max="4" width="2.625" style="2718" customWidth="1"/>
    <col min="5" max="5" width="5.875" style="2718" customWidth="1"/>
    <col min="6" max="6" width="27" style="1750" customWidth="1"/>
    <col min="7" max="7" width="27" style="2719"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905"/>
    <col min="30" max="16384" width="9" style="1865"/>
  </cols>
  <sheetData>
    <row r="1" spans="1:29" s="2668" customFormat="1" ht="18.75" thickBot="1">
      <c r="A1" s="3185" t="s">
        <v>3023</v>
      </c>
      <c r="B1" s="3186"/>
      <c r="C1" s="3186"/>
      <c r="D1" s="3186"/>
      <c r="E1" s="3186"/>
      <c r="F1" s="3186"/>
      <c r="G1" s="3186"/>
      <c r="H1" s="2663"/>
      <c r="I1" s="2664"/>
      <c r="J1" s="2663"/>
      <c r="K1" s="2663"/>
      <c r="L1" s="2664"/>
      <c r="M1" s="2663"/>
      <c r="N1" s="2663"/>
      <c r="O1" s="2664"/>
      <c r="P1" s="2663"/>
      <c r="Q1" s="2665"/>
      <c r="R1" s="2666"/>
      <c r="S1" s="2667"/>
      <c r="T1" s="2667"/>
      <c r="U1" s="2667"/>
      <c r="V1" s="2667"/>
      <c r="W1" s="2667"/>
      <c r="X1" s="2667"/>
      <c r="Y1" s="2667"/>
      <c r="Z1" s="2667"/>
      <c r="AA1" s="2667"/>
      <c r="AB1" s="2667"/>
      <c r="AC1" s="2667"/>
    </row>
    <row r="2" spans="1:29" ht="15" thickBot="1">
      <c r="A2" s="2669"/>
      <c r="B2" s="2670"/>
      <c r="C2" s="2671" t="s">
        <v>3019</v>
      </c>
      <c r="D2" s="2672"/>
      <c r="E2" s="2669"/>
      <c r="F2" s="2673"/>
      <c r="G2" s="2671" t="s">
        <v>3020</v>
      </c>
      <c r="H2" s="905"/>
      <c r="I2" s="905"/>
      <c r="J2" s="905"/>
      <c r="K2" s="905"/>
      <c r="L2" s="905"/>
      <c r="M2" s="905"/>
      <c r="N2" s="905"/>
      <c r="O2" s="905"/>
      <c r="P2" s="905"/>
      <c r="Q2" s="905"/>
      <c r="R2" s="905"/>
    </row>
    <row r="3" spans="1:29" ht="25.5">
      <c r="A3" s="2652" t="s">
        <v>3021</v>
      </c>
      <c r="B3" s="2674" t="s">
        <v>2993</v>
      </c>
      <c r="C3" s="3060"/>
      <c r="D3" s="2675"/>
      <c r="E3" s="2653" t="s">
        <v>3021</v>
      </c>
      <c r="F3" s="2676" t="s">
        <v>2994</v>
      </c>
      <c r="G3" s="2677" t="s">
        <v>3022</v>
      </c>
      <c r="H3" s="905"/>
      <c r="I3" s="905"/>
      <c r="J3" s="905"/>
      <c r="K3" s="905"/>
      <c r="L3" s="905"/>
      <c r="M3" s="905"/>
      <c r="N3" s="905"/>
      <c r="O3" s="905"/>
      <c r="P3" s="905"/>
      <c r="Q3" s="905"/>
      <c r="R3" s="905"/>
    </row>
    <row r="4" spans="1:29" ht="67.5">
      <c r="A4" s="2653"/>
      <c r="B4" s="329" t="s">
        <v>2995</v>
      </c>
      <c r="C4" s="3089" t="s">
        <v>3204</v>
      </c>
      <c r="D4" s="2675"/>
      <c r="E4" s="2678"/>
      <c r="F4" s="1550" t="s">
        <v>2996</v>
      </c>
      <c r="G4" s="2679" t="s">
        <v>2997</v>
      </c>
      <c r="H4" s="905"/>
      <c r="I4" s="905"/>
      <c r="J4" s="905"/>
      <c r="K4" s="905"/>
      <c r="L4" s="905"/>
      <c r="M4" s="905"/>
      <c r="N4" s="905"/>
      <c r="O4" s="905"/>
      <c r="P4" s="905"/>
      <c r="Q4" s="905"/>
      <c r="R4" s="905"/>
    </row>
    <row r="5" spans="1:29" ht="24">
      <c r="A5" s="2653"/>
      <c r="B5" s="329" t="s">
        <v>2998</v>
      </c>
      <c r="C5" s="3086"/>
      <c r="D5" s="2675"/>
      <c r="E5" s="2678"/>
      <c r="F5" s="329" t="s">
        <v>2999</v>
      </c>
      <c r="G5" s="2679" t="s">
        <v>3000</v>
      </c>
      <c r="H5" s="905"/>
      <c r="I5" s="905"/>
      <c r="J5" s="905"/>
      <c r="K5" s="905"/>
      <c r="L5" s="905"/>
      <c r="M5" s="905"/>
      <c r="N5" s="905"/>
      <c r="O5" s="905"/>
      <c r="P5" s="905"/>
      <c r="Q5" s="905"/>
      <c r="R5" s="905"/>
    </row>
    <row r="6" spans="1:29" ht="58.5" customHeight="1">
      <c r="A6" s="2653"/>
      <c r="B6" s="329" t="s">
        <v>3001</v>
      </c>
      <c r="C6" s="3062" t="s">
        <v>3197</v>
      </c>
      <c r="D6" s="2675"/>
      <c r="E6" s="2678"/>
      <c r="F6" s="329" t="s">
        <v>3002</v>
      </c>
      <c r="G6" s="2679" t="s">
        <v>3003</v>
      </c>
      <c r="H6" s="905"/>
      <c r="I6" s="905"/>
      <c r="J6" s="905"/>
      <c r="K6" s="905"/>
      <c r="L6" s="905"/>
      <c r="M6" s="905"/>
      <c r="N6" s="905"/>
      <c r="O6" s="905"/>
      <c r="P6" s="905"/>
      <c r="Q6" s="905"/>
      <c r="R6" s="905"/>
    </row>
    <row r="7" spans="1:29" ht="34.5" customHeight="1" thickBot="1">
      <c r="A7" s="2653"/>
      <c r="B7" s="329" t="s">
        <v>2999</v>
      </c>
      <c r="C7" s="3061" t="s">
        <v>3113</v>
      </c>
      <c r="D7" s="2680"/>
      <c r="E7" s="2681"/>
      <c r="F7" s="2682" t="s">
        <v>3004</v>
      </c>
      <c r="G7" s="2683" t="s">
        <v>3005</v>
      </c>
      <c r="H7" s="905"/>
      <c r="I7" s="905"/>
      <c r="J7" s="905"/>
      <c r="K7" s="905"/>
      <c r="L7" s="905"/>
      <c r="M7" s="905"/>
      <c r="N7" s="905"/>
      <c r="O7" s="905"/>
      <c r="P7" s="905"/>
      <c r="Q7" s="905"/>
      <c r="R7" s="905"/>
    </row>
    <row r="8" spans="1:29" ht="27">
      <c r="A8" s="2653"/>
      <c r="B8" s="329" t="s">
        <v>3002</v>
      </c>
      <c r="C8" s="3061" t="s">
        <v>3114</v>
      </c>
      <c r="D8" s="2680"/>
      <c r="E8" s="2680"/>
      <c r="F8" s="2684"/>
      <c r="G8" s="2684"/>
      <c r="H8" s="905"/>
      <c r="I8" s="905"/>
      <c r="J8" s="905"/>
      <c r="K8" s="905"/>
      <c r="L8" s="905"/>
      <c r="M8" s="905"/>
      <c r="N8" s="905"/>
      <c r="O8" s="905"/>
      <c r="P8" s="905"/>
      <c r="Q8" s="905"/>
      <c r="R8" s="905"/>
    </row>
    <row r="9" spans="1:29" ht="61.5" customHeight="1">
      <c r="A9" s="2653"/>
      <c r="B9" s="329" t="s">
        <v>3006</v>
      </c>
      <c r="C9" s="3089" t="s">
        <v>3198</v>
      </c>
      <c r="D9" s="2675"/>
      <c r="E9" s="2680"/>
      <c r="F9" s="2684"/>
      <c r="G9" s="2684"/>
      <c r="H9" s="905"/>
      <c r="I9" s="905"/>
      <c r="J9" s="905"/>
      <c r="K9" s="905"/>
      <c r="L9" s="905"/>
      <c r="M9" s="905"/>
      <c r="N9" s="905"/>
      <c r="O9" s="905"/>
      <c r="P9" s="905"/>
      <c r="Q9" s="905"/>
      <c r="R9" s="905"/>
    </row>
    <row r="10" spans="1:29" s="2689" customFormat="1" ht="15" thickBot="1">
      <c r="A10" s="2654"/>
      <c r="B10" s="2685" t="s">
        <v>3007</v>
      </c>
      <c r="C10" s="3090" t="s">
        <v>3199</v>
      </c>
      <c r="D10" s="2675"/>
      <c r="E10" s="2675"/>
      <c r="F10" s="2684"/>
      <c r="G10" s="2684"/>
      <c r="H10" s="2686"/>
      <c r="I10" s="2687"/>
      <c r="J10" s="2688"/>
      <c r="K10" s="2686"/>
      <c r="L10" s="2687"/>
      <c r="M10" s="2688"/>
      <c r="N10" s="2686"/>
      <c r="O10" s="2687"/>
      <c r="P10" s="2688"/>
      <c r="Q10" s="2686"/>
      <c r="R10" s="2687"/>
      <c r="S10" s="905"/>
      <c r="T10" s="905"/>
      <c r="U10" s="905"/>
      <c r="V10" s="905"/>
      <c r="W10" s="905"/>
      <c r="X10" s="905"/>
      <c r="Y10" s="905"/>
      <c r="Z10" s="905"/>
      <c r="AA10" s="905"/>
      <c r="AB10" s="905"/>
      <c r="AC10" s="905"/>
    </row>
    <row r="11" spans="1:29" s="2689" customFormat="1">
      <c r="A11" s="2690"/>
      <c r="B11" s="2680"/>
      <c r="C11" s="2675"/>
      <c r="D11" s="2675"/>
      <c r="E11" s="2675"/>
      <c r="F11" s="2680"/>
      <c r="G11" s="2691"/>
      <c r="H11" s="2686"/>
      <c r="I11" s="2687"/>
      <c r="J11" s="2688"/>
      <c r="K11" s="2686"/>
      <c r="L11" s="2687"/>
      <c r="M11" s="2688"/>
      <c r="N11" s="2686"/>
      <c r="O11" s="2687"/>
      <c r="P11" s="2688"/>
      <c r="Q11" s="2686"/>
      <c r="R11" s="2687"/>
      <c r="S11" s="905"/>
      <c r="T11" s="905"/>
      <c r="U11" s="905"/>
      <c r="V11" s="905"/>
      <c r="W11" s="905"/>
      <c r="X11" s="905"/>
      <c r="Y11" s="905"/>
      <c r="Z11" s="905"/>
      <c r="AA11" s="905"/>
      <c r="AB11" s="905"/>
      <c r="AC11" s="905"/>
    </row>
    <row r="12" spans="1:29" s="2668" customFormat="1" ht="18">
      <c r="A12" s="2690"/>
      <c r="B12" s="2680"/>
      <c r="C12" s="2675"/>
      <c r="D12" s="2692"/>
      <c r="E12" s="2675"/>
      <c r="F12" s="2680"/>
      <c r="G12" s="2691"/>
      <c r="H12" s="2693"/>
      <c r="I12" s="2694"/>
      <c r="J12" s="2693"/>
      <c r="K12" s="2693"/>
      <c r="L12" s="2695"/>
      <c r="M12" s="2693"/>
      <c r="N12" s="2696"/>
      <c r="O12" s="2697"/>
      <c r="P12" s="2696"/>
      <c r="Q12" s="2696"/>
      <c r="R12" s="2666"/>
      <c r="S12" s="2667"/>
      <c r="T12" s="2667"/>
      <c r="U12" s="2667"/>
      <c r="V12" s="2667"/>
      <c r="W12" s="2667"/>
      <c r="X12" s="2667"/>
      <c r="Y12" s="2667"/>
      <c r="Z12" s="2667"/>
      <c r="AA12" s="2667"/>
      <c r="AB12" s="2667"/>
      <c r="AC12" s="2667"/>
    </row>
    <row r="13" spans="1:29" ht="15.75" thickBot="1">
      <c r="A13" s="2698" t="s">
        <v>3024</v>
      </c>
      <c r="B13" s="2692"/>
      <c r="C13" s="2692"/>
      <c r="D13" s="2690"/>
      <c r="E13" s="2692"/>
      <c r="F13" s="2692"/>
      <c r="G13" s="2692"/>
    </row>
    <row r="14" spans="1:29" ht="15" thickBot="1">
      <c r="A14" s="2702"/>
      <c r="B14" s="2702"/>
      <c r="C14" s="2703" t="s">
        <v>3008</v>
      </c>
      <c r="D14" s="2675"/>
      <c r="E14" s="2704"/>
      <c r="F14" s="2704"/>
      <c r="G14" s="2671" t="s">
        <v>3009</v>
      </c>
    </row>
    <row r="15" spans="1:29" ht="25.5">
      <c r="A15" s="2655" t="s">
        <v>3010</v>
      </c>
      <c r="B15" s="2705" t="s">
        <v>2993</v>
      </c>
      <c r="C15" s="2706">
        <f>C3</f>
        <v>0</v>
      </c>
      <c r="D15" s="2675"/>
      <c r="E15" s="2656" t="s">
        <v>3011</v>
      </c>
      <c r="F15" s="2705" t="s">
        <v>3012</v>
      </c>
      <c r="G15" s="2707" t="str">
        <f>G3</f>
        <v>估价对象位于XX开发区，园区建设成熟度XX，产业集聚程度XX</v>
      </c>
    </row>
    <row r="16" spans="1:29" ht="51">
      <c r="A16" s="2657"/>
      <c r="B16" s="2708" t="s">
        <v>2995</v>
      </c>
      <c r="C16" s="2709" t="str">
        <f>C4</f>
        <v>估价对象位于平阳路，周边商业氛围较成熟，有赛格科技广场、尚品购物中心等商业项目，人流量较大，商业繁华度较好</v>
      </c>
      <c r="D16" s="2675"/>
      <c r="E16" s="2658"/>
      <c r="F16" s="2710" t="s">
        <v>2996</v>
      </c>
      <c r="G16" s="2711" t="str">
        <f>G4</f>
        <v>估价对象周边道路状况、公共交通通达情况、停车便捷程度，综合评价交通便捷度较好</v>
      </c>
    </row>
    <row r="17" spans="1:18">
      <c r="A17" s="2657"/>
      <c r="B17" s="2708" t="s">
        <v>2998</v>
      </c>
      <c r="C17" s="2709">
        <f>C5</f>
        <v>0</v>
      </c>
      <c r="D17" s="2680"/>
      <c r="E17" s="2658"/>
      <c r="F17" s="2710" t="s">
        <v>3013</v>
      </c>
      <c r="G17" s="2712"/>
    </row>
    <row r="18" spans="1:18" ht="51">
      <c r="A18" s="2657"/>
      <c r="B18" s="2710" t="s">
        <v>3001</v>
      </c>
      <c r="C18" s="2711" t="str">
        <f>C6</f>
        <v>估价对象紧邻平阳路，有13、39、56、65、901等公交线路，项目有地面停车场，综合评价交通便捷度较好。</v>
      </c>
      <c r="D18" s="2680"/>
      <c r="E18" s="2658"/>
      <c r="F18" s="2710" t="s">
        <v>3004</v>
      </c>
      <c r="G18" s="2711" t="str">
        <f>G7</f>
        <v>该园区内是否有污染型企业，绿化情况，卫生条件，整体环境状况判断</v>
      </c>
    </row>
    <row r="19" spans="1:18" ht="25.5">
      <c r="A19" s="2657"/>
      <c r="B19" s="2710" t="s">
        <v>3014</v>
      </c>
      <c r="C19" s="2712"/>
      <c r="D19" s="2675"/>
      <c r="E19" s="2658"/>
      <c r="F19" s="329" t="s">
        <v>2999</v>
      </c>
      <c r="G19" s="2711" t="str">
        <f>G5</f>
        <v>估价对象所在区域公共配套设施齐备情况</v>
      </c>
    </row>
    <row r="20" spans="1:18" ht="51">
      <c r="A20" s="2657"/>
      <c r="B20" s="2710" t="s">
        <v>3015</v>
      </c>
      <c r="C20" s="2709" t="str">
        <f>C9</f>
        <v>估价对象周边有盆景园、太原汾河景区等自然景观、更有菊花坪、凉亭等人文景观、环境状况较好</v>
      </c>
      <c r="D20" s="2680"/>
      <c r="E20" s="2658"/>
      <c r="F20" s="329" t="s">
        <v>3002</v>
      </c>
      <c r="G20" s="2711" t="str">
        <f>G6</f>
        <v>估价对象所在区域基础设施水平</v>
      </c>
    </row>
    <row r="21" spans="1:18" ht="25.5">
      <c r="A21" s="2657"/>
      <c r="B21" s="329" t="s">
        <v>2999</v>
      </c>
      <c r="C21" s="2711" t="str">
        <f>C7</f>
        <v>估价对象所在区域公共配套设施齐备情况</v>
      </c>
      <c r="D21" s="2675"/>
      <c r="E21" s="2658"/>
      <c r="F21" s="2710" t="s">
        <v>3016</v>
      </c>
      <c r="G21" s="2713"/>
    </row>
    <row r="22" spans="1:18" ht="13.5" customHeight="1">
      <c r="A22" s="2657"/>
      <c r="B22" s="329" t="s">
        <v>3002</v>
      </c>
      <c r="C22" s="2711" t="str">
        <f>C8</f>
        <v>估价对象所在区域基础设施水平</v>
      </c>
      <c r="D22" s="2675"/>
      <c r="E22" s="2658"/>
      <c r="F22" s="2710" t="s">
        <v>3007</v>
      </c>
      <c r="G22" s="2712"/>
    </row>
    <row r="23" spans="1:18" s="905" customFormat="1" ht="15" thickBot="1">
      <c r="A23" s="2657"/>
      <c r="B23" s="2710" t="s">
        <v>3016</v>
      </c>
      <c r="C23" s="2713"/>
      <c r="D23" s="1920"/>
      <c r="E23" s="2659"/>
      <c r="F23" s="2714" t="s">
        <v>3017</v>
      </c>
      <c r="G23" s="2715"/>
      <c r="H23" s="2699"/>
      <c r="I23" s="2700"/>
      <c r="J23" s="2699"/>
      <c r="K23" s="2699"/>
      <c r="L23" s="2700"/>
      <c r="M23" s="2699"/>
      <c r="N23" s="2699"/>
      <c r="O23" s="2700"/>
      <c r="P23" s="2699"/>
      <c r="Q23" s="2699"/>
      <c r="R23" s="2701"/>
    </row>
    <row r="24" spans="1:18" s="905" customFormat="1" ht="15" thickBot="1">
      <c r="A24" s="2660"/>
      <c r="B24" s="2714" t="s">
        <v>3018</v>
      </c>
      <c r="C24" s="2716" t="str">
        <f>C10</f>
        <v>城市主干道平阳路</v>
      </c>
      <c r="D24" s="1920"/>
      <c r="E24" s="2650"/>
      <c r="F24" s="2650"/>
      <c r="G24" s="2717"/>
      <c r="H24" s="2699"/>
      <c r="I24" s="2700"/>
      <c r="J24" s="2699"/>
      <c r="K24" s="2699"/>
      <c r="L24" s="2700"/>
      <c r="M24" s="2699"/>
      <c r="N24" s="2699"/>
      <c r="O24" s="2700"/>
      <c r="P24" s="2699"/>
      <c r="Q24" s="2699"/>
      <c r="R24" s="2701"/>
    </row>
    <row r="25" spans="1:18" s="905" customFormat="1">
      <c r="B25" s="2699"/>
      <c r="C25" s="2699"/>
      <c r="D25" s="2699"/>
      <c r="H25" s="2699"/>
      <c r="I25" s="2700"/>
      <c r="J25" s="2699"/>
      <c r="K25" s="2699"/>
      <c r="L25" s="2700"/>
      <c r="M25" s="2699"/>
      <c r="N25" s="2699"/>
      <c r="O25" s="2700"/>
      <c r="P25" s="2699"/>
      <c r="Q25" s="2699"/>
      <c r="R25" s="2701"/>
    </row>
    <row r="26" spans="1:18" s="905" customFormat="1">
      <c r="B26" s="2699"/>
      <c r="C26" s="2699"/>
      <c r="D26" s="2699"/>
      <c r="H26" s="2699"/>
      <c r="I26" s="2700"/>
      <c r="J26" s="2699"/>
      <c r="K26" s="2699"/>
      <c r="L26" s="2700"/>
      <c r="M26" s="2699"/>
      <c r="N26" s="2699"/>
      <c r="O26" s="2700"/>
      <c r="P26" s="2699"/>
      <c r="Q26" s="2699"/>
      <c r="R26" s="2701"/>
    </row>
    <row r="27" spans="1:18" s="905" customFormat="1">
      <c r="B27" s="2699"/>
      <c r="C27" s="2699"/>
      <c r="D27" s="2699"/>
      <c r="H27" s="2699"/>
      <c r="I27" s="2700"/>
      <c r="J27" s="2699"/>
      <c r="K27" s="2699"/>
      <c r="L27" s="2700"/>
      <c r="M27" s="2699"/>
      <c r="N27" s="2699"/>
      <c r="O27" s="2700"/>
      <c r="P27" s="2699"/>
      <c r="Q27" s="2699"/>
      <c r="R27" s="2701"/>
    </row>
    <row r="28" spans="1:18" s="905" customFormat="1">
      <c r="B28" s="2699"/>
      <c r="C28" s="2699"/>
      <c r="D28" s="2699"/>
      <c r="H28" s="2699"/>
      <c r="I28" s="2700"/>
      <c r="J28" s="2699"/>
      <c r="K28" s="2699"/>
      <c r="L28" s="2700"/>
      <c r="M28" s="2699"/>
      <c r="N28" s="2699"/>
      <c r="O28" s="2700"/>
      <c r="P28" s="2699"/>
      <c r="Q28" s="2699"/>
      <c r="R28" s="2701"/>
    </row>
    <row r="29" spans="1:18" s="905" customFormat="1">
      <c r="B29" s="2699"/>
      <c r="C29" s="2699"/>
      <c r="D29" s="2699"/>
      <c r="H29" s="2699"/>
      <c r="I29" s="2700"/>
      <c r="J29" s="2699"/>
      <c r="K29" s="2699"/>
      <c r="L29" s="2700"/>
      <c r="M29" s="2699"/>
      <c r="N29" s="2699"/>
      <c r="O29" s="2700"/>
      <c r="P29" s="2699"/>
      <c r="Q29" s="2699"/>
      <c r="R29" s="2701"/>
    </row>
    <row r="30" spans="1:18" s="905" customFormat="1">
      <c r="B30" s="2699"/>
      <c r="C30" s="2699"/>
      <c r="D30" s="2699"/>
      <c r="H30" s="2699"/>
      <c r="I30" s="2700"/>
      <c r="J30" s="2699"/>
      <c r="K30" s="2699"/>
      <c r="L30" s="2700"/>
      <c r="M30" s="2699"/>
      <c r="N30" s="2699"/>
      <c r="O30" s="2700"/>
      <c r="P30" s="2699"/>
      <c r="Q30" s="2699"/>
      <c r="R30" s="2701"/>
    </row>
    <row r="31" spans="1:18" s="905" customFormat="1">
      <c r="B31" s="2699"/>
      <c r="C31" s="2699"/>
      <c r="D31" s="2699"/>
      <c r="H31" s="2699"/>
      <c r="I31" s="2700"/>
      <c r="J31" s="2699"/>
      <c r="K31" s="2699"/>
      <c r="L31" s="2700"/>
      <c r="M31" s="2699"/>
      <c r="N31" s="2699"/>
      <c r="O31" s="2700"/>
      <c r="P31" s="2699"/>
      <c r="Q31" s="2699"/>
      <c r="R31" s="2701"/>
    </row>
    <row r="32" spans="1:18" s="905" customFormat="1">
      <c r="B32" s="2699"/>
      <c r="C32" s="2699"/>
      <c r="D32" s="2699"/>
      <c r="H32" s="2699"/>
      <c r="I32" s="2700"/>
      <c r="J32" s="2699"/>
      <c r="K32" s="2699"/>
      <c r="L32" s="2700"/>
      <c r="M32" s="2699"/>
      <c r="N32" s="2699"/>
      <c r="O32" s="2700"/>
      <c r="P32" s="2699"/>
      <c r="Q32" s="2699"/>
      <c r="R32" s="2701"/>
    </row>
    <row r="33" spans="2:18" s="905" customFormat="1">
      <c r="B33" s="2699"/>
      <c r="C33" s="2699"/>
      <c r="D33" s="2699"/>
      <c r="H33" s="2699"/>
      <c r="I33" s="2700"/>
      <c r="J33" s="2699"/>
      <c r="K33" s="2699"/>
      <c r="L33" s="2700"/>
      <c r="M33" s="2699"/>
      <c r="N33" s="2699"/>
      <c r="O33" s="2700"/>
      <c r="P33" s="2699"/>
      <c r="Q33" s="2699"/>
      <c r="R33" s="2701"/>
    </row>
    <row r="34" spans="2:18" s="905" customFormat="1">
      <c r="B34" s="2699"/>
      <c r="C34" s="2699"/>
      <c r="D34" s="2699"/>
      <c r="H34" s="2699"/>
      <c r="I34" s="2700"/>
      <c r="J34" s="2699"/>
      <c r="K34" s="2699"/>
      <c r="L34" s="2700"/>
      <c r="M34" s="2699"/>
      <c r="N34" s="2699"/>
      <c r="O34" s="2700"/>
      <c r="P34" s="2699"/>
      <c r="Q34" s="2699"/>
      <c r="R34" s="2701"/>
    </row>
    <row r="35" spans="2:18" s="905" customFormat="1">
      <c r="B35" s="2699"/>
      <c r="C35" s="2699"/>
      <c r="D35" s="2699"/>
      <c r="H35" s="2699"/>
      <c r="I35" s="2700"/>
      <c r="J35" s="2699"/>
      <c r="K35" s="2699"/>
      <c r="L35" s="2700"/>
      <c r="M35" s="2699"/>
      <c r="N35" s="2699"/>
      <c r="O35" s="2700"/>
      <c r="P35" s="2699"/>
      <c r="Q35" s="2699"/>
      <c r="R35" s="2701"/>
    </row>
    <row r="36" spans="2:18" s="905" customFormat="1">
      <c r="B36" s="2699"/>
      <c r="C36" s="2699"/>
      <c r="D36" s="2699"/>
      <c r="H36" s="2699"/>
      <c r="I36" s="2700"/>
      <c r="J36" s="2699"/>
      <c r="K36" s="2699"/>
      <c r="L36" s="2700"/>
      <c r="M36" s="2699"/>
      <c r="N36" s="2699"/>
      <c r="O36" s="2700"/>
      <c r="P36" s="2699"/>
      <c r="Q36" s="2699"/>
      <c r="R36" s="2701"/>
    </row>
    <row r="37" spans="2:18" s="905" customFormat="1">
      <c r="B37" s="2699"/>
      <c r="C37" s="2699"/>
      <c r="D37" s="2699"/>
      <c r="H37" s="2699"/>
      <c r="I37" s="2700"/>
      <c r="J37" s="2699"/>
      <c r="K37" s="2699"/>
      <c r="L37" s="2700"/>
      <c r="M37" s="2699"/>
      <c r="N37" s="2699"/>
      <c r="O37" s="2700"/>
      <c r="P37" s="2699"/>
      <c r="Q37" s="2699"/>
      <c r="R37" s="2701"/>
    </row>
    <row r="38" spans="2:18" s="905" customFormat="1">
      <c r="B38" s="2699"/>
      <c r="C38" s="2699"/>
      <c r="D38" s="2699"/>
      <c r="E38" s="2699"/>
      <c r="F38" s="2699"/>
      <c r="G38" s="2700"/>
      <c r="H38" s="2699"/>
      <c r="I38" s="2700"/>
      <c r="J38" s="2699"/>
      <c r="K38" s="2699"/>
      <c r="L38" s="2700"/>
      <c r="M38" s="2699"/>
      <c r="N38" s="2699"/>
      <c r="O38" s="2700"/>
      <c r="P38" s="2699"/>
      <c r="Q38" s="2699"/>
      <c r="R38" s="2701"/>
    </row>
    <row r="39" spans="2:18" s="905" customFormat="1">
      <c r="B39" s="2699"/>
      <c r="C39" s="2699"/>
      <c r="D39" s="2699"/>
      <c r="E39" s="2699"/>
      <c r="F39" s="2699"/>
      <c r="G39" s="2700"/>
      <c r="H39" s="2699"/>
      <c r="I39" s="2700"/>
      <c r="J39" s="2699"/>
      <c r="K39" s="2699"/>
      <c r="L39" s="2700"/>
      <c r="M39" s="2699"/>
      <c r="N39" s="2699"/>
      <c r="O39" s="2700"/>
      <c r="P39" s="2699"/>
      <c r="Q39" s="2699"/>
      <c r="R39" s="2701"/>
    </row>
    <row r="40" spans="2:18" s="905" customFormat="1">
      <c r="B40" s="2699"/>
      <c r="C40" s="2699"/>
      <c r="D40" s="2699"/>
      <c r="E40" s="2699"/>
      <c r="F40" s="2699"/>
      <c r="G40" s="2700"/>
      <c r="H40" s="2699"/>
      <c r="I40" s="2700"/>
      <c r="J40" s="2699"/>
      <c r="K40" s="2699"/>
      <c r="L40" s="2700"/>
      <c r="M40" s="2699"/>
      <c r="N40" s="2699"/>
      <c r="O40" s="2700"/>
      <c r="P40" s="2699"/>
      <c r="Q40" s="2699"/>
      <c r="R40" s="2701"/>
    </row>
    <row r="41" spans="2:18" s="905" customFormat="1">
      <c r="B41" s="2699"/>
      <c r="C41" s="2699"/>
      <c r="D41" s="2699"/>
      <c r="E41" s="2699"/>
      <c r="F41" s="2699"/>
      <c r="G41" s="2700"/>
      <c r="H41" s="2699"/>
      <c r="I41" s="2700"/>
      <c r="J41" s="2699"/>
      <c r="K41" s="2699"/>
      <c r="L41" s="2700"/>
      <c r="M41" s="2699"/>
      <c r="N41" s="2699"/>
      <c r="O41" s="2700"/>
      <c r="P41" s="2699"/>
      <c r="Q41" s="2699"/>
      <c r="R41" s="2701"/>
    </row>
    <row r="42" spans="2:18" s="905" customFormat="1">
      <c r="B42" s="2699"/>
      <c r="C42" s="2699"/>
      <c r="D42" s="2699"/>
      <c r="E42" s="2699"/>
      <c r="F42" s="2699"/>
      <c r="G42" s="2700"/>
      <c r="H42" s="2699"/>
      <c r="I42" s="2700"/>
      <c r="J42" s="2699"/>
      <c r="K42" s="2699"/>
      <c r="L42" s="2700"/>
      <c r="M42" s="2699"/>
      <c r="N42" s="2699"/>
      <c r="O42" s="2700"/>
      <c r="P42" s="2699"/>
      <c r="Q42" s="2699"/>
      <c r="R42" s="2701"/>
    </row>
    <row r="43" spans="2:18" s="905" customFormat="1">
      <c r="B43" s="2699"/>
      <c r="C43" s="2699"/>
      <c r="D43" s="2699"/>
      <c r="E43" s="2699"/>
      <c r="F43" s="2699"/>
      <c r="G43" s="2700"/>
      <c r="H43" s="2699"/>
      <c r="I43" s="2700"/>
      <c r="J43" s="2699"/>
      <c r="K43" s="2699"/>
      <c r="L43" s="2700"/>
      <c r="M43" s="2699"/>
      <c r="N43" s="2699"/>
      <c r="O43" s="2700"/>
      <c r="P43" s="2699"/>
      <c r="Q43" s="2699"/>
      <c r="R43" s="2701"/>
    </row>
    <row r="44" spans="2:18" s="905" customFormat="1">
      <c r="B44" s="2699"/>
      <c r="C44" s="2699"/>
      <c r="D44" s="2699"/>
      <c r="E44" s="2699"/>
      <c r="F44" s="2699"/>
      <c r="G44" s="2700"/>
      <c r="H44" s="2699"/>
      <c r="I44" s="2700"/>
      <c r="J44" s="2699"/>
      <c r="K44" s="2699"/>
      <c r="L44" s="2700"/>
      <c r="M44" s="2699"/>
      <c r="N44" s="2699"/>
      <c r="O44" s="2700"/>
      <c r="P44" s="2699"/>
      <c r="Q44" s="2699"/>
      <c r="R44" s="2701"/>
    </row>
    <row r="45" spans="2:18" s="905" customFormat="1">
      <c r="B45" s="2699"/>
      <c r="C45" s="2699"/>
      <c r="D45" s="2699"/>
      <c r="E45" s="2699"/>
      <c r="F45" s="2699"/>
      <c r="G45" s="2700"/>
      <c r="H45" s="2699"/>
      <c r="I45" s="2700"/>
      <c r="J45" s="2699"/>
      <c r="K45" s="2699"/>
      <c r="L45" s="2700"/>
      <c r="M45" s="2699"/>
      <c r="N45" s="2699"/>
      <c r="O45" s="2700"/>
      <c r="P45" s="2699"/>
      <c r="Q45" s="2699"/>
      <c r="R45" s="2701"/>
    </row>
    <row r="46" spans="2:18" s="905" customFormat="1">
      <c r="B46" s="2699"/>
      <c r="C46" s="2699"/>
      <c r="D46" s="2699"/>
      <c r="E46" s="2699"/>
      <c r="F46" s="2699"/>
      <c r="G46" s="2700"/>
      <c r="H46" s="2699"/>
      <c r="I46" s="2700"/>
      <c r="J46" s="2699"/>
      <c r="K46" s="2699"/>
      <c r="L46" s="2700"/>
      <c r="M46" s="2699"/>
      <c r="N46" s="2699"/>
      <c r="O46" s="2700"/>
      <c r="P46" s="2699"/>
      <c r="Q46" s="2699"/>
      <c r="R46" s="2701"/>
    </row>
    <row r="47" spans="2:18" s="905" customFormat="1">
      <c r="B47" s="2699"/>
      <c r="C47" s="2699"/>
      <c r="D47" s="2699"/>
      <c r="E47" s="2699"/>
      <c r="F47" s="2699"/>
      <c r="G47" s="2700"/>
      <c r="H47" s="2699"/>
      <c r="I47" s="2700"/>
      <c r="J47" s="2699"/>
      <c r="K47" s="2699"/>
      <c r="L47" s="2700"/>
      <c r="M47" s="2699"/>
      <c r="N47" s="2699"/>
      <c r="O47" s="2700"/>
      <c r="P47" s="2699"/>
      <c r="Q47" s="2699"/>
      <c r="R47" s="2701"/>
    </row>
    <row r="48" spans="2:18" s="905" customFormat="1">
      <c r="B48" s="2699"/>
      <c r="C48" s="2699"/>
      <c r="D48" s="2699"/>
      <c r="E48" s="2699"/>
      <c r="F48" s="2699"/>
      <c r="G48" s="2700"/>
      <c r="H48" s="2699"/>
      <c r="I48" s="2700"/>
      <c r="J48" s="2699"/>
      <c r="K48" s="2699"/>
      <c r="L48" s="2700"/>
      <c r="M48" s="2699"/>
      <c r="N48" s="2699"/>
      <c r="O48" s="2700"/>
      <c r="P48" s="2699"/>
      <c r="Q48" s="2699"/>
      <c r="R48" s="2701"/>
    </row>
    <row r="49" spans="2:18" s="905" customFormat="1">
      <c r="B49" s="2699"/>
      <c r="C49" s="2699"/>
      <c r="D49" s="2699"/>
      <c r="E49" s="2699"/>
      <c r="F49" s="2699"/>
      <c r="G49" s="2700"/>
      <c r="H49" s="2699"/>
      <c r="I49" s="2700"/>
      <c r="J49" s="2699"/>
      <c r="K49" s="2699"/>
      <c r="L49" s="2700"/>
      <c r="M49" s="2699"/>
      <c r="N49" s="2699"/>
      <c r="O49" s="2700"/>
      <c r="P49" s="2699"/>
      <c r="Q49" s="2699"/>
      <c r="R49" s="2701"/>
    </row>
    <row r="50" spans="2:18" s="905" customFormat="1">
      <c r="B50" s="2699"/>
      <c r="C50" s="2699"/>
      <c r="D50" s="2699"/>
      <c r="E50" s="2699"/>
      <c r="F50" s="2699"/>
      <c r="G50" s="2700"/>
      <c r="H50" s="2699"/>
      <c r="I50" s="2700"/>
      <c r="J50" s="2699"/>
      <c r="K50" s="2699"/>
      <c r="L50" s="2700"/>
      <c r="M50" s="2699"/>
      <c r="N50" s="2699"/>
      <c r="O50" s="2700"/>
      <c r="P50" s="2699"/>
      <c r="Q50" s="2699"/>
      <c r="R50" s="2701"/>
    </row>
    <row r="51" spans="2:18" s="905" customFormat="1">
      <c r="B51" s="2699"/>
      <c r="C51" s="2699"/>
      <c r="D51" s="2699"/>
      <c r="E51" s="2699"/>
      <c r="F51" s="2699"/>
      <c r="G51" s="2700"/>
      <c r="H51" s="2699"/>
      <c r="I51" s="2700"/>
      <c r="J51" s="2699"/>
      <c r="K51" s="2699"/>
      <c r="L51" s="2700"/>
      <c r="M51" s="2699"/>
      <c r="N51" s="2699"/>
      <c r="O51" s="2700"/>
      <c r="P51" s="2699"/>
      <c r="Q51" s="2699"/>
      <c r="R51" s="2701"/>
    </row>
    <row r="52" spans="2:18" s="905" customFormat="1">
      <c r="B52" s="2699"/>
      <c r="C52" s="2699"/>
      <c r="D52" s="2699"/>
      <c r="E52" s="2699"/>
      <c r="F52" s="2699"/>
      <c r="G52" s="2700"/>
      <c r="H52" s="2699"/>
      <c r="I52" s="2700"/>
      <c r="J52" s="2699"/>
      <c r="K52" s="2699"/>
      <c r="L52" s="2700"/>
      <c r="M52" s="2699"/>
      <c r="N52" s="2699"/>
      <c r="O52" s="2700"/>
      <c r="P52" s="2699"/>
      <c r="Q52" s="2699"/>
      <c r="R52" s="2701"/>
    </row>
    <row r="53" spans="2:18" s="905" customFormat="1">
      <c r="B53" s="2699"/>
      <c r="C53" s="2699"/>
      <c r="D53" s="2699"/>
      <c r="E53" s="2699"/>
      <c r="F53" s="2699"/>
      <c r="G53" s="2700"/>
      <c r="H53" s="2699"/>
      <c r="I53" s="2700"/>
      <c r="J53" s="2699"/>
      <c r="K53" s="2699"/>
      <c r="L53" s="2700"/>
      <c r="M53" s="2699"/>
      <c r="N53" s="2699"/>
      <c r="O53" s="2700"/>
      <c r="P53" s="2699"/>
      <c r="Q53" s="2699"/>
      <c r="R53" s="2701"/>
    </row>
    <row r="54" spans="2:18" s="905" customFormat="1">
      <c r="B54" s="2699"/>
      <c r="C54" s="2699"/>
      <c r="D54" s="2699"/>
      <c r="E54" s="2699"/>
      <c r="F54" s="2699"/>
      <c r="G54" s="2700"/>
      <c r="H54" s="2699"/>
      <c r="I54" s="2700"/>
      <c r="J54" s="2699"/>
      <c r="K54" s="2699"/>
      <c r="L54" s="2700"/>
      <c r="M54" s="2699"/>
      <c r="N54" s="2699"/>
      <c r="O54" s="2700"/>
      <c r="P54" s="2699"/>
      <c r="Q54" s="2699"/>
      <c r="R54" s="2701"/>
    </row>
    <row r="55" spans="2:18" s="905" customFormat="1">
      <c r="B55" s="2699"/>
      <c r="C55" s="2699"/>
      <c r="D55" s="2699"/>
      <c r="E55" s="2699"/>
      <c r="F55" s="2699"/>
      <c r="G55" s="2700"/>
      <c r="H55" s="2699"/>
      <c r="I55" s="2700"/>
      <c r="J55" s="2699"/>
      <c r="K55" s="2699"/>
      <c r="L55" s="2700"/>
      <c r="M55" s="2699"/>
      <c r="N55" s="2699"/>
      <c r="O55" s="2700"/>
      <c r="P55" s="2699"/>
      <c r="Q55" s="2699"/>
      <c r="R55" s="2701"/>
    </row>
    <row r="56" spans="2:18" s="905" customFormat="1">
      <c r="B56" s="2699"/>
      <c r="C56" s="2699"/>
      <c r="D56" s="2699"/>
      <c r="E56" s="2699"/>
      <c r="F56" s="2699"/>
      <c r="G56" s="2700"/>
      <c r="H56" s="2699"/>
      <c r="I56" s="2700"/>
      <c r="J56" s="2699"/>
      <c r="K56" s="2699"/>
      <c r="L56" s="2700"/>
      <c r="M56" s="2699"/>
      <c r="N56" s="2699"/>
      <c r="O56" s="2700"/>
      <c r="P56" s="2699"/>
      <c r="Q56" s="2699"/>
      <c r="R56" s="2701"/>
    </row>
    <row r="57" spans="2:18" s="905" customFormat="1">
      <c r="B57" s="2699"/>
      <c r="C57" s="2699"/>
      <c r="D57" s="2699"/>
      <c r="E57" s="2699"/>
      <c r="F57" s="2699"/>
      <c r="G57" s="2700"/>
      <c r="H57" s="2699"/>
      <c r="I57" s="2700"/>
      <c r="J57" s="2699"/>
      <c r="K57" s="2699"/>
      <c r="L57" s="2700"/>
      <c r="M57" s="2699"/>
      <c r="N57" s="2699"/>
      <c r="O57" s="2700"/>
      <c r="P57" s="2699"/>
      <c r="Q57" s="2699"/>
      <c r="R57" s="2701"/>
    </row>
    <row r="58" spans="2:18" s="905" customFormat="1">
      <c r="B58" s="2699"/>
      <c r="C58" s="2699"/>
      <c r="D58" s="2699"/>
      <c r="E58" s="2699"/>
      <c r="F58" s="2699"/>
      <c r="G58" s="2700"/>
      <c r="H58" s="2699"/>
      <c r="I58" s="2700"/>
      <c r="J58" s="2699"/>
      <c r="K58" s="2699"/>
      <c r="L58" s="2700"/>
      <c r="M58" s="2699"/>
      <c r="N58" s="2699"/>
      <c r="O58" s="2700"/>
      <c r="P58" s="2699"/>
      <c r="Q58" s="2699"/>
      <c r="R58" s="2701"/>
    </row>
    <row r="59" spans="2:18" s="905" customFormat="1">
      <c r="B59" s="2699"/>
      <c r="C59" s="2699"/>
      <c r="D59" s="2699"/>
      <c r="E59" s="2699"/>
      <c r="F59" s="2699"/>
      <c r="G59" s="2700"/>
      <c r="H59" s="2699"/>
      <c r="I59" s="2700"/>
      <c r="J59" s="2699"/>
      <c r="K59" s="2699"/>
      <c r="L59" s="2700"/>
      <c r="M59" s="2699"/>
      <c r="N59" s="2699"/>
      <c r="O59" s="2700"/>
      <c r="P59" s="2699"/>
      <c r="Q59" s="2699"/>
      <c r="R59" s="2701"/>
    </row>
    <row r="60" spans="2:18" s="905" customFormat="1">
      <c r="B60" s="2699"/>
      <c r="C60" s="2699"/>
      <c r="D60" s="2699"/>
      <c r="E60" s="2699"/>
      <c r="F60" s="2699"/>
      <c r="G60" s="2700"/>
      <c r="H60" s="2699"/>
      <c r="I60" s="2700"/>
      <c r="J60" s="2699"/>
      <c r="K60" s="2699"/>
      <c r="L60" s="2700"/>
      <c r="M60" s="2699"/>
      <c r="N60" s="2699"/>
      <c r="O60" s="2700"/>
      <c r="P60" s="2699"/>
      <c r="Q60" s="2699"/>
      <c r="R60" s="2701"/>
    </row>
    <row r="61" spans="2:18" s="905" customFormat="1">
      <c r="B61" s="2699"/>
      <c r="C61" s="2699"/>
      <c r="D61" s="2699"/>
      <c r="E61" s="2699"/>
      <c r="F61" s="2699"/>
      <c r="G61" s="2700"/>
      <c r="H61" s="2699"/>
      <c r="I61" s="2700"/>
      <c r="J61" s="2699"/>
      <c r="K61" s="2699"/>
      <c r="L61" s="2700"/>
      <c r="M61" s="2699"/>
      <c r="N61" s="2699"/>
      <c r="O61" s="2700"/>
      <c r="P61" s="2699"/>
      <c r="Q61" s="2699"/>
      <c r="R61" s="2701"/>
    </row>
    <row r="62" spans="2:18" s="905" customFormat="1">
      <c r="B62" s="2699"/>
      <c r="C62" s="2699"/>
      <c r="D62" s="2699"/>
      <c r="E62" s="2699"/>
      <c r="F62" s="2699"/>
      <c r="G62" s="2700"/>
      <c r="H62" s="2699"/>
      <c r="I62" s="2700"/>
      <c r="J62" s="2699"/>
      <c r="K62" s="2699"/>
      <c r="L62" s="2700"/>
      <c r="M62" s="2699"/>
      <c r="N62" s="2699"/>
      <c r="O62" s="2700"/>
      <c r="P62" s="2699"/>
      <c r="Q62" s="2699"/>
      <c r="R62" s="2701"/>
    </row>
    <row r="63" spans="2:18" s="905" customFormat="1">
      <c r="B63" s="2699"/>
      <c r="C63" s="2699"/>
      <c r="D63" s="2699"/>
      <c r="E63" s="2699"/>
      <c r="F63" s="2699"/>
      <c r="G63" s="2700"/>
      <c r="H63" s="2699"/>
      <c r="I63" s="2700"/>
      <c r="J63" s="2699"/>
      <c r="K63" s="2699"/>
      <c r="L63" s="2700"/>
      <c r="M63" s="2699"/>
      <c r="N63" s="2699"/>
      <c r="O63" s="2700"/>
      <c r="P63" s="2699"/>
      <c r="Q63" s="2699"/>
      <c r="R63" s="2701"/>
    </row>
    <row r="64" spans="2:18" s="905" customFormat="1">
      <c r="B64" s="2699"/>
      <c r="C64" s="2699"/>
      <c r="D64" s="2699"/>
      <c r="E64" s="2699"/>
      <c r="F64" s="2699"/>
      <c r="G64" s="2700"/>
      <c r="H64" s="2699"/>
      <c r="I64" s="2700"/>
      <c r="J64" s="2699"/>
      <c r="K64" s="2699"/>
      <c r="L64" s="2700"/>
      <c r="M64" s="2699"/>
      <c r="N64" s="2699"/>
      <c r="O64" s="2700"/>
      <c r="P64" s="2699"/>
      <c r="Q64" s="2699"/>
      <c r="R64" s="2701"/>
    </row>
    <row r="65" spans="2:18" s="905" customFormat="1">
      <c r="B65" s="2699"/>
      <c r="C65" s="2699"/>
      <c r="D65" s="2699"/>
      <c r="E65" s="2699"/>
      <c r="F65" s="2699"/>
      <c r="G65" s="2700"/>
      <c r="H65" s="2699"/>
      <c r="I65" s="2700"/>
      <c r="J65" s="2699"/>
      <c r="K65" s="2699"/>
      <c r="L65" s="2700"/>
      <c r="M65" s="2699"/>
      <c r="N65" s="2699"/>
      <c r="O65" s="2700"/>
      <c r="P65" s="2699"/>
      <c r="Q65" s="2699"/>
      <c r="R65" s="2701"/>
    </row>
    <row r="66" spans="2:18" s="905" customFormat="1">
      <c r="B66" s="2699"/>
      <c r="C66" s="2699"/>
      <c r="D66" s="2699"/>
      <c r="E66" s="2699"/>
      <c r="F66" s="2699"/>
      <c r="G66" s="2700"/>
      <c r="H66" s="2699"/>
      <c r="I66" s="2700"/>
      <c r="J66" s="2699"/>
      <c r="K66" s="2699"/>
      <c r="L66" s="2700"/>
      <c r="M66" s="2699"/>
      <c r="N66" s="2699"/>
      <c r="O66" s="2700"/>
      <c r="P66" s="2699"/>
      <c r="Q66" s="2699"/>
      <c r="R66" s="2701"/>
    </row>
    <row r="67" spans="2:18" s="905" customFormat="1">
      <c r="B67" s="2699"/>
      <c r="C67" s="2699"/>
      <c r="D67" s="2699"/>
      <c r="E67" s="2699"/>
      <c r="F67" s="2699"/>
      <c r="G67" s="2700"/>
      <c r="H67" s="2699"/>
      <c r="I67" s="2700"/>
      <c r="J67" s="2699"/>
      <c r="K67" s="2699"/>
      <c r="L67" s="2700"/>
      <c r="M67" s="2699"/>
      <c r="N67" s="2699"/>
      <c r="O67" s="2700"/>
      <c r="P67" s="2699"/>
      <c r="Q67" s="2699"/>
      <c r="R67" s="2701"/>
    </row>
    <row r="68" spans="2:18" s="905" customFormat="1">
      <c r="B68" s="2699"/>
      <c r="C68" s="2699"/>
      <c r="D68" s="2699"/>
      <c r="E68" s="2699"/>
      <c r="F68" s="2699"/>
      <c r="G68" s="2700"/>
      <c r="H68" s="2699"/>
      <c r="I68" s="2700"/>
      <c r="J68" s="2699"/>
      <c r="K68" s="2699"/>
      <c r="L68" s="2700"/>
      <c r="M68" s="2699"/>
      <c r="N68" s="2699"/>
      <c r="O68" s="2700"/>
      <c r="P68" s="2699"/>
      <c r="Q68" s="2699"/>
      <c r="R68" s="2701"/>
    </row>
    <row r="69" spans="2:18" s="905" customFormat="1">
      <c r="B69" s="2699"/>
      <c r="C69" s="2699"/>
      <c r="D69" s="2699"/>
      <c r="E69" s="2699"/>
      <c r="F69" s="2699"/>
      <c r="G69" s="2700"/>
      <c r="H69" s="2699"/>
      <c r="I69" s="2700"/>
      <c r="J69" s="2699"/>
      <c r="K69" s="2699"/>
      <c r="L69" s="2700"/>
      <c r="M69" s="2699"/>
      <c r="N69" s="2699"/>
      <c r="O69" s="2700"/>
      <c r="P69" s="2699"/>
      <c r="Q69" s="2699"/>
      <c r="R69" s="2701"/>
    </row>
    <row r="70" spans="2:18" s="905" customFormat="1">
      <c r="B70" s="2699"/>
      <c r="C70" s="2699"/>
      <c r="D70" s="2699"/>
      <c r="E70" s="2699"/>
      <c r="F70" s="2699"/>
      <c r="G70" s="2700"/>
      <c r="H70" s="2699"/>
      <c r="I70" s="2700"/>
      <c r="J70" s="2699"/>
      <c r="K70" s="2699"/>
      <c r="L70" s="2700"/>
      <c r="M70" s="2699"/>
      <c r="N70" s="2699"/>
      <c r="O70" s="2700"/>
      <c r="P70" s="2699"/>
      <c r="Q70" s="2699"/>
      <c r="R70" s="2701"/>
    </row>
    <row r="71" spans="2:18" s="905" customFormat="1">
      <c r="B71" s="2699"/>
      <c r="C71" s="2699"/>
      <c r="D71" s="2699"/>
      <c r="E71" s="2699"/>
      <c r="F71" s="2699"/>
      <c r="G71" s="2700"/>
      <c r="H71" s="2699"/>
      <c r="I71" s="2700"/>
      <c r="J71" s="2699"/>
      <c r="K71" s="2699"/>
      <c r="L71" s="2700"/>
      <c r="M71" s="2699"/>
      <c r="N71" s="2699"/>
      <c r="O71" s="2700"/>
      <c r="P71" s="2699"/>
      <c r="Q71" s="2699"/>
      <c r="R71" s="2701"/>
    </row>
    <row r="72" spans="2:18" s="905" customFormat="1">
      <c r="B72" s="2699"/>
      <c r="C72" s="2699"/>
      <c r="D72" s="2699"/>
      <c r="E72" s="2699"/>
      <c r="F72" s="2699"/>
      <c r="G72" s="2700"/>
      <c r="H72" s="2699"/>
      <c r="I72" s="2700"/>
      <c r="J72" s="2699"/>
      <c r="K72" s="2699"/>
      <c r="L72" s="2700"/>
      <c r="M72" s="2699"/>
      <c r="N72" s="2699"/>
      <c r="O72" s="2700"/>
      <c r="P72" s="2699"/>
      <c r="Q72" s="2699"/>
      <c r="R72" s="2701"/>
    </row>
    <row r="73" spans="2:18" s="905" customFormat="1">
      <c r="B73" s="2699"/>
      <c r="C73" s="2699"/>
      <c r="D73" s="2699"/>
      <c r="E73" s="2699"/>
      <c r="F73" s="2699"/>
      <c r="G73" s="2700"/>
      <c r="H73" s="2699"/>
      <c r="I73" s="2700"/>
      <c r="J73" s="2699"/>
      <c r="K73" s="2699"/>
      <c r="L73" s="2700"/>
      <c r="M73" s="2699"/>
      <c r="N73" s="2699"/>
      <c r="O73" s="2700"/>
      <c r="P73" s="2699"/>
      <c r="Q73" s="2699"/>
      <c r="R73" s="2701"/>
    </row>
    <row r="74" spans="2:18" s="905" customFormat="1">
      <c r="B74" s="2699"/>
      <c r="C74" s="2699"/>
      <c r="D74" s="2699"/>
      <c r="E74" s="2699"/>
      <c r="F74" s="2699"/>
      <c r="G74" s="2700"/>
      <c r="H74" s="2699"/>
      <c r="I74" s="2700"/>
      <c r="J74" s="2699"/>
      <c r="K74" s="2699"/>
      <c r="L74" s="2700"/>
      <c r="M74" s="2699"/>
      <c r="N74" s="2699"/>
      <c r="O74" s="2700"/>
      <c r="P74" s="2699"/>
      <c r="Q74" s="2699"/>
      <c r="R74" s="2701"/>
    </row>
    <row r="75" spans="2:18" s="905" customFormat="1">
      <c r="B75" s="2699"/>
      <c r="C75" s="2699"/>
      <c r="D75" s="2699"/>
      <c r="E75" s="2699"/>
      <c r="F75" s="2699"/>
      <c r="G75" s="2700"/>
      <c r="H75" s="2699"/>
      <c r="I75" s="2700"/>
      <c r="J75" s="2699"/>
      <c r="K75" s="2699"/>
      <c r="L75" s="2700"/>
      <c r="M75" s="2699"/>
      <c r="N75" s="2699"/>
      <c r="O75" s="2700"/>
      <c r="P75" s="2699"/>
      <c r="Q75" s="2699"/>
      <c r="R75" s="2701"/>
    </row>
    <row r="76" spans="2:18" s="905" customFormat="1">
      <c r="B76" s="2699"/>
      <c r="C76" s="2699"/>
      <c r="D76" s="2699"/>
      <c r="E76" s="2699"/>
      <c r="F76" s="2699"/>
      <c r="G76" s="2700"/>
      <c r="H76" s="2699"/>
      <c r="I76" s="2700"/>
      <c r="J76" s="2699"/>
      <c r="K76" s="2699"/>
      <c r="L76" s="2700"/>
      <c r="M76" s="2699"/>
      <c r="N76" s="2699"/>
      <c r="O76" s="2700"/>
      <c r="P76" s="2699"/>
      <c r="Q76" s="2699"/>
      <c r="R76" s="2701"/>
    </row>
    <row r="77" spans="2:18" s="905" customFormat="1">
      <c r="B77" s="2699"/>
      <c r="C77" s="2699"/>
      <c r="D77" s="2699"/>
      <c r="E77" s="2699"/>
      <c r="F77" s="2699"/>
      <c r="G77" s="2700"/>
      <c r="H77" s="2699"/>
      <c r="I77" s="2700"/>
      <c r="J77" s="2699"/>
      <c r="K77" s="2699"/>
      <c r="L77" s="2700"/>
      <c r="M77" s="2699"/>
      <c r="N77" s="2699"/>
      <c r="O77" s="2700"/>
      <c r="P77" s="2699"/>
      <c r="Q77" s="2699"/>
      <c r="R77" s="2701"/>
    </row>
    <row r="78" spans="2:18" s="905" customFormat="1">
      <c r="B78" s="2699"/>
      <c r="C78" s="2699"/>
      <c r="D78" s="2699"/>
      <c r="E78" s="2699"/>
      <c r="F78" s="2699"/>
      <c r="G78" s="2700"/>
      <c r="H78" s="2699"/>
      <c r="I78" s="2700"/>
      <c r="J78" s="2699"/>
      <c r="K78" s="2699"/>
      <c r="L78" s="2700"/>
      <c r="M78" s="2699"/>
      <c r="N78" s="2699"/>
      <c r="O78" s="2700"/>
      <c r="P78" s="2699"/>
      <c r="Q78" s="2699"/>
      <c r="R78" s="2701"/>
    </row>
    <row r="79" spans="2:18" s="905" customFormat="1">
      <c r="B79" s="2699"/>
      <c r="C79" s="2699"/>
      <c r="D79" s="2699"/>
      <c r="E79" s="2699"/>
      <c r="F79" s="2699"/>
      <c r="G79" s="2700"/>
      <c r="H79" s="2699"/>
      <c r="I79" s="2700"/>
      <c r="J79" s="2699"/>
      <c r="K79" s="2699"/>
      <c r="L79" s="2700"/>
      <c r="M79" s="2699"/>
      <c r="N79" s="2699"/>
      <c r="O79" s="2700"/>
      <c r="P79" s="2699"/>
      <c r="Q79" s="2699"/>
      <c r="R79" s="2701"/>
    </row>
    <row r="80" spans="2:18" s="905" customFormat="1">
      <c r="B80" s="2699"/>
      <c r="C80" s="2699"/>
      <c r="D80" s="2699"/>
      <c r="E80" s="2699"/>
      <c r="F80" s="2699"/>
      <c r="G80" s="2700"/>
      <c r="H80" s="2699"/>
      <c r="I80" s="2700"/>
      <c r="J80" s="2699"/>
      <c r="K80" s="2699"/>
      <c r="L80" s="2700"/>
      <c r="M80" s="2699"/>
      <c r="N80" s="2699"/>
      <c r="O80" s="2700"/>
      <c r="P80" s="2699"/>
      <c r="Q80" s="2699"/>
      <c r="R80" s="2701"/>
    </row>
    <row r="81" spans="2:18" s="905" customFormat="1">
      <c r="B81" s="2699"/>
      <c r="C81" s="2699"/>
      <c r="D81" s="2699"/>
      <c r="E81" s="2699"/>
      <c r="F81" s="2699"/>
      <c r="G81" s="2700"/>
      <c r="H81" s="2699"/>
      <c r="I81" s="2700"/>
      <c r="J81" s="2699"/>
      <c r="K81" s="2699"/>
      <c r="L81" s="2700"/>
      <c r="M81" s="2699"/>
      <c r="N81" s="2699"/>
      <c r="O81" s="2700"/>
      <c r="P81" s="2699"/>
      <c r="Q81" s="2699"/>
      <c r="R81" s="2701"/>
    </row>
    <row r="82" spans="2:18" s="905" customFormat="1">
      <c r="B82" s="2699"/>
      <c r="C82" s="2699"/>
      <c r="D82" s="2699"/>
      <c r="E82" s="2699"/>
      <c r="F82" s="2699"/>
      <c r="G82" s="2700"/>
      <c r="H82" s="2699"/>
      <c r="I82" s="2700"/>
      <c r="J82" s="2699"/>
      <c r="K82" s="2699"/>
      <c r="L82" s="2700"/>
      <c r="M82" s="2699"/>
      <c r="N82" s="2699"/>
      <c r="O82" s="2700"/>
      <c r="P82" s="2699"/>
      <c r="Q82" s="2699"/>
      <c r="R82" s="2701"/>
    </row>
    <row r="83" spans="2:18" s="905" customFormat="1">
      <c r="B83" s="2699"/>
      <c r="C83" s="2699"/>
      <c r="D83" s="2699"/>
      <c r="E83" s="2699"/>
      <c r="F83" s="2699"/>
      <c r="G83" s="2700"/>
      <c r="H83" s="2699"/>
      <c r="I83" s="2700"/>
      <c r="J83" s="2699"/>
      <c r="K83" s="2699"/>
      <c r="L83" s="2700"/>
      <c r="M83" s="2699"/>
      <c r="N83" s="2699"/>
      <c r="O83" s="2700"/>
      <c r="P83" s="2699"/>
      <c r="Q83" s="2699"/>
      <c r="R83" s="2701"/>
    </row>
    <row r="84" spans="2:18" s="905" customFormat="1">
      <c r="B84" s="2699"/>
      <c r="C84" s="2699"/>
      <c r="D84" s="2699"/>
      <c r="E84" s="2699"/>
      <c r="F84" s="2699"/>
      <c r="G84" s="2700"/>
      <c r="H84" s="2699"/>
      <c r="I84" s="2700"/>
      <c r="J84" s="2699"/>
      <c r="K84" s="2699"/>
      <c r="L84" s="2700"/>
      <c r="M84" s="2699"/>
      <c r="N84" s="2699"/>
      <c r="O84" s="2700"/>
      <c r="P84" s="2699"/>
      <c r="Q84" s="2699"/>
      <c r="R84" s="2701"/>
    </row>
    <row r="85" spans="2:18" s="905" customFormat="1">
      <c r="B85" s="2699"/>
      <c r="C85" s="2699"/>
      <c r="D85" s="2699"/>
      <c r="E85" s="2699"/>
      <c r="F85" s="2699"/>
      <c r="G85" s="2700"/>
      <c r="H85" s="2699"/>
      <c r="I85" s="2700"/>
      <c r="J85" s="2699"/>
      <c r="K85" s="2699"/>
      <c r="L85" s="2700"/>
      <c r="M85" s="2699"/>
      <c r="N85" s="2699"/>
      <c r="O85" s="2700"/>
      <c r="P85" s="2699"/>
      <c r="Q85" s="2699"/>
      <c r="R85" s="2701"/>
    </row>
    <row r="86" spans="2:18" s="905" customFormat="1">
      <c r="B86" s="2699"/>
      <c r="C86" s="2699"/>
      <c r="D86" s="2699"/>
      <c r="E86" s="2699"/>
      <c r="F86" s="2699"/>
      <c r="G86" s="2700"/>
      <c r="H86" s="2699"/>
      <c r="I86" s="2700"/>
      <c r="J86" s="2699"/>
      <c r="K86" s="2699"/>
      <c r="L86" s="2700"/>
      <c r="M86" s="2699"/>
      <c r="N86" s="2699"/>
      <c r="O86" s="2700"/>
      <c r="P86" s="2699"/>
      <c r="Q86" s="2699"/>
      <c r="R86" s="2701"/>
    </row>
    <row r="87" spans="2:18" s="905" customFormat="1">
      <c r="B87" s="2699"/>
      <c r="C87" s="2699"/>
      <c r="D87" s="2699"/>
      <c r="E87" s="2699"/>
      <c r="F87" s="2699"/>
      <c r="G87" s="2700"/>
      <c r="H87" s="2699"/>
      <c r="I87" s="2700"/>
      <c r="J87" s="2699"/>
      <c r="K87" s="2699"/>
      <c r="L87" s="2700"/>
      <c r="M87" s="2699"/>
      <c r="N87" s="2699"/>
      <c r="O87" s="2700"/>
      <c r="P87" s="2699"/>
      <c r="Q87" s="2699"/>
      <c r="R87" s="2701"/>
    </row>
    <row r="88" spans="2:18" s="905" customFormat="1">
      <c r="B88" s="2699"/>
      <c r="C88" s="2699"/>
      <c r="D88" s="2699"/>
      <c r="E88" s="2699"/>
      <c r="F88" s="2699"/>
      <c r="G88" s="2700"/>
      <c r="H88" s="2699"/>
      <c r="I88" s="2700"/>
      <c r="J88" s="2699"/>
      <c r="K88" s="2699"/>
      <c r="L88" s="2700"/>
      <c r="M88" s="2699"/>
      <c r="N88" s="2699"/>
      <c r="O88" s="2700"/>
      <c r="P88" s="2699"/>
      <c r="Q88" s="2699"/>
      <c r="R88" s="2701"/>
    </row>
    <row r="89" spans="2:18" s="905" customFormat="1">
      <c r="B89" s="2699"/>
      <c r="C89" s="2699"/>
      <c r="D89" s="2699"/>
      <c r="E89" s="2699"/>
      <c r="F89" s="2699"/>
      <c r="G89" s="2700"/>
      <c r="H89" s="2699"/>
      <c r="I89" s="2700"/>
      <c r="J89" s="2699"/>
      <c r="K89" s="2699"/>
      <c r="L89" s="2700"/>
      <c r="M89" s="2699"/>
      <c r="N89" s="2699"/>
      <c r="O89" s="2700"/>
      <c r="P89" s="2699"/>
      <c r="Q89" s="2699"/>
      <c r="R89" s="2701"/>
    </row>
    <row r="90" spans="2:18" s="905" customFormat="1">
      <c r="B90" s="2699"/>
      <c r="C90" s="2699"/>
      <c r="D90" s="2699"/>
      <c r="E90" s="2699"/>
      <c r="F90" s="2699"/>
      <c r="G90" s="2700"/>
      <c r="H90" s="2699"/>
      <c r="I90" s="2700"/>
      <c r="J90" s="2699"/>
      <c r="K90" s="2699"/>
      <c r="L90" s="2700"/>
      <c r="M90" s="2699"/>
      <c r="N90" s="2699"/>
      <c r="O90" s="2700"/>
      <c r="P90" s="2699"/>
      <c r="Q90" s="2699"/>
      <c r="R90" s="2701"/>
    </row>
    <row r="91" spans="2:18" s="905" customFormat="1">
      <c r="B91" s="2699"/>
      <c r="C91" s="2699"/>
      <c r="D91" s="2699"/>
      <c r="E91" s="2699"/>
      <c r="F91" s="2699"/>
      <c r="G91" s="2700"/>
      <c r="H91" s="2699"/>
      <c r="I91" s="2700"/>
      <c r="J91" s="2699"/>
      <c r="K91" s="2699"/>
      <c r="L91" s="2700"/>
      <c r="M91" s="2699"/>
      <c r="N91" s="2699"/>
      <c r="O91" s="2700"/>
      <c r="P91" s="2699"/>
      <c r="Q91" s="2699"/>
      <c r="R91" s="2701"/>
    </row>
    <row r="92" spans="2:18" s="905" customFormat="1">
      <c r="B92" s="2699"/>
      <c r="C92" s="2699"/>
      <c r="D92" s="2699"/>
      <c r="E92" s="2699"/>
      <c r="F92" s="2699"/>
      <c r="G92" s="2700"/>
      <c r="H92" s="2699"/>
      <c r="I92" s="2700"/>
      <c r="J92" s="2699"/>
      <c r="K92" s="2699"/>
      <c r="L92" s="2700"/>
      <c r="M92" s="2699"/>
      <c r="N92" s="2699"/>
      <c r="O92" s="2700"/>
      <c r="P92" s="2699"/>
      <c r="Q92" s="2699"/>
      <c r="R92" s="2701"/>
    </row>
    <row r="93" spans="2:18" s="905" customFormat="1">
      <c r="B93" s="2699"/>
      <c r="C93" s="2699"/>
      <c r="D93" s="2699"/>
      <c r="E93" s="2699"/>
      <c r="F93" s="2699"/>
      <c r="G93" s="2700"/>
      <c r="H93" s="2699"/>
      <c r="I93" s="2700"/>
      <c r="J93" s="2699"/>
      <c r="K93" s="2699"/>
      <c r="L93" s="2700"/>
      <c r="M93" s="2699"/>
      <c r="N93" s="2699"/>
      <c r="O93" s="2700"/>
      <c r="P93" s="2699"/>
      <c r="Q93" s="2699"/>
      <c r="R93" s="2701"/>
    </row>
    <row r="94" spans="2:18" s="905" customFormat="1">
      <c r="B94" s="2699"/>
      <c r="C94" s="2699"/>
      <c r="D94" s="2699"/>
      <c r="E94" s="2699"/>
      <c r="F94" s="2699"/>
      <c r="G94" s="2700"/>
      <c r="H94" s="2699"/>
      <c r="I94" s="2700"/>
      <c r="J94" s="2699"/>
      <c r="K94" s="2699"/>
      <c r="L94" s="2700"/>
      <c r="M94" s="2699"/>
      <c r="N94" s="2699"/>
      <c r="O94" s="2700"/>
      <c r="P94" s="2699"/>
      <c r="Q94" s="2699"/>
      <c r="R94" s="2701"/>
    </row>
    <row r="95" spans="2:18" s="905" customFormat="1">
      <c r="B95" s="2699"/>
      <c r="C95" s="2699"/>
      <c r="D95" s="2699"/>
      <c r="E95" s="2699"/>
      <c r="F95" s="2699"/>
      <c r="G95" s="2700"/>
      <c r="H95" s="2699"/>
      <c r="I95" s="2700"/>
      <c r="J95" s="2699"/>
      <c r="K95" s="2699"/>
      <c r="L95" s="2700"/>
      <c r="M95" s="2699"/>
      <c r="N95" s="2699"/>
      <c r="O95" s="2700"/>
      <c r="P95" s="2699"/>
      <c r="Q95" s="2699"/>
      <c r="R95" s="2701"/>
    </row>
    <row r="96" spans="2:18" s="905" customFormat="1">
      <c r="B96" s="2699"/>
      <c r="C96" s="2699"/>
      <c r="D96" s="2699"/>
      <c r="E96" s="2699"/>
      <c r="F96" s="2699"/>
      <c r="G96" s="2700"/>
      <c r="H96" s="2699"/>
      <c r="I96" s="2700"/>
      <c r="J96" s="2699"/>
      <c r="K96" s="2699"/>
      <c r="L96" s="2700"/>
      <c r="M96" s="2699"/>
      <c r="N96" s="2699"/>
      <c r="O96" s="2700"/>
      <c r="P96" s="2699"/>
      <c r="Q96" s="2699"/>
      <c r="R96" s="2701"/>
    </row>
    <row r="97" spans="2:18" s="905" customFormat="1">
      <c r="B97" s="2699"/>
      <c r="C97" s="2699"/>
      <c r="D97" s="2699"/>
      <c r="E97" s="2699"/>
      <c r="F97" s="2699"/>
      <c r="G97" s="2700"/>
      <c r="H97" s="2699"/>
      <c r="I97" s="2700"/>
      <c r="J97" s="2699"/>
      <c r="K97" s="2699"/>
      <c r="L97" s="2700"/>
      <c r="M97" s="2699"/>
      <c r="N97" s="2699"/>
      <c r="O97" s="2700"/>
      <c r="P97" s="2699"/>
      <c r="Q97" s="2699"/>
      <c r="R97" s="2701"/>
    </row>
    <row r="98" spans="2:18" s="905" customFormat="1">
      <c r="B98" s="2699"/>
      <c r="C98" s="2699"/>
      <c r="D98" s="2699"/>
      <c r="E98" s="2699"/>
      <c r="F98" s="2699"/>
      <c r="G98" s="2700"/>
      <c r="H98" s="2699"/>
      <c r="I98" s="2700"/>
      <c r="J98" s="2699"/>
      <c r="K98" s="2699"/>
      <c r="L98" s="2700"/>
      <c r="M98" s="2699"/>
      <c r="N98" s="2699"/>
      <c r="O98" s="2700"/>
      <c r="P98" s="2699"/>
      <c r="Q98" s="2699"/>
      <c r="R98" s="2701"/>
    </row>
    <row r="99" spans="2:18" s="905" customFormat="1">
      <c r="B99" s="2699"/>
      <c r="C99" s="2699"/>
      <c r="D99" s="2699"/>
      <c r="E99" s="2699"/>
      <c r="F99" s="2699"/>
      <c r="G99" s="2700"/>
      <c r="H99" s="2699"/>
      <c r="I99" s="2700"/>
      <c r="J99" s="2699"/>
      <c r="K99" s="2699"/>
      <c r="L99" s="2700"/>
      <c r="M99" s="2699"/>
      <c r="N99" s="2699"/>
      <c r="O99" s="2700"/>
      <c r="P99" s="2699"/>
      <c r="Q99" s="2699"/>
      <c r="R99" s="2701"/>
    </row>
    <row r="100" spans="2:18" s="905" customFormat="1">
      <c r="B100" s="2699"/>
      <c r="C100" s="2699"/>
      <c r="D100" s="2699"/>
      <c r="E100" s="2699"/>
      <c r="F100" s="2699"/>
      <c r="G100" s="2700"/>
      <c r="H100" s="2699"/>
      <c r="I100" s="2700"/>
      <c r="J100" s="2699"/>
      <c r="K100" s="2699"/>
      <c r="L100" s="2700"/>
      <c r="M100" s="2699"/>
      <c r="N100" s="2699"/>
      <c r="O100" s="2700"/>
      <c r="P100" s="2699"/>
      <c r="Q100" s="2699"/>
      <c r="R100" s="2701"/>
    </row>
    <row r="101" spans="2:18" s="905" customFormat="1">
      <c r="B101" s="2699"/>
      <c r="C101" s="2699"/>
      <c r="D101" s="2699"/>
      <c r="E101" s="2699"/>
      <c r="F101" s="2699"/>
      <c r="G101" s="2700"/>
      <c r="H101" s="2699"/>
      <c r="I101" s="2700"/>
      <c r="J101" s="2699"/>
      <c r="K101" s="2699"/>
      <c r="L101" s="2700"/>
      <c r="M101" s="2699"/>
      <c r="N101" s="2699"/>
      <c r="O101" s="2700"/>
      <c r="P101" s="2699"/>
      <c r="Q101" s="2699"/>
      <c r="R101" s="2701"/>
    </row>
    <row r="102" spans="2:18" s="905" customFormat="1">
      <c r="B102" s="2699"/>
      <c r="C102" s="2699"/>
      <c r="D102" s="2699"/>
      <c r="E102" s="2699"/>
      <c r="F102" s="2699"/>
      <c r="G102" s="2700"/>
      <c r="H102" s="2699"/>
      <c r="I102" s="2700"/>
      <c r="J102" s="2699"/>
      <c r="K102" s="2699"/>
      <c r="L102" s="2700"/>
      <c r="M102" s="2699"/>
      <c r="N102" s="2699"/>
      <c r="O102" s="2700"/>
      <c r="P102" s="2699"/>
      <c r="Q102" s="2699"/>
      <c r="R102" s="2701"/>
    </row>
    <row r="103" spans="2:18" s="905" customFormat="1">
      <c r="B103" s="2699"/>
      <c r="C103" s="2699"/>
      <c r="D103" s="2699"/>
      <c r="E103" s="2699"/>
      <c r="F103" s="2699"/>
      <c r="G103" s="2700"/>
      <c r="H103" s="2699"/>
      <c r="I103" s="2700"/>
      <c r="J103" s="2699"/>
      <c r="K103" s="2699"/>
      <c r="L103" s="2700"/>
      <c r="M103" s="2699"/>
      <c r="N103" s="2699"/>
      <c r="O103" s="2700"/>
      <c r="P103" s="2699"/>
      <c r="Q103" s="2699"/>
      <c r="R103" s="2701"/>
    </row>
    <row r="104" spans="2:18" s="905" customFormat="1">
      <c r="B104" s="2699"/>
      <c r="C104" s="2699"/>
      <c r="D104" s="2699"/>
      <c r="E104" s="2699"/>
      <c r="F104" s="2699"/>
      <c r="G104" s="2700"/>
      <c r="H104" s="2699"/>
      <c r="I104" s="2700"/>
      <c r="J104" s="2699"/>
      <c r="K104" s="2699"/>
      <c r="L104" s="2700"/>
      <c r="M104" s="2699"/>
      <c r="N104" s="2699"/>
      <c r="O104" s="2700"/>
      <c r="P104" s="2699"/>
      <c r="Q104" s="2699"/>
      <c r="R104" s="2701"/>
    </row>
    <row r="105" spans="2:18" s="905" customFormat="1">
      <c r="B105" s="2699"/>
      <c r="C105" s="2699"/>
      <c r="D105" s="2699"/>
      <c r="E105" s="2699"/>
      <c r="F105" s="2699"/>
      <c r="G105" s="2700"/>
      <c r="H105" s="2699"/>
      <c r="I105" s="2700"/>
      <c r="J105" s="2699"/>
      <c r="K105" s="2699"/>
      <c r="L105" s="2700"/>
      <c r="M105" s="2699"/>
      <c r="N105" s="2699"/>
      <c r="O105" s="2700"/>
      <c r="P105" s="2699"/>
      <c r="Q105" s="2699"/>
      <c r="R105" s="2701"/>
    </row>
    <row r="106" spans="2:18" s="905" customFormat="1">
      <c r="B106" s="2699"/>
      <c r="C106" s="2699"/>
      <c r="D106" s="2699"/>
      <c r="E106" s="2699"/>
      <c r="F106" s="2699"/>
      <c r="G106" s="2700"/>
      <c r="H106" s="2699"/>
      <c r="I106" s="2700"/>
      <c r="J106" s="2699"/>
      <c r="K106" s="2699"/>
      <c r="L106" s="2700"/>
      <c r="M106" s="2699"/>
      <c r="N106" s="2699"/>
      <c r="O106" s="2700"/>
      <c r="P106" s="2699"/>
      <c r="Q106" s="2699"/>
      <c r="R106" s="2701"/>
    </row>
    <row r="107" spans="2:18" s="905" customFormat="1">
      <c r="B107" s="2699"/>
      <c r="C107" s="2699"/>
      <c r="D107" s="2699"/>
      <c r="E107" s="2699"/>
      <c r="F107" s="2699"/>
      <c r="G107" s="2700"/>
      <c r="H107" s="2699"/>
      <c r="I107" s="2700"/>
      <c r="J107" s="2699"/>
      <c r="K107" s="2699"/>
      <c r="L107" s="2700"/>
      <c r="M107" s="2699"/>
      <c r="N107" s="2699"/>
      <c r="O107" s="2700"/>
      <c r="P107" s="2699"/>
      <c r="Q107" s="2699"/>
      <c r="R107" s="2701"/>
    </row>
    <row r="108" spans="2:18" s="905" customFormat="1">
      <c r="B108" s="2699"/>
      <c r="C108" s="2699"/>
      <c r="D108" s="2699"/>
      <c r="E108" s="2699"/>
      <c r="F108" s="2699"/>
      <c r="G108" s="2700"/>
      <c r="H108" s="2699"/>
      <c r="I108" s="2700"/>
      <c r="J108" s="2699"/>
      <c r="K108" s="2699"/>
      <c r="L108" s="2700"/>
      <c r="M108" s="2699"/>
      <c r="N108" s="2699"/>
      <c r="O108" s="2700"/>
      <c r="P108" s="2699"/>
      <c r="Q108" s="2699"/>
      <c r="R108" s="2701"/>
    </row>
    <row r="109" spans="2:18" s="905" customFormat="1">
      <c r="B109" s="2699"/>
      <c r="C109" s="2699"/>
      <c r="D109" s="2699"/>
      <c r="E109" s="2699"/>
      <c r="F109" s="2699"/>
      <c r="G109" s="2700"/>
      <c r="H109" s="2699"/>
      <c r="I109" s="2700"/>
      <c r="J109" s="2699"/>
      <c r="K109" s="2699"/>
      <c r="L109" s="2700"/>
      <c r="M109" s="2699"/>
      <c r="N109" s="2699"/>
      <c r="O109" s="2700"/>
      <c r="P109" s="2699"/>
      <c r="Q109" s="2699"/>
      <c r="R109" s="2701"/>
    </row>
    <row r="110" spans="2:18" s="905" customFormat="1">
      <c r="B110" s="2699"/>
      <c r="C110" s="2699"/>
      <c r="D110" s="2699"/>
      <c r="E110" s="2699"/>
      <c r="F110" s="2699"/>
      <c r="G110" s="2700"/>
      <c r="H110" s="2699"/>
      <c r="I110" s="2700"/>
      <c r="J110" s="2699"/>
      <c r="K110" s="2699"/>
      <c r="L110" s="2700"/>
      <c r="M110" s="2699"/>
      <c r="N110" s="2699"/>
      <c r="O110" s="2700"/>
      <c r="P110" s="2699"/>
      <c r="Q110" s="2699"/>
      <c r="R110" s="2701"/>
    </row>
    <row r="111" spans="2:18" s="905" customFormat="1">
      <c r="B111" s="2699"/>
      <c r="C111" s="2699"/>
      <c r="D111" s="2699"/>
      <c r="E111" s="2699"/>
      <c r="F111" s="2699"/>
      <c r="G111" s="2700"/>
      <c r="H111" s="2699"/>
      <c r="I111" s="2700"/>
      <c r="J111" s="2699"/>
      <c r="K111" s="2699"/>
      <c r="L111" s="2700"/>
      <c r="M111" s="2699"/>
      <c r="N111" s="2699"/>
      <c r="O111" s="2700"/>
      <c r="P111" s="2699"/>
      <c r="Q111" s="2699"/>
      <c r="R111" s="2701"/>
    </row>
    <row r="112" spans="2:18" s="905" customFormat="1">
      <c r="B112" s="2699"/>
      <c r="C112" s="2699"/>
      <c r="D112" s="2699"/>
      <c r="E112" s="2699"/>
      <c r="F112" s="2699"/>
      <c r="G112" s="2700"/>
      <c r="H112" s="2699"/>
      <c r="I112" s="2700"/>
      <c r="J112" s="2699"/>
      <c r="K112" s="2699"/>
      <c r="L112" s="2700"/>
      <c r="M112" s="2699"/>
      <c r="N112" s="2699"/>
      <c r="O112" s="2700"/>
      <c r="P112" s="2699"/>
      <c r="Q112" s="2699"/>
      <c r="R112" s="2701"/>
    </row>
    <row r="113" spans="2:18" s="905" customFormat="1">
      <c r="B113" s="2699"/>
      <c r="C113" s="2699"/>
      <c r="D113" s="2699"/>
      <c r="E113" s="2699"/>
      <c r="F113" s="2699"/>
      <c r="G113" s="2700"/>
      <c r="H113" s="2699"/>
      <c r="I113" s="2700"/>
      <c r="J113" s="2699"/>
      <c r="K113" s="2699"/>
      <c r="L113" s="2700"/>
      <c r="M113" s="2699"/>
      <c r="N113" s="2699"/>
      <c r="O113" s="2700"/>
      <c r="P113" s="2699"/>
      <c r="Q113" s="2699"/>
      <c r="R113" s="2701"/>
    </row>
    <row r="114" spans="2:18" s="905" customFormat="1">
      <c r="B114" s="2699"/>
      <c r="C114" s="2699"/>
      <c r="D114" s="2699"/>
      <c r="E114" s="2699"/>
      <c r="F114" s="2699"/>
      <c r="G114" s="2700"/>
      <c r="H114" s="2699"/>
      <c r="I114" s="2700"/>
      <c r="J114" s="2699"/>
      <c r="K114" s="2699"/>
      <c r="L114" s="2700"/>
      <c r="M114" s="2699"/>
      <c r="N114" s="2699"/>
      <c r="O114" s="2700"/>
      <c r="P114" s="2699"/>
      <c r="Q114" s="2699"/>
      <c r="R114" s="2701"/>
    </row>
    <row r="115" spans="2:18" s="905" customFormat="1">
      <c r="B115" s="2699"/>
      <c r="C115" s="2699"/>
      <c r="D115" s="2699"/>
      <c r="E115" s="2699"/>
      <c r="F115" s="2699"/>
      <c r="G115" s="2700"/>
      <c r="H115" s="2699"/>
      <c r="I115" s="2700"/>
      <c r="J115" s="2699"/>
      <c r="K115" s="2699"/>
      <c r="L115" s="2700"/>
      <c r="M115" s="2699"/>
      <c r="N115" s="2699"/>
      <c r="O115" s="2700"/>
      <c r="P115" s="2699"/>
      <c r="Q115" s="2699"/>
      <c r="R115" s="2701"/>
    </row>
    <row r="116" spans="2:18" s="905" customFormat="1">
      <c r="B116" s="2699"/>
      <c r="C116" s="2699"/>
      <c r="D116" s="2699"/>
      <c r="E116" s="2699"/>
      <c r="F116" s="2699"/>
      <c r="G116" s="2700"/>
      <c r="H116" s="2699"/>
      <c r="I116" s="2700"/>
      <c r="J116" s="2699"/>
      <c r="K116" s="2699"/>
      <c r="L116" s="2700"/>
      <c r="M116" s="2699"/>
      <c r="N116" s="2699"/>
      <c r="O116" s="2700"/>
      <c r="P116" s="2699"/>
      <c r="Q116" s="2699"/>
      <c r="R116" s="2701"/>
    </row>
    <row r="117" spans="2:18" s="905" customFormat="1">
      <c r="B117" s="2699"/>
      <c r="C117" s="2699"/>
      <c r="D117" s="2699"/>
      <c r="E117" s="2699"/>
      <c r="F117" s="2699"/>
      <c r="G117" s="2700"/>
      <c r="H117" s="2699"/>
      <c r="I117" s="2700"/>
      <c r="J117" s="2699"/>
      <c r="K117" s="2699"/>
      <c r="L117" s="2700"/>
      <c r="M117" s="2699"/>
      <c r="N117" s="2699"/>
      <c r="O117" s="2700"/>
      <c r="P117" s="2699"/>
      <c r="Q117" s="2699"/>
      <c r="R117" s="2701"/>
    </row>
    <row r="118" spans="2:18" s="905" customFormat="1">
      <c r="B118" s="2699"/>
      <c r="C118" s="2699"/>
      <c r="D118" s="2699"/>
      <c r="E118" s="2699"/>
      <c r="F118" s="2699"/>
      <c r="G118" s="2700"/>
      <c r="H118" s="2699"/>
      <c r="I118" s="2700"/>
      <c r="J118" s="2699"/>
      <c r="K118" s="2699"/>
      <c r="L118" s="2700"/>
      <c r="M118" s="2699"/>
      <c r="N118" s="2699"/>
      <c r="O118" s="2700"/>
      <c r="P118" s="2699"/>
      <c r="Q118" s="2699"/>
      <c r="R118" s="2701"/>
    </row>
    <row r="119" spans="2:18" s="905" customFormat="1">
      <c r="B119" s="2699"/>
      <c r="C119" s="2699"/>
      <c r="D119" s="2699"/>
      <c r="E119" s="2699"/>
      <c r="F119" s="2699"/>
      <c r="G119" s="2700"/>
      <c r="H119" s="2699"/>
      <c r="I119" s="2700"/>
      <c r="J119" s="2699"/>
      <c r="K119" s="2699"/>
      <c r="L119" s="2700"/>
      <c r="M119" s="2699"/>
      <c r="N119" s="2699"/>
      <c r="O119" s="2700"/>
      <c r="P119" s="2699"/>
      <c r="Q119" s="2699"/>
      <c r="R119" s="2701"/>
    </row>
    <row r="120" spans="2:18" s="905" customFormat="1">
      <c r="B120" s="2699"/>
      <c r="C120" s="2699"/>
      <c r="D120" s="2699"/>
      <c r="E120" s="2699"/>
      <c r="F120" s="2699"/>
      <c r="G120" s="2700"/>
      <c r="H120" s="2699"/>
      <c r="I120" s="2700"/>
      <c r="J120" s="2699"/>
      <c r="K120" s="2699"/>
      <c r="L120" s="2700"/>
      <c r="M120" s="2699"/>
      <c r="N120" s="2699"/>
      <c r="O120" s="2700"/>
      <c r="P120" s="2699"/>
      <c r="Q120" s="2699"/>
      <c r="R120" s="2701"/>
    </row>
    <row r="121" spans="2:18" s="905" customFormat="1">
      <c r="B121" s="2699"/>
      <c r="C121" s="2699"/>
      <c r="D121" s="2699"/>
      <c r="E121" s="2699"/>
      <c r="F121" s="2699"/>
      <c r="G121" s="2700"/>
      <c r="H121" s="2699"/>
      <c r="I121" s="2700"/>
      <c r="J121" s="2699"/>
      <c r="K121" s="2699"/>
      <c r="L121" s="2700"/>
      <c r="M121" s="2699"/>
      <c r="N121" s="2699"/>
      <c r="O121" s="2700"/>
      <c r="P121" s="2699"/>
      <c r="Q121" s="2699"/>
      <c r="R121" s="2701"/>
    </row>
    <row r="122" spans="2:18" s="905" customFormat="1">
      <c r="B122" s="2699"/>
      <c r="C122" s="2699"/>
      <c r="D122" s="2699"/>
      <c r="E122" s="2699"/>
      <c r="F122" s="2699"/>
      <c r="G122" s="2700"/>
      <c r="H122" s="2699"/>
      <c r="I122" s="2700"/>
      <c r="J122" s="2699"/>
      <c r="K122" s="2699"/>
      <c r="L122" s="2700"/>
      <c r="M122" s="2699"/>
      <c r="N122" s="2699"/>
      <c r="O122" s="2700"/>
      <c r="P122" s="2699"/>
      <c r="Q122" s="2699"/>
      <c r="R122" s="2701"/>
    </row>
    <row r="123" spans="2:18" s="905" customFormat="1">
      <c r="B123" s="2699"/>
      <c r="C123" s="2699"/>
      <c r="D123" s="2699"/>
      <c r="E123" s="2699"/>
      <c r="F123" s="2699"/>
      <c r="G123" s="2700"/>
      <c r="H123" s="2699"/>
      <c r="I123" s="2700"/>
      <c r="J123" s="2699"/>
      <c r="K123" s="2699"/>
      <c r="L123" s="2700"/>
      <c r="M123" s="2699"/>
      <c r="N123" s="2699"/>
      <c r="O123" s="2700"/>
      <c r="P123" s="2699"/>
      <c r="Q123" s="2699"/>
      <c r="R123" s="2701"/>
    </row>
    <row r="124" spans="2:18" s="905" customFormat="1">
      <c r="B124" s="2699"/>
      <c r="C124" s="2699"/>
      <c r="D124" s="2699"/>
      <c r="E124" s="2699"/>
      <c r="F124" s="2699"/>
      <c r="G124" s="2700"/>
      <c r="H124" s="2699"/>
      <c r="I124" s="2700"/>
      <c r="J124" s="2699"/>
      <c r="K124" s="2699"/>
      <c r="L124" s="2700"/>
      <c r="M124" s="2699"/>
      <c r="N124" s="2699"/>
      <c r="O124" s="2700"/>
      <c r="P124" s="2699"/>
      <c r="Q124" s="2699"/>
      <c r="R124" s="2701"/>
    </row>
    <row r="125" spans="2:18" s="905" customFormat="1">
      <c r="B125" s="2699"/>
      <c r="C125" s="2699"/>
      <c r="D125" s="2699"/>
      <c r="E125" s="2699"/>
      <c r="F125" s="2699"/>
      <c r="G125" s="2700"/>
      <c r="H125" s="2699"/>
      <c r="I125" s="2700"/>
      <c r="J125" s="2699"/>
      <c r="K125" s="2699"/>
      <c r="L125" s="2700"/>
      <c r="M125" s="2699"/>
      <c r="N125" s="2699"/>
      <c r="O125" s="2700"/>
      <c r="P125" s="2699"/>
      <c r="Q125" s="2699"/>
      <c r="R125" s="2701"/>
    </row>
    <row r="126" spans="2:18" s="905" customFormat="1">
      <c r="B126" s="2699"/>
      <c r="C126" s="2699"/>
      <c r="D126" s="2699"/>
      <c r="E126" s="2699"/>
      <c r="F126" s="2699"/>
      <c r="G126" s="2700"/>
      <c r="H126" s="2699"/>
      <c r="I126" s="2700"/>
      <c r="J126" s="2699"/>
      <c r="K126" s="2699"/>
      <c r="L126" s="2700"/>
      <c r="M126" s="2699"/>
      <c r="N126" s="2699"/>
      <c r="O126" s="2700"/>
      <c r="P126" s="2699"/>
      <c r="Q126" s="2699"/>
      <c r="R126" s="2701"/>
    </row>
    <row r="127" spans="2:18" s="905" customFormat="1">
      <c r="B127" s="2699"/>
      <c r="C127" s="2699"/>
      <c r="D127" s="2699"/>
      <c r="E127" s="2699"/>
      <c r="F127" s="2699"/>
      <c r="G127" s="2700"/>
      <c r="H127" s="2699"/>
      <c r="I127" s="2700"/>
      <c r="J127" s="2699"/>
      <c r="K127" s="2699"/>
      <c r="L127" s="2700"/>
      <c r="M127" s="2699"/>
      <c r="N127" s="2699"/>
      <c r="O127" s="2700"/>
      <c r="P127" s="2699"/>
      <c r="Q127" s="2699"/>
      <c r="R127" s="2701"/>
    </row>
    <row r="128" spans="2:18" s="905" customFormat="1">
      <c r="B128" s="2699"/>
      <c r="C128" s="2699"/>
      <c r="D128" s="2699"/>
      <c r="E128" s="2699"/>
      <c r="F128" s="2699"/>
      <c r="G128" s="2700"/>
      <c r="H128" s="2699"/>
      <c r="I128" s="2700"/>
      <c r="J128" s="2699"/>
      <c r="K128" s="2699"/>
      <c r="L128" s="2700"/>
      <c r="M128" s="2699"/>
      <c r="N128" s="2699"/>
      <c r="O128" s="2700"/>
      <c r="P128" s="2699"/>
      <c r="Q128" s="2699"/>
      <c r="R128" s="2701"/>
    </row>
    <row r="129" spans="2:18" s="905" customFormat="1">
      <c r="B129" s="2699"/>
      <c r="C129" s="2699"/>
      <c r="D129" s="2699"/>
      <c r="E129" s="2699"/>
      <c r="F129" s="2699"/>
      <c r="G129" s="2700"/>
      <c r="H129" s="2699"/>
      <c r="I129" s="2700"/>
      <c r="J129" s="2699"/>
      <c r="K129" s="2699"/>
      <c r="L129" s="2700"/>
      <c r="M129" s="2699"/>
      <c r="N129" s="2699"/>
      <c r="O129" s="2700"/>
      <c r="P129" s="2699"/>
      <c r="Q129" s="2699"/>
      <c r="R129" s="2701"/>
    </row>
    <row r="130" spans="2:18" s="905" customFormat="1">
      <c r="B130" s="2699"/>
      <c r="C130" s="2699"/>
      <c r="D130" s="2699"/>
      <c r="E130" s="2699"/>
      <c r="F130" s="2699"/>
      <c r="G130" s="2700"/>
      <c r="H130" s="2699"/>
      <c r="I130" s="2700"/>
      <c r="J130" s="2699"/>
      <c r="K130" s="2699"/>
      <c r="L130" s="2700"/>
      <c r="M130" s="2699"/>
      <c r="N130" s="2699"/>
      <c r="O130" s="2700"/>
      <c r="P130" s="2699"/>
      <c r="Q130" s="2699"/>
      <c r="R130" s="2701"/>
    </row>
    <row r="131" spans="2:18" s="905" customFormat="1">
      <c r="B131" s="2699"/>
      <c r="C131" s="2699"/>
      <c r="D131" s="2699"/>
      <c r="E131" s="2699"/>
      <c r="F131" s="2699"/>
      <c r="G131" s="2700"/>
      <c r="H131" s="2699"/>
      <c r="I131" s="2700"/>
      <c r="J131" s="2699"/>
      <c r="K131" s="2699"/>
      <c r="L131" s="2700"/>
      <c r="M131" s="2699"/>
      <c r="N131" s="2699"/>
      <c r="O131" s="2700"/>
      <c r="P131" s="2699"/>
      <c r="Q131" s="2699"/>
      <c r="R131" s="2701"/>
    </row>
    <row r="132" spans="2:18" s="905" customFormat="1">
      <c r="B132" s="2699"/>
      <c r="C132" s="2699"/>
      <c r="D132" s="2699"/>
      <c r="E132" s="2699"/>
      <c r="F132" s="2699"/>
      <c r="G132" s="2700"/>
      <c r="H132" s="2699"/>
      <c r="I132" s="2700"/>
      <c r="J132" s="2699"/>
      <c r="K132" s="2699"/>
      <c r="L132" s="2700"/>
      <c r="M132" s="2699"/>
      <c r="N132" s="2699"/>
      <c r="O132" s="2700"/>
      <c r="P132" s="2699"/>
      <c r="Q132" s="2699"/>
      <c r="R132" s="2701"/>
    </row>
    <row r="133" spans="2:18" s="905" customFormat="1">
      <c r="B133" s="2699"/>
      <c r="C133" s="2699"/>
      <c r="D133" s="2699"/>
      <c r="E133" s="2699"/>
      <c r="F133" s="2699"/>
      <c r="G133" s="2700"/>
      <c r="H133" s="2699"/>
      <c r="I133" s="2700"/>
      <c r="J133" s="2699"/>
      <c r="K133" s="2699"/>
      <c r="L133" s="2700"/>
      <c r="M133" s="2699"/>
      <c r="N133" s="2699"/>
      <c r="O133" s="2700"/>
      <c r="P133" s="2699"/>
      <c r="Q133" s="2699"/>
      <c r="R133" s="2701"/>
    </row>
    <row r="134" spans="2:18" s="905" customFormat="1">
      <c r="B134" s="2699"/>
      <c r="C134" s="2699"/>
      <c r="D134" s="2699"/>
      <c r="E134" s="2699"/>
      <c r="F134" s="2699"/>
      <c r="G134" s="2700"/>
      <c r="H134" s="2699"/>
      <c r="I134" s="2700"/>
      <c r="J134" s="2699"/>
      <c r="K134" s="2699"/>
      <c r="L134" s="2700"/>
      <c r="M134" s="2699"/>
      <c r="N134" s="2699"/>
      <c r="O134" s="2700"/>
      <c r="P134" s="2699"/>
      <c r="Q134" s="2699"/>
      <c r="R134" s="2701"/>
    </row>
    <row r="135" spans="2:18" s="905" customFormat="1">
      <c r="B135" s="2699"/>
      <c r="C135" s="2699"/>
      <c r="D135" s="2699"/>
      <c r="E135" s="2699"/>
      <c r="F135" s="2699"/>
      <c r="G135" s="2700"/>
      <c r="H135" s="2699"/>
      <c r="I135" s="2700"/>
      <c r="J135" s="2699"/>
      <c r="K135" s="2699"/>
      <c r="L135" s="2700"/>
      <c r="M135" s="2699"/>
      <c r="N135" s="2699"/>
      <c r="O135" s="2700"/>
      <c r="P135" s="2699"/>
      <c r="Q135" s="2699"/>
      <c r="R135" s="2701"/>
    </row>
    <row r="136" spans="2:18" s="905" customFormat="1">
      <c r="B136" s="2699"/>
      <c r="C136" s="2699"/>
      <c r="D136" s="2699"/>
      <c r="E136" s="2699"/>
      <c r="F136" s="2699"/>
      <c r="G136" s="2700"/>
      <c r="H136" s="2699"/>
      <c r="I136" s="2700"/>
      <c r="J136" s="2699"/>
      <c r="K136" s="2699"/>
      <c r="L136" s="2700"/>
      <c r="M136" s="2699"/>
      <c r="N136" s="2699"/>
      <c r="O136" s="2700"/>
      <c r="P136" s="2699"/>
      <c r="Q136" s="2699"/>
      <c r="R136" s="2701"/>
    </row>
    <row r="137" spans="2:18" s="905" customFormat="1">
      <c r="B137" s="2699"/>
      <c r="C137" s="2699"/>
      <c r="D137" s="2699"/>
      <c r="E137" s="2699"/>
      <c r="F137" s="2699"/>
      <c r="G137" s="2700"/>
      <c r="H137" s="2699"/>
      <c r="I137" s="2700"/>
      <c r="J137" s="2699"/>
      <c r="K137" s="2699"/>
      <c r="L137" s="2700"/>
      <c r="M137" s="2699"/>
      <c r="N137" s="2699"/>
      <c r="O137" s="2700"/>
      <c r="P137" s="2699"/>
      <c r="Q137" s="2699"/>
      <c r="R137" s="2701"/>
    </row>
    <row r="138" spans="2:18" s="905" customFormat="1">
      <c r="B138" s="2699"/>
      <c r="C138" s="2699"/>
      <c r="D138" s="2699"/>
      <c r="E138" s="2699"/>
      <c r="F138" s="2699"/>
      <c r="G138" s="2700"/>
      <c r="H138" s="2699"/>
      <c r="I138" s="2700"/>
      <c r="J138" s="2699"/>
      <c r="K138" s="2699"/>
      <c r="L138" s="2700"/>
      <c r="M138" s="2699"/>
      <c r="N138" s="2699"/>
      <c r="O138" s="2700"/>
      <c r="P138" s="2699"/>
      <c r="Q138" s="2699"/>
      <c r="R138" s="2701"/>
    </row>
    <row r="139" spans="2:18" s="905" customFormat="1">
      <c r="B139" s="2699"/>
      <c r="C139" s="2699"/>
      <c r="D139" s="2699"/>
      <c r="E139" s="2699"/>
      <c r="F139" s="2699"/>
      <c r="G139" s="2700"/>
      <c r="H139" s="2699"/>
      <c r="I139" s="2700"/>
      <c r="J139" s="2699"/>
      <c r="K139" s="2699"/>
      <c r="L139" s="2700"/>
      <c r="M139" s="2699"/>
      <c r="N139" s="2699"/>
      <c r="O139" s="2700"/>
      <c r="P139" s="2699"/>
      <c r="Q139" s="2699"/>
      <c r="R139" s="2701"/>
    </row>
    <row r="140" spans="2:18" s="905" customFormat="1">
      <c r="B140" s="2699"/>
      <c r="C140" s="2699"/>
      <c r="D140" s="2699"/>
      <c r="E140" s="2699"/>
      <c r="F140" s="2699"/>
      <c r="G140" s="2700"/>
      <c r="H140" s="2699"/>
      <c r="I140" s="2700"/>
      <c r="J140" s="2699"/>
      <c r="K140" s="2699"/>
      <c r="L140" s="2700"/>
      <c r="M140" s="2699"/>
      <c r="N140" s="2699"/>
      <c r="O140" s="2700"/>
      <c r="P140" s="2699"/>
      <c r="Q140" s="2699"/>
      <c r="R140" s="2701"/>
    </row>
    <row r="141" spans="2:18" s="905" customFormat="1">
      <c r="B141" s="2699"/>
      <c r="C141" s="2699"/>
      <c r="D141" s="2699"/>
      <c r="E141" s="2699"/>
      <c r="F141" s="2699"/>
      <c r="G141" s="2700"/>
      <c r="H141" s="2699"/>
      <c r="I141" s="2700"/>
      <c r="J141" s="2699"/>
      <c r="K141" s="2699"/>
      <c r="L141" s="2700"/>
      <c r="M141" s="2699"/>
      <c r="N141" s="2699"/>
      <c r="O141" s="2700"/>
      <c r="P141" s="2699"/>
      <c r="Q141" s="2699"/>
      <c r="R141" s="2701"/>
    </row>
    <row r="142" spans="2:18" s="905" customFormat="1">
      <c r="B142" s="2699"/>
      <c r="C142" s="2699"/>
      <c r="D142" s="2699"/>
      <c r="E142" s="2699"/>
      <c r="F142" s="2699"/>
      <c r="G142" s="2700"/>
      <c r="H142" s="2699"/>
      <c r="I142" s="2700"/>
      <c r="J142" s="2699"/>
      <c r="K142" s="2699"/>
      <c r="L142" s="2700"/>
      <c r="M142" s="2699"/>
      <c r="N142" s="2699"/>
      <c r="O142" s="2700"/>
      <c r="P142" s="2699"/>
      <c r="Q142" s="2699"/>
      <c r="R142" s="2701"/>
    </row>
    <row r="143" spans="2:18" s="905" customFormat="1">
      <c r="B143" s="2699"/>
      <c r="C143" s="2699"/>
      <c r="D143" s="2699"/>
      <c r="E143" s="2699"/>
      <c r="F143" s="2699"/>
      <c r="G143" s="2700"/>
      <c r="H143" s="2699"/>
      <c r="I143" s="2700"/>
      <c r="J143" s="2699"/>
      <c r="K143" s="2699"/>
      <c r="L143" s="2700"/>
      <c r="M143" s="2699"/>
      <c r="N143" s="2699"/>
      <c r="O143" s="2700"/>
      <c r="P143" s="2699"/>
      <c r="Q143" s="2699"/>
      <c r="R143" s="2701"/>
    </row>
    <row r="144" spans="2:18" s="905" customFormat="1">
      <c r="B144" s="2699"/>
      <c r="C144" s="2699"/>
      <c r="D144" s="2699"/>
      <c r="E144" s="2699"/>
      <c r="F144" s="2699"/>
      <c r="G144" s="2700"/>
      <c r="H144" s="2699"/>
      <c r="I144" s="2700"/>
      <c r="J144" s="2699"/>
      <c r="K144" s="2699"/>
      <c r="L144" s="2700"/>
      <c r="M144" s="2699"/>
      <c r="N144" s="2699"/>
      <c r="O144" s="2700"/>
      <c r="P144" s="2699"/>
      <c r="Q144" s="2699"/>
      <c r="R144" s="2701"/>
    </row>
    <row r="145" spans="2:18" s="905" customFormat="1">
      <c r="B145" s="2699"/>
      <c r="C145" s="2699"/>
      <c r="D145" s="2699"/>
      <c r="E145" s="2699"/>
      <c r="F145" s="2699"/>
      <c r="G145" s="2700"/>
      <c r="H145" s="2699"/>
      <c r="I145" s="2700"/>
      <c r="J145" s="2699"/>
      <c r="K145" s="2699"/>
      <c r="L145" s="2700"/>
      <c r="M145" s="2699"/>
      <c r="N145" s="2699"/>
      <c r="O145" s="2700"/>
      <c r="P145" s="2699"/>
      <c r="Q145" s="2699"/>
      <c r="R145" s="2701"/>
    </row>
    <row r="146" spans="2:18" s="905" customFormat="1">
      <c r="B146" s="2699"/>
      <c r="C146" s="2699"/>
      <c r="D146" s="2699"/>
      <c r="E146" s="2699"/>
      <c r="F146" s="2699"/>
      <c r="G146" s="2700"/>
      <c r="H146" s="2699"/>
      <c r="I146" s="2700"/>
      <c r="J146" s="2699"/>
      <c r="K146" s="2699"/>
      <c r="L146" s="2700"/>
      <c r="M146" s="2699"/>
      <c r="N146" s="2699"/>
      <c r="O146" s="2700"/>
      <c r="P146" s="2699"/>
      <c r="Q146" s="2699"/>
      <c r="R146" s="2701"/>
    </row>
    <row r="147" spans="2:18" s="905" customFormat="1">
      <c r="B147" s="2699"/>
      <c r="C147" s="2699"/>
      <c r="D147" s="2699"/>
      <c r="E147" s="2699"/>
      <c r="F147" s="2699"/>
      <c r="G147" s="2700"/>
      <c r="H147" s="2699"/>
      <c r="I147" s="2700"/>
      <c r="J147" s="2699"/>
      <c r="K147" s="2699"/>
      <c r="L147" s="2700"/>
      <c r="M147" s="2699"/>
      <c r="N147" s="2699"/>
      <c r="O147" s="2700"/>
      <c r="P147" s="2699"/>
      <c r="Q147" s="2699"/>
      <c r="R147" s="2701"/>
    </row>
    <row r="148" spans="2:18" s="905" customFormat="1">
      <c r="B148" s="2699"/>
      <c r="C148" s="2699"/>
      <c r="D148" s="2699"/>
      <c r="E148" s="2699"/>
      <c r="F148" s="2699"/>
      <c r="G148" s="2700"/>
      <c r="H148" s="2699"/>
      <c r="I148" s="2700"/>
      <c r="J148" s="2699"/>
      <c r="K148" s="2699"/>
      <c r="L148" s="2700"/>
      <c r="M148" s="2699"/>
      <c r="N148" s="2699"/>
      <c r="O148" s="2700"/>
      <c r="P148" s="2699"/>
      <c r="Q148" s="2699"/>
      <c r="R148" s="2701"/>
    </row>
    <row r="149" spans="2:18" s="905" customFormat="1">
      <c r="B149" s="2699"/>
      <c r="C149" s="2699"/>
      <c r="D149" s="2699"/>
      <c r="E149" s="2699"/>
      <c r="F149" s="2699"/>
      <c r="G149" s="2700"/>
      <c r="H149" s="2699"/>
      <c r="I149" s="2700"/>
      <c r="J149" s="2699"/>
      <c r="K149" s="2699"/>
      <c r="L149" s="2700"/>
      <c r="M149" s="2699"/>
      <c r="N149" s="2699"/>
      <c r="O149" s="2700"/>
      <c r="P149" s="2699"/>
      <c r="Q149" s="2699"/>
      <c r="R149" s="2701"/>
    </row>
    <row r="150" spans="2:18" s="905" customFormat="1">
      <c r="B150" s="2699"/>
      <c r="C150" s="2699"/>
      <c r="D150" s="2699"/>
      <c r="E150" s="2699"/>
      <c r="F150" s="2699"/>
      <c r="G150" s="2700"/>
      <c r="H150" s="2699"/>
      <c r="I150" s="2700"/>
      <c r="J150" s="2699"/>
      <c r="K150" s="2699"/>
      <c r="L150" s="2700"/>
      <c r="M150" s="2699"/>
      <c r="N150" s="2699"/>
      <c r="O150" s="2700"/>
      <c r="P150" s="2699"/>
      <c r="Q150" s="2699"/>
      <c r="R150" s="2701"/>
    </row>
    <row r="151" spans="2:18" s="905" customFormat="1">
      <c r="B151" s="2699"/>
      <c r="C151" s="2699"/>
      <c r="D151" s="2699"/>
      <c r="E151" s="2699"/>
      <c r="F151" s="2699"/>
      <c r="G151" s="2700"/>
      <c r="H151" s="2699"/>
      <c r="I151" s="2700"/>
      <c r="J151" s="2699"/>
      <c r="K151" s="2699"/>
      <c r="L151" s="2700"/>
      <c r="M151" s="2699"/>
      <c r="N151" s="2699"/>
      <c r="O151" s="2700"/>
      <c r="P151" s="2699"/>
      <c r="Q151" s="2699"/>
      <c r="R151" s="2701"/>
    </row>
    <row r="152" spans="2:18" s="905" customFormat="1">
      <c r="B152" s="2699"/>
      <c r="C152" s="2699"/>
      <c r="D152" s="2699"/>
      <c r="E152" s="2699"/>
      <c r="F152" s="2699"/>
      <c r="G152" s="2700"/>
      <c r="H152" s="2699"/>
      <c r="I152" s="2700"/>
      <c r="J152" s="2699"/>
      <c r="K152" s="2699"/>
      <c r="L152" s="2700"/>
      <c r="M152" s="2699"/>
      <c r="N152" s="2699"/>
      <c r="O152" s="2700"/>
      <c r="P152" s="2699"/>
      <c r="Q152" s="2699"/>
      <c r="R152" s="2701"/>
    </row>
    <row r="153" spans="2:18" s="905" customFormat="1">
      <c r="B153" s="2699"/>
      <c r="C153" s="2699"/>
      <c r="D153" s="2699"/>
      <c r="E153" s="2699"/>
      <c r="F153" s="2699"/>
      <c r="G153" s="2700"/>
      <c r="H153" s="2699"/>
      <c r="I153" s="2700"/>
      <c r="J153" s="2699"/>
      <c r="K153" s="2699"/>
      <c r="L153" s="2700"/>
      <c r="M153" s="2699"/>
      <c r="N153" s="2699"/>
      <c r="O153" s="2700"/>
      <c r="P153" s="2699"/>
      <c r="Q153" s="2699"/>
      <c r="R153" s="2701"/>
    </row>
    <row r="154" spans="2:18" s="905" customFormat="1">
      <c r="B154" s="2699"/>
      <c r="C154" s="2699"/>
      <c r="D154" s="2699"/>
      <c r="E154" s="2699"/>
      <c r="F154" s="2699"/>
      <c r="G154" s="2700"/>
      <c r="H154" s="2699"/>
      <c r="I154" s="2700"/>
      <c r="J154" s="2699"/>
      <c r="K154" s="2699"/>
      <c r="L154" s="2700"/>
      <c r="M154" s="2699"/>
      <c r="N154" s="2699"/>
      <c r="O154" s="2700"/>
      <c r="P154" s="2699"/>
      <c r="Q154" s="2699"/>
      <c r="R154" s="2701"/>
    </row>
    <row r="155" spans="2:18" s="905" customFormat="1">
      <c r="B155" s="2699"/>
      <c r="C155" s="2699"/>
      <c r="D155" s="2699"/>
      <c r="E155" s="2699"/>
      <c r="F155" s="2699"/>
      <c r="G155" s="2700"/>
      <c r="H155" s="2699"/>
      <c r="I155" s="2700"/>
      <c r="J155" s="2699"/>
      <c r="K155" s="2699"/>
      <c r="L155" s="2700"/>
      <c r="M155" s="2699"/>
      <c r="N155" s="2699"/>
      <c r="O155" s="2700"/>
      <c r="P155" s="2699"/>
      <c r="Q155" s="2699"/>
      <c r="R155" s="2701"/>
    </row>
    <row r="156" spans="2:18" s="905" customFormat="1">
      <c r="B156" s="2699"/>
      <c r="C156" s="2699"/>
      <c r="D156" s="2699"/>
      <c r="E156" s="2699"/>
      <c r="F156" s="2699"/>
      <c r="G156" s="2700"/>
      <c r="H156" s="2699"/>
      <c r="I156" s="2700"/>
      <c r="J156" s="2699"/>
      <c r="K156" s="2699"/>
      <c r="L156" s="2700"/>
      <c r="M156" s="2699"/>
      <c r="N156" s="2699"/>
      <c r="O156" s="2700"/>
      <c r="P156" s="2699"/>
      <c r="Q156" s="2699"/>
      <c r="R156" s="2701"/>
    </row>
    <row r="157" spans="2:18" s="905" customFormat="1">
      <c r="B157" s="2699"/>
      <c r="C157" s="2699"/>
      <c r="D157" s="2699"/>
      <c r="E157" s="2699"/>
      <c r="F157" s="2699"/>
      <c r="G157" s="2700"/>
      <c r="H157" s="2699"/>
      <c r="I157" s="2700"/>
      <c r="J157" s="2699"/>
      <c r="K157" s="2699"/>
      <c r="L157" s="2700"/>
      <c r="M157" s="2699"/>
      <c r="N157" s="2699"/>
      <c r="O157" s="2700"/>
      <c r="P157" s="2699"/>
      <c r="Q157" s="2699"/>
      <c r="R157" s="2701"/>
    </row>
    <row r="158" spans="2:18" s="905" customFormat="1">
      <c r="B158" s="2699"/>
      <c r="C158" s="2699"/>
      <c r="D158" s="2699"/>
      <c r="E158" s="2699"/>
      <c r="F158" s="2699"/>
      <c r="G158" s="2700"/>
      <c r="H158" s="2699"/>
      <c r="I158" s="2700"/>
      <c r="J158" s="2699"/>
      <c r="K158" s="2699"/>
      <c r="L158" s="2700"/>
      <c r="M158" s="2699"/>
      <c r="N158" s="2699"/>
      <c r="O158" s="2700"/>
      <c r="P158" s="2699"/>
      <c r="Q158" s="2699"/>
      <c r="R158" s="2701"/>
    </row>
    <row r="159" spans="2:18" s="905" customFormat="1">
      <c r="B159" s="2699"/>
      <c r="C159" s="2699"/>
      <c r="D159" s="2699"/>
      <c r="E159" s="2699"/>
      <c r="F159" s="2699"/>
      <c r="G159" s="2700"/>
      <c r="H159" s="2699"/>
      <c r="I159" s="2700"/>
      <c r="J159" s="2699"/>
      <c r="K159" s="2699"/>
      <c r="L159" s="2700"/>
      <c r="M159" s="2699"/>
      <c r="N159" s="2699"/>
      <c r="O159" s="2700"/>
      <c r="P159" s="2699"/>
      <c r="Q159" s="2699"/>
      <c r="R159" s="2701"/>
    </row>
    <row r="160" spans="2:18" s="905" customFormat="1">
      <c r="B160" s="2699"/>
      <c r="C160" s="2699"/>
      <c r="D160" s="2699"/>
      <c r="E160" s="2699"/>
      <c r="F160" s="2699"/>
      <c r="G160" s="2700"/>
      <c r="H160" s="2699"/>
      <c r="I160" s="2700"/>
      <c r="J160" s="2699"/>
      <c r="K160" s="2699"/>
      <c r="L160" s="2700"/>
      <c r="M160" s="2699"/>
      <c r="N160" s="2699"/>
      <c r="O160" s="2700"/>
      <c r="P160" s="2699"/>
      <c r="Q160" s="2699"/>
      <c r="R160" s="2701"/>
    </row>
    <row r="161" spans="2:18" s="905" customFormat="1">
      <c r="B161" s="2699"/>
      <c r="C161" s="2699"/>
      <c r="D161" s="2699"/>
      <c r="E161" s="2699"/>
      <c r="F161" s="2699"/>
      <c r="G161" s="2700"/>
      <c r="H161" s="2699"/>
      <c r="I161" s="2700"/>
      <c r="J161" s="2699"/>
      <c r="K161" s="2699"/>
      <c r="L161" s="2700"/>
      <c r="M161" s="2699"/>
      <c r="N161" s="2699"/>
      <c r="O161" s="2700"/>
      <c r="P161" s="2699"/>
      <c r="Q161" s="2699"/>
      <c r="R161" s="2701"/>
    </row>
    <row r="162" spans="2:18" s="905" customFormat="1">
      <c r="B162" s="2699"/>
      <c r="C162" s="2699"/>
      <c r="D162" s="2699"/>
      <c r="E162" s="2699"/>
      <c r="F162" s="2699"/>
      <c r="G162" s="2700"/>
      <c r="H162" s="2699"/>
      <c r="I162" s="2700"/>
      <c r="J162" s="2699"/>
      <c r="K162" s="2699"/>
      <c r="L162" s="2700"/>
      <c r="M162" s="2699"/>
      <c r="N162" s="2699"/>
      <c r="O162" s="2700"/>
      <c r="P162" s="2699"/>
      <c r="Q162" s="2699"/>
      <c r="R162" s="2701"/>
    </row>
    <row r="163" spans="2:18" s="905" customFormat="1">
      <c r="B163" s="2699"/>
      <c r="C163" s="2699"/>
      <c r="D163" s="2699"/>
      <c r="E163" s="2699"/>
      <c r="F163" s="2699"/>
      <c r="G163" s="2700"/>
      <c r="H163" s="2699"/>
      <c r="I163" s="2700"/>
      <c r="J163" s="2699"/>
      <c r="K163" s="2699"/>
      <c r="L163" s="2700"/>
      <c r="M163" s="2699"/>
      <c r="N163" s="2699"/>
      <c r="O163" s="2700"/>
      <c r="P163" s="2699"/>
      <c r="Q163" s="2699"/>
      <c r="R163" s="2701"/>
    </row>
    <row r="164" spans="2:18" s="905" customFormat="1">
      <c r="B164" s="2699"/>
      <c r="C164" s="2699"/>
      <c r="D164" s="2699"/>
      <c r="E164" s="2699"/>
      <c r="F164" s="2699"/>
      <c r="G164" s="2700"/>
      <c r="H164" s="2699"/>
      <c r="I164" s="2700"/>
      <c r="J164" s="2699"/>
      <c r="K164" s="2699"/>
      <c r="L164" s="2700"/>
      <c r="M164" s="2699"/>
      <c r="N164" s="2699"/>
      <c r="O164" s="2700"/>
      <c r="P164" s="2699"/>
      <c r="Q164" s="2699"/>
      <c r="R164" s="2701"/>
    </row>
    <row r="165" spans="2:18" s="905" customFormat="1">
      <c r="B165" s="2699"/>
      <c r="C165" s="2699"/>
      <c r="D165" s="2699"/>
      <c r="E165" s="2699"/>
      <c r="F165" s="2699"/>
      <c r="G165" s="2700"/>
      <c r="H165" s="2699"/>
      <c r="I165" s="2700"/>
      <c r="J165" s="2699"/>
      <c r="K165" s="2699"/>
      <c r="L165" s="2700"/>
      <c r="M165" s="2699"/>
      <c r="N165" s="2699"/>
      <c r="O165" s="2700"/>
      <c r="P165" s="2699"/>
      <c r="Q165" s="2699"/>
      <c r="R165" s="2701"/>
    </row>
    <row r="166" spans="2:18" s="905" customFormat="1">
      <c r="B166" s="2699"/>
      <c r="C166" s="2699"/>
      <c r="D166" s="2699"/>
      <c r="E166" s="2699"/>
      <c r="F166" s="2699"/>
      <c r="G166" s="2700"/>
      <c r="H166" s="2699"/>
      <c r="I166" s="2700"/>
      <c r="J166" s="2699"/>
      <c r="K166" s="2699"/>
      <c r="L166" s="2700"/>
      <c r="M166" s="2699"/>
      <c r="N166" s="2699"/>
      <c r="O166" s="2700"/>
      <c r="P166" s="2699"/>
      <c r="Q166" s="2699"/>
      <c r="R166" s="2701"/>
    </row>
    <row r="167" spans="2:18" s="905" customFormat="1">
      <c r="B167" s="2699"/>
      <c r="C167" s="2699"/>
      <c r="D167" s="2699"/>
      <c r="E167" s="2699"/>
      <c r="F167" s="2699"/>
      <c r="G167" s="2700"/>
      <c r="H167" s="2699"/>
      <c r="I167" s="2700"/>
      <c r="J167" s="2699"/>
      <c r="K167" s="2699"/>
      <c r="L167" s="2700"/>
      <c r="M167" s="2699"/>
      <c r="N167" s="2699"/>
      <c r="O167" s="2700"/>
      <c r="P167" s="2699"/>
      <c r="Q167" s="2699"/>
      <c r="R167" s="2701"/>
    </row>
    <row r="168" spans="2:18" s="905" customFormat="1">
      <c r="B168" s="2699"/>
      <c r="C168" s="2699"/>
      <c r="D168" s="2699"/>
      <c r="E168" s="2699"/>
      <c r="F168" s="2699"/>
      <c r="G168" s="2700"/>
      <c r="H168" s="2699"/>
      <c r="I168" s="2700"/>
      <c r="J168" s="2699"/>
      <c r="K168" s="2699"/>
      <c r="L168" s="2700"/>
      <c r="M168" s="2699"/>
      <c r="N168" s="2699"/>
      <c r="O168" s="2700"/>
      <c r="P168" s="2699"/>
      <c r="Q168" s="2699"/>
      <c r="R168" s="2701"/>
    </row>
    <row r="169" spans="2:18" s="905" customFormat="1">
      <c r="B169" s="2699"/>
      <c r="C169" s="2699"/>
      <c r="D169" s="2699"/>
      <c r="E169" s="2699"/>
      <c r="F169" s="2699"/>
      <c r="G169" s="2700"/>
      <c r="H169" s="2699"/>
      <c r="I169" s="2700"/>
      <c r="J169" s="2699"/>
      <c r="K169" s="2699"/>
      <c r="L169" s="2700"/>
      <c r="M169" s="2699"/>
      <c r="N169" s="2699"/>
      <c r="O169" s="2700"/>
      <c r="P169" s="2699"/>
      <c r="Q169" s="2699"/>
      <c r="R169" s="2701"/>
    </row>
    <row r="170" spans="2:18" s="905" customFormat="1">
      <c r="B170" s="2699"/>
      <c r="C170" s="2699"/>
      <c r="D170" s="2699"/>
      <c r="E170" s="2699"/>
      <c r="F170" s="2699"/>
      <c r="G170" s="2700"/>
      <c r="H170" s="2699"/>
      <c r="I170" s="2700"/>
      <c r="J170" s="2699"/>
      <c r="K170" s="2699"/>
      <c r="L170" s="2700"/>
      <c r="M170" s="2699"/>
      <c r="N170" s="2699"/>
      <c r="O170" s="2700"/>
      <c r="P170" s="2699"/>
      <c r="Q170" s="2699"/>
      <c r="R170" s="2701"/>
    </row>
    <row r="171" spans="2:18" s="905" customFormat="1">
      <c r="B171" s="2699"/>
      <c r="C171" s="2699"/>
      <c r="D171" s="2699"/>
      <c r="E171" s="2699"/>
      <c r="F171" s="2699"/>
      <c r="G171" s="2700"/>
      <c r="H171" s="2699"/>
      <c r="I171" s="2700"/>
      <c r="J171" s="2699"/>
      <c r="K171" s="2699"/>
      <c r="L171" s="2700"/>
      <c r="M171" s="2699"/>
      <c r="N171" s="2699"/>
      <c r="O171" s="2700"/>
      <c r="P171" s="2699"/>
      <c r="Q171" s="2699"/>
      <c r="R171" s="2701"/>
    </row>
    <row r="172" spans="2:18" s="905" customFormat="1">
      <c r="B172" s="2699"/>
      <c r="C172" s="2699"/>
      <c r="D172" s="2699"/>
      <c r="E172" s="2699"/>
      <c r="F172" s="2699"/>
      <c r="G172" s="2700"/>
      <c r="H172" s="2699"/>
      <c r="I172" s="2700"/>
      <c r="J172" s="2699"/>
      <c r="K172" s="2699"/>
      <c r="L172" s="2700"/>
      <c r="M172" s="2699"/>
      <c r="N172" s="2699"/>
      <c r="O172" s="2700"/>
      <c r="P172" s="2699"/>
      <c r="Q172" s="2699"/>
      <c r="R172" s="2701"/>
    </row>
    <row r="173" spans="2:18" s="905" customFormat="1">
      <c r="B173" s="2699"/>
      <c r="C173" s="2699"/>
      <c r="D173" s="2699"/>
      <c r="E173" s="2699"/>
      <c r="F173" s="2699"/>
      <c r="G173" s="2700"/>
      <c r="H173" s="2699"/>
      <c r="I173" s="2700"/>
      <c r="J173" s="2699"/>
      <c r="K173" s="2699"/>
      <c r="L173" s="2700"/>
      <c r="M173" s="2699"/>
      <c r="N173" s="2699"/>
      <c r="O173" s="2700"/>
      <c r="P173" s="2699"/>
      <c r="Q173" s="2699"/>
      <c r="R173" s="2701"/>
    </row>
    <row r="174" spans="2:18" s="905" customFormat="1">
      <c r="B174" s="2699"/>
      <c r="C174" s="2699"/>
      <c r="D174" s="2699"/>
      <c r="E174" s="2699"/>
      <c r="F174" s="2699"/>
      <c r="G174" s="2700"/>
      <c r="H174" s="2699"/>
      <c r="I174" s="2700"/>
      <c r="J174" s="2699"/>
      <c r="K174" s="2699"/>
      <c r="L174" s="2700"/>
      <c r="M174" s="2699"/>
      <c r="N174" s="2699"/>
      <c r="O174" s="2700"/>
      <c r="P174" s="2699"/>
      <c r="Q174" s="2699"/>
      <c r="R174" s="2701"/>
    </row>
    <row r="175" spans="2:18" s="905" customFormat="1">
      <c r="B175" s="2699"/>
      <c r="C175" s="2699"/>
      <c r="D175" s="2699"/>
      <c r="E175" s="2699"/>
      <c r="F175" s="2699"/>
      <c r="G175" s="2700"/>
      <c r="H175" s="2699"/>
      <c r="I175" s="2700"/>
      <c r="J175" s="2699"/>
      <c r="K175" s="2699"/>
      <c r="L175" s="2700"/>
      <c r="M175" s="2699"/>
      <c r="N175" s="2699"/>
      <c r="O175" s="2700"/>
      <c r="P175" s="2699"/>
      <c r="Q175" s="2699"/>
      <c r="R175" s="2701"/>
    </row>
    <row r="176" spans="2:18" s="905" customFormat="1">
      <c r="B176" s="2699"/>
      <c r="C176" s="2699"/>
      <c r="D176" s="2699"/>
      <c r="E176" s="2699"/>
      <c r="F176" s="2699"/>
      <c r="G176" s="2700"/>
      <c r="H176" s="2699"/>
      <c r="I176" s="2700"/>
      <c r="J176" s="2699"/>
      <c r="K176" s="2699"/>
      <c r="L176" s="2700"/>
      <c r="M176" s="2699"/>
      <c r="N176" s="2699"/>
      <c r="O176" s="2700"/>
      <c r="P176" s="2699"/>
      <c r="Q176" s="2699"/>
      <c r="R176" s="2701"/>
    </row>
    <row r="177" spans="1:18" s="905" customFormat="1">
      <c r="B177" s="2699"/>
      <c r="C177" s="2699"/>
      <c r="D177" s="2699"/>
      <c r="E177" s="2699"/>
      <c r="F177" s="2699"/>
      <c r="G177" s="2700"/>
      <c r="H177" s="2699"/>
      <c r="I177" s="2700"/>
      <c r="J177" s="2699"/>
      <c r="K177" s="2699"/>
      <c r="L177" s="2700"/>
      <c r="M177" s="2699"/>
      <c r="N177" s="2699"/>
      <c r="O177" s="2700"/>
      <c r="P177" s="2699"/>
      <c r="Q177" s="2699"/>
      <c r="R177" s="2701"/>
    </row>
    <row r="178" spans="1:18" s="905" customFormat="1">
      <c r="B178" s="2699"/>
      <c r="C178" s="2699"/>
      <c r="D178" s="2699"/>
      <c r="E178" s="2699"/>
      <c r="F178" s="2699"/>
      <c r="G178" s="2700"/>
      <c r="H178" s="2699"/>
      <c r="I178" s="2700"/>
      <c r="J178" s="2699"/>
      <c r="K178" s="2699"/>
      <c r="L178" s="2700"/>
      <c r="M178" s="2699"/>
      <c r="N178" s="2699"/>
      <c r="O178" s="2700"/>
      <c r="P178" s="2699"/>
      <c r="Q178" s="2699"/>
      <c r="R178" s="2701"/>
    </row>
    <row r="179" spans="1:18" s="905" customFormat="1">
      <c r="B179" s="2699"/>
      <c r="C179" s="2699"/>
      <c r="D179" s="2699"/>
      <c r="E179" s="2699"/>
      <c r="F179" s="2699"/>
      <c r="G179" s="2700"/>
      <c r="H179" s="2699"/>
      <c r="I179" s="2700"/>
      <c r="J179" s="2699"/>
      <c r="K179" s="2699"/>
      <c r="L179" s="2700"/>
      <c r="M179" s="2699"/>
      <c r="N179" s="2699"/>
      <c r="O179" s="2700"/>
      <c r="P179" s="2699"/>
      <c r="Q179" s="2699"/>
      <c r="R179" s="2701"/>
    </row>
    <row r="180" spans="1:18" s="905" customFormat="1">
      <c r="B180" s="2699"/>
      <c r="C180" s="2699"/>
      <c r="D180" s="2699"/>
      <c r="E180" s="2699"/>
      <c r="F180" s="2699"/>
      <c r="G180" s="2700"/>
      <c r="H180" s="2699"/>
      <c r="I180" s="2700"/>
      <c r="J180" s="2699"/>
      <c r="K180" s="2699"/>
      <c r="L180" s="2700"/>
      <c r="M180" s="2699"/>
      <c r="N180" s="2699"/>
      <c r="O180" s="2700"/>
      <c r="P180" s="2699"/>
      <c r="Q180" s="2699"/>
      <c r="R180" s="2701"/>
    </row>
    <row r="181" spans="1:18" s="905" customFormat="1">
      <c r="B181" s="2699"/>
      <c r="C181" s="2699"/>
      <c r="D181" s="2699"/>
      <c r="E181" s="2699"/>
      <c r="F181" s="2699"/>
      <c r="G181" s="2700"/>
      <c r="H181" s="2699"/>
      <c r="I181" s="2700"/>
      <c r="J181" s="2699"/>
      <c r="K181" s="2699"/>
      <c r="L181" s="2700"/>
      <c r="M181" s="2699"/>
      <c r="N181" s="2699"/>
      <c r="O181" s="2700"/>
      <c r="P181" s="2699"/>
      <c r="Q181" s="2699"/>
      <c r="R181" s="2701"/>
    </row>
    <row r="182" spans="1:18" s="905" customFormat="1">
      <c r="B182" s="2699"/>
      <c r="C182" s="2699"/>
      <c r="D182" s="2699"/>
      <c r="E182" s="2699"/>
      <c r="F182" s="2699"/>
      <c r="G182" s="2700"/>
      <c r="H182" s="2699"/>
      <c r="I182" s="2700"/>
      <c r="J182" s="2699"/>
      <c r="K182" s="2699"/>
      <c r="L182" s="2700"/>
      <c r="M182" s="2699"/>
      <c r="N182" s="2699"/>
      <c r="O182" s="2700"/>
      <c r="P182" s="2699"/>
      <c r="Q182" s="2699"/>
      <c r="R182" s="2701"/>
    </row>
    <row r="183" spans="1:18" s="905" customFormat="1">
      <c r="B183" s="2699"/>
      <c r="C183" s="2699"/>
      <c r="D183" s="2699"/>
      <c r="E183" s="2699"/>
      <c r="F183" s="2699"/>
      <c r="G183" s="2700"/>
      <c r="H183" s="2699"/>
      <c r="I183" s="2700"/>
      <c r="J183" s="2699"/>
      <c r="K183" s="2699"/>
      <c r="L183" s="2700"/>
      <c r="M183" s="2699"/>
      <c r="N183" s="2699"/>
      <c r="O183" s="2700"/>
      <c r="P183" s="2699"/>
      <c r="Q183" s="2699"/>
      <c r="R183" s="2701"/>
    </row>
    <row r="184" spans="1:18" s="905" customFormat="1">
      <c r="B184" s="2699"/>
      <c r="C184" s="2699"/>
      <c r="D184" s="2699"/>
      <c r="E184" s="2699"/>
      <c r="F184" s="2699"/>
      <c r="G184" s="2700"/>
      <c r="H184" s="2699"/>
      <c r="I184" s="2700"/>
      <c r="J184" s="2699"/>
      <c r="K184" s="2699"/>
      <c r="L184" s="2700"/>
      <c r="M184" s="2699"/>
      <c r="N184" s="2699"/>
      <c r="O184" s="2700"/>
      <c r="P184" s="2699"/>
      <c r="Q184" s="2699"/>
      <c r="R184" s="2701"/>
    </row>
    <row r="185" spans="1:18" s="905"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905"/>
      <c r="B186" s="2699"/>
      <c r="C186" s="2699"/>
      <c r="E186" s="2699"/>
      <c r="F186" s="2699"/>
      <c r="G186" s="2700"/>
    </row>
    <row r="187" spans="1:18">
      <c r="A187" s="905"/>
      <c r="B187" s="2699"/>
      <c r="C187" s="2699"/>
      <c r="E187" s="2699"/>
      <c r="F187" s="2699"/>
      <c r="G187" s="270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21" customWidth="1"/>
    <col min="2" max="9" width="15.75" style="2721" customWidth="1"/>
    <col min="10" max="16384" width="9" style="2721"/>
  </cols>
  <sheetData>
    <row r="1" spans="1:11" ht="16.5">
      <c r="A1" s="2720" t="s">
        <v>1331</v>
      </c>
      <c r="B1" s="2720">
        <f>SUM(B14:B23)</f>
        <v>6153.5</v>
      </c>
      <c r="C1" s="2896"/>
      <c r="D1" s="2896"/>
      <c r="E1" s="2896"/>
      <c r="F1" s="2896"/>
      <c r="G1" s="2897"/>
      <c r="H1" s="2898"/>
      <c r="I1" s="2898"/>
      <c r="J1" s="2898"/>
      <c r="K1" s="2898"/>
    </row>
    <row r="2" spans="1:11" ht="16.5">
      <c r="A2" s="2720" t="s">
        <v>1319</v>
      </c>
      <c r="B2" s="2720">
        <f>SUM(C14:C23)</f>
        <v>0</v>
      </c>
      <c r="C2" s="2896"/>
      <c r="D2" s="2896"/>
      <c r="E2" s="2896"/>
      <c r="F2" s="2896"/>
      <c r="G2" s="2897"/>
      <c r="H2" s="2898"/>
      <c r="I2" s="2898"/>
      <c r="J2" s="2898"/>
      <c r="K2" s="2898"/>
    </row>
    <row r="3" spans="1:11" ht="16.5">
      <c r="A3" s="2720" t="s">
        <v>1328</v>
      </c>
      <c r="B3" s="2722">
        <f>项目基本情况!D3</f>
        <v>44336</v>
      </c>
      <c r="C3" s="2896"/>
      <c r="D3" s="2896"/>
      <c r="E3" s="2896"/>
      <c r="F3" s="2896"/>
      <c r="G3" s="2897"/>
      <c r="H3" s="2898"/>
      <c r="I3" s="2898"/>
      <c r="J3" s="2898"/>
      <c r="K3" s="2898"/>
    </row>
    <row r="4" spans="1:11" ht="33">
      <c r="A4" s="2720" t="s">
        <v>1327</v>
      </c>
      <c r="B4" s="2720" t="s">
        <v>1326</v>
      </c>
      <c r="C4" s="2720" t="s">
        <v>1325</v>
      </c>
      <c r="D4" s="2720" t="s">
        <v>1324</v>
      </c>
      <c r="E4" s="2896"/>
      <c r="F4" s="2897"/>
      <c r="G4" s="2897"/>
      <c r="H4" s="2898"/>
      <c r="I4" s="2898"/>
      <c r="J4" s="2898"/>
      <c r="K4" s="2898"/>
    </row>
    <row r="5" spans="1:11" ht="16.5">
      <c r="A5" s="2720" t="s">
        <v>1323</v>
      </c>
      <c r="B5" s="2720">
        <f ca="1">SUM(D14:D23)</f>
        <v>12673</v>
      </c>
      <c r="C5" s="2720">
        <f ca="1">ROUND(B5*10000/$B$1,0)</f>
        <v>20595</v>
      </c>
      <c r="D5" s="2720" t="e">
        <f ca="1">ROUND(B5*10000/$B$2,0)</f>
        <v>#DIV/0!</v>
      </c>
      <c r="E5" s="2896"/>
      <c r="F5" s="2897"/>
      <c r="G5" s="2897"/>
      <c r="H5" s="2898"/>
      <c r="I5" s="2898"/>
      <c r="J5" s="2898"/>
      <c r="K5" s="2898"/>
    </row>
    <row r="6" spans="1:11" ht="16.5">
      <c r="A6" s="2720" t="s">
        <v>1322</v>
      </c>
      <c r="B6" s="2720">
        <f ca="1">SUM(G14:G23)</f>
        <v>12673</v>
      </c>
      <c r="C6" s="2720">
        <f ca="1">ROUND(B6*10000/$B$1,0)</f>
        <v>20595</v>
      </c>
      <c r="D6" s="2720" t="e">
        <f ca="1">ROUND(B6*10000/$B$2,0)</f>
        <v>#DIV/0!</v>
      </c>
      <c r="E6" s="2896"/>
      <c r="F6" s="2897"/>
      <c r="G6" s="2897"/>
      <c r="H6" s="2898"/>
      <c r="I6" s="2898"/>
      <c r="J6" s="2898"/>
      <c r="K6" s="2898"/>
    </row>
    <row r="7" spans="1:11" ht="16.5">
      <c r="A7" s="2720" t="s">
        <v>1330</v>
      </c>
      <c r="B7" s="2720">
        <f>SUM(H14:H23)</f>
        <v>0</v>
      </c>
      <c r="C7" s="2720">
        <f>ROUND(B7*10000/$B$1,0)</f>
        <v>0</v>
      </c>
      <c r="D7" s="2720" t="e">
        <f>ROUND(B7*10000/$B$2,0)</f>
        <v>#DIV/0!</v>
      </c>
      <c r="E7" s="2896"/>
      <c r="F7" s="2897"/>
      <c r="G7" s="2897"/>
      <c r="H7" s="2898"/>
      <c r="I7" s="2898"/>
      <c r="J7" s="2898"/>
      <c r="K7" s="2898"/>
    </row>
    <row r="8" spans="1:11" ht="16.5">
      <c r="A8" s="2720" t="s">
        <v>1252</v>
      </c>
      <c r="B8" s="2720">
        <f>SUM(I14:I23)</f>
        <v>0</v>
      </c>
      <c r="C8" s="2720">
        <f>ROUND(B8*10000/$B$1,0)</f>
        <v>0</v>
      </c>
      <c r="D8" s="2720" t="e">
        <f>ROUND(B8*10000/$B$2,0)</f>
        <v>#DIV/0!</v>
      </c>
      <c r="E8" s="2896"/>
      <c r="F8" s="2897"/>
      <c r="G8" s="2897"/>
      <c r="H8" s="2898"/>
      <c r="I8" s="2898"/>
      <c r="J8" s="2898"/>
      <c r="K8" s="2898"/>
    </row>
    <row r="9" spans="1:11" ht="16.5">
      <c r="A9" s="2720" t="s">
        <v>1321</v>
      </c>
      <c r="B9" s="2728"/>
      <c r="C9" s="2896"/>
      <c r="D9" s="2896"/>
      <c r="E9" s="2896"/>
      <c r="F9" s="2897"/>
      <c r="G9" s="2897"/>
      <c r="H9" s="2898"/>
      <c r="I9" s="2898"/>
      <c r="J9" s="2898"/>
      <c r="K9" s="2898"/>
    </row>
    <row r="10" spans="1:11" ht="16.5">
      <c r="A10" s="2720" t="s">
        <v>1320</v>
      </c>
      <c r="B10" s="2728"/>
      <c r="C10" s="2896"/>
      <c r="D10" s="2896"/>
      <c r="E10" s="2896"/>
      <c r="F10" s="2897"/>
      <c r="G10" s="2897"/>
      <c r="H10" s="2898"/>
      <c r="I10" s="2898"/>
      <c r="J10" s="2898"/>
      <c r="K10" s="2898"/>
    </row>
    <row r="11" spans="1:11" ht="16.5">
      <c r="A11" s="2720" t="s">
        <v>1336</v>
      </c>
      <c r="B11" s="2728"/>
      <c r="C11" s="2896"/>
      <c r="D11" s="2896"/>
      <c r="E11" s="2896"/>
      <c r="F11" s="2897"/>
      <c r="G11" s="2897"/>
      <c r="H11" s="2898"/>
      <c r="I11" s="2898"/>
      <c r="J11" s="2898"/>
      <c r="K11" s="2898"/>
    </row>
    <row r="12" spans="1:11" ht="16.5">
      <c r="A12" s="2896"/>
      <c r="B12" s="2896"/>
      <c r="C12" s="2896"/>
      <c r="D12" s="2896"/>
      <c r="E12" s="2896"/>
      <c r="F12" s="2897"/>
      <c r="G12" s="2897"/>
      <c r="H12" s="2898"/>
      <c r="I12" s="2898"/>
      <c r="J12" s="2898"/>
      <c r="K12" s="2898"/>
    </row>
    <row r="13" spans="1:11" ht="33">
      <c r="A13" s="2723" t="s">
        <v>1335</v>
      </c>
      <c r="B13" s="2724" t="s">
        <v>1332</v>
      </c>
      <c r="C13" s="2724" t="s">
        <v>1334</v>
      </c>
      <c r="D13" s="2724" t="s">
        <v>1333</v>
      </c>
      <c r="E13" s="2720" t="s">
        <v>1325</v>
      </c>
      <c r="F13" s="2720" t="s">
        <v>1324</v>
      </c>
      <c r="G13" s="2724" t="s">
        <v>1318</v>
      </c>
      <c r="H13" s="2724" t="s">
        <v>1329</v>
      </c>
      <c r="I13" s="2724" t="s">
        <v>1317</v>
      </c>
      <c r="J13" s="2897"/>
      <c r="K13" s="2898"/>
    </row>
    <row r="14" spans="1:11" ht="16.5">
      <c r="A14" s="2725" t="s">
        <v>1316</v>
      </c>
      <c r="B14" s="2726">
        <f>典型户型修正!B22</f>
        <v>6153.5</v>
      </c>
      <c r="C14" s="2726">
        <f>结果表!C118</f>
        <v>0</v>
      </c>
      <c r="D14" s="2726">
        <f ca="1">典型户型修正!S22</f>
        <v>12673</v>
      </c>
      <c r="E14" s="2726">
        <f ca="1">ROUND(D14*10000/B14,0)</f>
        <v>20595</v>
      </c>
      <c r="F14" s="2726" t="e">
        <f ca="1">ROUND(D14*10000/C14,0)</f>
        <v>#DIV/0!</v>
      </c>
      <c r="G14" s="2726">
        <f ca="1">D14</f>
        <v>12673</v>
      </c>
      <c r="H14" s="2726" t="str">
        <f>结果表!D124</f>
        <v>——</v>
      </c>
      <c r="I14" s="2726" t="str">
        <f>结果表!D126</f>
        <v>——</v>
      </c>
      <c r="J14" s="2897"/>
      <c r="K14" s="2898"/>
    </row>
    <row r="15" spans="1:11" ht="16.5">
      <c r="A15" s="2725" t="s">
        <v>1315</v>
      </c>
      <c r="B15" s="2727"/>
      <c r="C15" s="2727"/>
      <c r="D15" s="2727"/>
      <c r="E15" s="2726" t="e">
        <f t="shared" ref="E15:E23" si="0">ROUND(D15*10000/B15,0)</f>
        <v>#DIV/0!</v>
      </c>
      <c r="F15" s="2726" t="e">
        <f t="shared" ref="F15:F23" si="1">ROUND(D15*10000/C15,0)</f>
        <v>#DIV/0!</v>
      </c>
      <c r="G15" s="1494">
        <f>D15</f>
        <v>0</v>
      </c>
      <c r="H15" s="1494"/>
      <c r="I15" s="2727"/>
      <c r="J15" s="2897"/>
      <c r="K15" s="2898"/>
    </row>
    <row r="16" spans="1:11" ht="16.5">
      <c r="A16" s="2725" t="s">
        <v>1314</v>
      </c>
      <c r="B16" s="2727"/>
      <c r="C16" s="2727"/>
      <c r="D16" s="2727"/>
      <c r="E16" s="2726" t="e">
        <f t="shared" si="0"/>
        <v>#DIV/0!</v>
      </c>
      <c r="F16" s="2726" t="e">
        <f t="shared" si="1"/>
        <v>#DIV/0!</v>
      </c>
      <c r="G16" s="1494"/>
      <c r="H16" s="1494"/>
      <c r="I16" s="2727"/>
      <c r="J16" s="2898"/>
      <c r="K16" s="2898"/>
    </row>
    <row r="17" spans="1:11" ht="16.5">
      <c r="A17" s="2725" t="s">
        <v>1313</v>
      </c>
      <c r="B17" s="2727"/>
      <c r="C17" s="2727"/>
      <c r="D17" s="2727"/>
      <c r="E17" s="2726" t="e">
        <f t="shared" si="0"/>
        <v>#DIV/0!</v>
      </c>
      <c r="F17" s="2726" t="e">
        <f t="shared" si="1"/>
        <v>#DIV/0!</v>
      </c>
      <c r="G17" s="1494"/>
      <c r="H17" s="1494"/>
      <c r="I17" s="2727"/>
      <c r="J17" s="2898"/>
      <c r="K17" s="2898"/>
    </row>
    <row r="18" spans="1:11" ht="16.5">
      <c r="A18" s="2725" t="s">
        <v>1312</v>
      </c>
      <c r="B18" s="2727"/>
      <c r="C18" s="2727"/>
      <c r="D18" s="2727"/>
      <c r="E18" s="2726" t="e">
        <f t="shared" si="0"/>
        <v>#DIV/0!</v>
      </c>
      <c r="F18" s="2726" t="e">
        <f t="shared" si="1"/>
        <v>#DIV/0!</v>
      </c>
      <c r="G18" s="2727"/>
      <c r="H18" s="2727"/>
      <c r="I18" s="2727"/>
      <c r="J18" s="2898"/>
      <c r="K18" s="2898"/>
    </row>
    <row r="19" spans="1:11" ht="16.5">
      <c r="A19" s="2725" t="s">
        <v>1311</v>
      </c>
      <c r="B19" s="2727"/>
      <c r="C19" s="2727"/>
      <c r="D19" s="2727"/>
      <c r="E19" s="2726" t="e">
        <f t="shared" si="0"/>
        <v>#DIV/0!</v>
      </c>
      <c r="F19" s="2726" t="e">
        <f t="shared" si="1"/>
        <v>#DIV/0!</v>
      </c>
      <c r="G19" s="2727"/>
      <c r="H19" s="2727"/>
      <c r="I19" s="2727"/>
      <c r="J19" s="2898"/>
      <c r="K19" s="2898"/>
    </row>
    <row r="20" spans="1:11" ht="16.5">
      <c r="A20" s="2725" t="s">
        <v>1310</v>
      </c>
      <c r="B20" s="2727"/>
      <c r="C20" s="2727"/>
      <c r="D20" s="2727"/>
      <c r="E20" s="2726" t="e">
        <f t="shared" si="0"/>
        <v>#DIV/0!</v>
      </c>
      <c r="F20" s="2726" t="e">
        <f t="shared" si="1"/>
        <v>#DIV/0!</v>
      </c>
      <c r="G20" s="2727"/>
      <c r="H20" s="2727"/>
      <c r="I20" s="2727"/>
      <c r="J20" s="2898"/>
      <c r="K20" s="2898"/>
    </row>
    <row r="21" spans="1:11" ht="16.5">
      <c r="A21" s="2725" t="s">
        <v>1309</v>
      </c>
      <c r="B21" s="2727"/>
      <c r="C21" s="2727"/>
      <c r="D21" s="2727"/>
      <c r="E21" s="2726" t="e">
        <f t="shared" si="0"/>
        <v>#DIV/0!</v>
      </c>
      <c r="F21" s="2726" t="e">
        <f t="shared" si="1"/>
        <v>#DIV/0!</v>
      </c>
      <c r="G21" s="2727"/>
      <c r="H21" s="2727"/>
      <c r="I21" s="2727"/>
      <c r="J21" s="2898"/>
      <c r="K21" s="2898"/>
    </row>
    <row r="22" spans="1:11" ht="16.5">
      <c r="A22" s="2725" t="s">
        <v>1308</v>
      </c>
      <c r="B22" s="2727"/>
      <c r="C22" s="2727"/>
      <c r="D22" s="2727"/>
      <c r="E22" s="2726" t="e">
        <f t="shared" si="0"/>
        <v>#DIV/0!</v>
      </c>
      <c r="F22" s="2726" t="e">
        <f t="shared" si="1"/>
        <v>#DIV/0!</v>
      </c>
      <c r="G22" s="2727"/>
      <c r="H22" s="2727"/>
      <c r="I22" s="2727"/>
      <c r="J22" s="2898"/>
      <c r="K22" s="2898"/>
    </row>
    <row r="23" spans="1:11" ht="16.5">
      <c r="A23" s="2725" t="s">
        <v>1307</v>
      </c>
      <c r="B23" s="2727"/>
      <c r="C23" s="2727"/>
      <c r="D23" s="2727"/>
      <c r="E23" s="2728" t="e">
        <f t="shared" si="0"/>
        <v>#DIV/0!</v>
      </c>
      <c r="F23" s="2728" t="e">
        <f t="shared" si="1"/>
        <v>#DIV/0!</v>
      </c>
      <c r="G23" s="2727"/>
      <c r="H23" s="2727"/>
      <c r="I23" s="2727"/>
      <c r="J23" s="2898"/>
      <c r="K23" s="2898"/>
    </row>
    <row r="24" spans="1:11">
      <c r="A24" s="2898"/>
      <c r="B24" s="2898"/>
      <c r="C24" s="2898"/>
      <c r="D24" s="2898"/>
      <c r="E24" s="2898"/>
      <c r="F24" s="2898"/>
      <c r="G24" s="2898"/>
      <c r="H24" s="2898"/>
      <c r="I24" s="2898"/>
      <c r="J24" s="2898"/>
      <c r="K24" s="2898"/>
    </row>
    <row r="25" spans="1:11">
      <c r="A25" s="2898"/>
      <c r="B25" s="2898"/>
      <c r="C25" s="2898"/>
      <c r="D25" s="2898"/>
      <c r="E25" s="2898"/>
      <c r="F25" s="2898"/>
      <c r="G25" s="2898"/>
      <c r="H25" s="2898"/>
      <c r="I25" s="2898"/>
      <c r="J25" s="2898"/>
      <c r="K25" s="2898"/>
    </row>
    <row r="26" spans="1:11">
      <c r="A26" s="2898"/>
      <c r="B26" s="2898"/>
      <c r="C26" s="2898"/>
      <c r="D26" s="2898"/>
      <c r="E26" s="2898"/>
      <c r="F26" s="2898"/>
      <c r="G26" s="2898"/>
      <c r="H26" s="2898"/>
      <c r="I26" s="2898"/>
      <c r="J26" s="2898"/>
      <c r="K26" s="289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14" sqref="E14"/>
    </sheetView>
  </sheetViews>
  <sheetFormatPr defaultColWidth="12.625" defaultRowHeight="21.75" customHeight="1"/>
  <cols>
    <col min="1" max="2" width="12.625" style="1932"/>
    <col min="3" max="4" width="12.625" style="1932" customWidth="1"/>
    <col min="5" max="9" width="12.625" style="1932"/>
    <col min="10" max="11" width="12.625" style="732" customWidth="1"/>
    <col min="12" max="12" width="12.625" style="732"/>
    <col min="13" max="13" width="14.125" style="732" bestFit="1" customWidth="1"/>
    <col min="14" max="26" width="12.625" style="732"/>
    <col min="27" max="35" width="12.625" style="1931"/>
    <col min="36" max="16384" width="12.625" style="1932"/>
  </cols>
  <sheetData>
    <row r="1" spans="1:12" ht="21.75" customHeight="1" thickBot="1">
      <c r="A1" s="1815" t="s">
        <v>1947</v>
      </c>
      <c r="B1" s="1926"/>
      <c r="C1" s="1927" t="s">
        <v>3110</v>
      </c>
      <c r="D1" s="1926"/>
      <c r="E1" s="1926"/>
      <c r="F1" s="1928" t="s">
        <v>1948</v>
      </c>
      <c r="G1" s="1739" t="s">
        <v>3096</v>
      </c>
      <c r="H1" s="1929" t="str">
        <f>IF(G1="现房","——","估价对象范围")</f>
        <v>——</v>
      </c>
      <c r="I1" s="1930" t="s">
        <v>3097</v>
      </c>
    </row>
    <row r="2" spans="1:12" ht="21.75" customHeight="1" thickBot="1">
      <c r="A2" s="3257" t="str">
        <f>项目基本情况!S2</f>
        <v>山西省太原市平阳路1号1幢1层A号、2层A号、3层A号共三套商业用房房地产房地产</v>
      </c>
      <c r="B2" s="3258"/>
      <c r="C2" s="3258"/>
      <c r="D2" s="3258"/>
      <c r="E2" s="3258"/>
      <c r="F2" s="3258"/>
      <c r="G2" s="3258"/>
      <c r="H2" s="3258"/>
      <c r="I2" s="3259"/>
    </row>
    <row r="3" spans="1:12" ht="12.75">
      <c r="A3" s="3261" t="s">
        <v>1949</v>
      </c>
      <c r="B3" s="3262"/>
      <c r="C3" s="3262"/>
      <c r="D3" s="3262"/>
      <c r="E3" s="3262"/>
      <c r="F3" s="3262"/>
      <c r="G3" s="3262"/>
      <c r="H3" s="3262"/>
      <c r="I3" s="3262"/>
    </row>
    <row r="4" spans="1:12" ht="14.25">
      <c r="A4" s="1933" t="s">
        <v>1950</v>
      </c>
      <c r="B4" s="1934" t="s">
        <v>1951</v>
      </c>
      <c r="C4" s="1935" t="s">
        <v>3205</v>
      </c>
      <c r="D4" s="1935" t="s">
        <v>3092</v>
      </c>
      <c r="E4" s="3266" t="s">
        <v>1952</v>
      </c>
      <c r="F4" s="3267"/>
      <c r="G4" s="3267"/>
      <c r="H4" s="3267"/>
      <c r="I4" s="326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2" t="s">
        <v>1953</v>
      </c>
      <c r="B5" s="3260">
        <v>25</v>
      </c>
      <c r="C5" s="3263"/>
      <c r="D5" s="3251"/>
      <c r="E5" s="136" t="s">
        <v>1954</v>
      </c>
      <c r="F5" s="1936"/>
      <c r="G5" s="1936"/>
      <c r="H5" s="1936"/>
      <c r="I5" s="1550"/>
    </row>
    <row r="6" spans="1:12" ht="12.75">
      <c r="A6" s="3202"/>
      <c r="B6" s="3260"/>
      <c r="C6" s="3265"/>
      <c r="D6" s="3251"/>
      <c r="E6" s="136" t="s">
        <v>1955</v>
      </c>
      <c r="F6" s="1936"/>
      <c r="G6" s="1936"/>
      <c r="H6" s="1936"/>
      <c r="I6" s="1550"/>
    </row>
    <row r="7" spans="1:12" ht="12.75">
      <c r="A7" s="3202"/>
      <c r="B7" s="3260"/>
      <c r="C7" s="3264"/>
      <c r="D7" s="3251"/>
      <c r="E7" s="136" t="s">
        <v>1956</v>
      </c>
      <c r="F7" s="1936"/>
      <c r="G7" s="1936"/>
      <c r="H7" s="1936"/>
      <c r="I7" s="1550"/>
    </row>
    <row r="8" spans="1:12" ht="12.75">
      <c r="A8" s="3202" t="s">
        <v>1957</v>
      </c>
      <c r="B8" s="3260">
        <v>15</v>
      </c>
      <c r="C8" s="3263"/>
      <c r="D8" s="3251"/>
      <c r="E8" s="136" t="s">
        <v>1958</v>
      </c>
      <c r="F8" s="1936"/>
      <c r="G8" s="1936"/>
      <c r="H8" s="1936"/>
      <c r="I8" s="1550"/>
    </row>
    <row r="9" spans="1:12" ht="12.75">
      <c r="A9" s="3202"/>
      <c r="B9" s="3260"/>
      <c r="C9" s="3264"/>
      <c r="D9" s="3251"/>
      <c r="E9" s="136" t="s">
        <v>1959</v>
      </c>
      <c r="F9" s="1936"/>
      <c r="G9" s="1936"/>
      <c r="H9" s="1936"/>
      <c r="I9" s="1550"/>
    </row>
    <row r="10" spans="1:12" ht="12.75">
      <c r="A10" s="3202" t="s">
        <v>1960</v>
      </c>
      <c r="B10" s="3260">
        <v>15</v>
      </c>
      <c r="C10" s="3263"/>
      <c r="D10" s="3251"/>
      <c r="E10" s="136" t="s">
        <v>1961</v>
      </c>
      <c r="F10" s="1936"/>
      <c r="G10" s="1936"/>
      <c r="H10" s="1936"/>
      <c r="I10" s="1550"/>
    </row>
    <row r="11" spans="1:12" ht="12.75">
      <c r="A11" s="3202"/>
      <c r="B11" s="3260"/>
      <c r="C11" s="3264"/>
      <c r="D11" s="3251"/>
      <c r="E11" s="136" t="s">
        <v>1962</v>
      </c>
      <c r="F11" s="1936"/>
      <c r="G11" s="1936"/>
      <c r="H11" s="1936"/>
      <c r="I11" s="1550"/>
    </row>
    <row r="12" spans="1:12" ht="12.75">
      <c r="A12" s="3202" t="s">
        <v>1963</v>
      </c>
      <c r="B12" s="3260">
        <v>15</v>
      </c>
      <c r="C12" s="3263"/>
      <c r="D12" s="3251"/>
      <c r="E12" s="136" t="s">
        <v>1964</v>
      </c>
      <c r="F12" s="1936"/>
      <c r="G12" s="1936"/>
      <c r="H12" s="1936"/>
      <c r="I12" s="1550"/>
    </row>
    <row r="13" spans="1:12" ht="12.75">
      <c r="A13" s="3202"/>
      <c r="B13" s="3260"/>
      <c r="C13" s="3264"/>
      <c r="D13" s="3251"/>
      <c r="E13" s="136" t="s">
        <v>1965</v>
      </c>
      <c r="F13" s="1936"/>
      <c r="G13" s="1936"/>
      <c r="H13" s="1936"/>
      <c r="I13" s="1550"/>
    </row>
    <row r="14" spans="1:12" ht="12.75">
      <c r="A14" s="3202" t="s">
        <v>1966</v>
      </c>
      <c r="B14" s="3260">
        <v>30</v>
      </c>
      <c r="C14" s="3263">
        <v>6</v>
      </c>
      <c r="D14" s="3251">
        <v>4</v>
      </c>
      <c r="E14" s="136" t="s">
        <v>1967</v>
      </c>
      <c r="F14" s="1936"/>
      <c r="G14" s="1936"/>
      <c r="H14" s="1936"/>
      <c r="I14" s="1550"/>
    </row>
    <row r="15" spans="1:12" ht="12.75">
      <c r="A15" s="3202"/>
      <c r="B15" s="3260"/>
      <c r="C15" s="3265"/>
      <c r="D15" s="3251"/>
      <c r="E15" s="136" t="s">
        <v>1968</v>
      </c>
      <c r="F15" s="1936"/>
      <c r="G15" s="1936"/>
      <c r="H15" s="1936"/>
      <c r="I15" s="1550"/>
    </row>
    <row r="16" spans="1:12" ht="12.75">
      <c r="A16" s="3202"/>
      <c r="B16" s="3260"/>
      <c r="C16" s="3264"/>
      <c r="D16" s="3251"/>
      <c r="E16" s="136" t="s">
        <v>1969</v>
      </c>
      <c r="F16" s="1936"/>
      <c r="G16" s="1936"/>
      <c r="H16" s="1936"/>
      <c r="I16" s="1550"/>
    </row>
    <row r="17" spans="1:36" ht="15">
      <c r="A17" s="1937" t="s">
        <v>1970</v>
      </c>
      <c r="B17" s="60"/>
      <c r="C17" s="137">
        <f>SUM(C5:C16)</f>
        <v>6</v>
      </c>
      <c r="D17" s="137">
        <f>SUM(D5:D16)</f>
        <v>4</v>
      </c>
      <c r="E17" s="134"/>
      <c r="F17" s="134"/>
      <c r="G17" s="134"/>
      <c r="H17" s="134"/>
      <c r="I17" s="134"/>
      <c r="K17" s="308"/>
      <c r="L17" s="308" t="s">
        <v>1971</v>
      </c>
      <c r="M17" s="308" t="s">
        <v>1972</v>
      </c>
    </row>
    <row r="18" spans="1:36" ht="31.9" customHeight="1" thickBot="1">
      <c r="A18" s="1938" t="s">
        <v>1973</v>
      </c>
      <c r="B18" s="1939"/>
      <c r="C18" s="138">
        <f>ROUND(C17/SUM(C17:D17),2)</f>
        <v>0.6</v>
      </c>
      <c r="D18" s="138">
        <f>1-C18</f>
        <v>0.4</v>
      </c>
      <c r="E18" s="3282" t="s">
        <v>2869</v>
      </c>
      <c r="F18" s="3283"/>
      <c r="G18" s="3283"/>
      <c r="H18" s="3283"/>
      <c r="I18" s="3283"/>
      <c r="K18" s="308" t="s">
        <v>1974</v>
      </c>
      <c r="L18" s="308">
        <f>IF(C1="",'数据-汇总表'!E3,SUMIF(项目类型,C1,'数据-汇总表'!E17:E26)+SUMIF(项目类型,C1,'数据-汇总表'!I17:I26))</f>
        <v>0</v>
      </c>
      <c r="M18" s="308">
        <f>IF(C1="",'数据-汇总表'!E3,SUMIF(项目类型,C1,'数据-汇总表'!E17:E26))</f>
        <v>0</v>
      </c>
    </row>
    <row r="19" spans="1:36" ht="15">
      <c r="A19" s="1940" t="s">
        <v>1975</v>
      </c>
      <c r="B19" s="1941" t="s">
        <v>1976</v>
      </c>
      <c r="C19" s="139">
        <f ca="1">SUMIF(INDIRECT("'"&amp;C4&amp;"'"&amp;"!A:A"),结果表!B19,INDIRECT("'"&amp;C4&amp;"'"&amp;"!B:B"))</f>
        <v>6736</v>
      </c>
      <c r="D19" s="140">
        <f ca="1">SUMIF(INDIRECT("'"&amp;D4&amp;"'"&amp;"!A:A"),结果表!B19,INDIRECT("'"&amp;D4&amp;"'"&amp;"!B:B"))</f>
        <v>4367</v>
      </c>
      <c r="E19" s="1940" t="s">
        <v>1977</v>
      </c>
      <c r="F19" s="1941" t="s">
        <v>1976</v>
      </c>
      <c r="G19" s="141">
        <f ca="1">ROUND(C19*$C$18+D19*$D$18,0)</f>
        <v>5788</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2" t="s">
        <v>1980</v>
      </c>
      <c r="C20" s="142">
        <f ca="1">SUMIF(INDIRECT("'"&amp;C4&amp;"'"&amp;"!A:A"),结果表!B20,INDIRECT("'"&amp;C4&amp;"'"&amp;"!B:B"))</f>
        <v>34472</v>
      </c>
      <c r="D20" s="143">
        <f ca="1">SUMIF(INDIRECT("'"&amp;D4&amp;"'"&amp;"!A:A"),结果表!B20,INDIRECT("'"&amp;D4&amp;"'"&amp;"!B:B"))</f>
        <v>22347</v>
      </c>
      <c r="E20" s="1943"/>
      <c r="F20" s="1152" t="s">
        <v>1980</v>
      </c>
      <c r="G20" s="144">
        <f ca="1">ROUND(C20*$C$18+D20*$D$18,0)</f>
        <v>29622</v>
      </c>
      <c r="H20" s="915" t="s">
        <v>1981</v>
      </c>
      <c r="I20" s="134"/>
    </row>
    <row r="21" spans="1:36" ht="15" customHeight="1" thickBot="1">
      <c r="A21" s="935"/>
      <c r="B21" s="1944" t="s">
        <v>1982</v>
      </c>
      <c r="C21" s="726" t="e">
        <f ca="1">ROUND(C19*10000/L19,0)</f>
        <v>#DIV/0!</v>
      </c>
      <c r="D21" s="727" t="e">
        <f ca="1">ROUND(D19*10000/L19,0)</f>
        <v>#DIV/0!</v>
      </c>
      <c r="E21" s="935"/>
      <c r="F21" s="1944" t="s">
        <v>1982</v>
      </c>
      <c r="G21" s="145" t="e">
        <f ca="1">ROUND(G19*10000/L19,0)</f>
        <v>#DIV/0!</v>
      </c>
      <c r="H21" s="1945" t="s">
        <v>1981</v>
      </c>
      <c r="I21" s="134"/>
    </row>
    <row r="22" spans="1:36" ht="15" thickBot="1">
      <c r="A22" s="1867" t="s">
        <v>1983</v>
      </c>
      <c r="B22" s="1946"/>
      <c r="C22" s="1947"/>
      <c r="D22" s="728">
        <f ca="1">IF(C19&lt;D19,D19/C19-1,C19/D19-1)</f>
        <v>0.54247767346004117</v>
      </c>
      <c r="E22" s="134"/>
      <c r="F22" s="134"/>
      <c r="G22" s="134"/>
      <c r="H22" s="134"/>
      <c r="I22" s="134"/>
    </row>
    <row r="23" spans="1:36" ht="13.5" thickBot="1">
      <c r="A23" s="1926"/>
      <c r="B23" s="1926"/>
      <c r="C23" s="1926"/>
      <c r="D23" s="1926"/>
      <c r="E23" s="134"/>
      <c r="F23" s="134"/>
      <c r="G23" s="134"/>
      <c r="H23" s="134"/>
      <c r="I23" s="134"/>
    </row>
    <row r="24" spans="1:36" ht="14.25">
      <c r="A24" s="3275" t="s">
        <v>1984</v>
      </c>
      <c r="B24" s="1941" t="s">
        <v>1976</v>
      </c>
      <c r="C24" s="141">
        <f>IF(B30=0,0,D30)</f>
        <v>0</v>
      </c>
      <c r="D24" s="1948"/>
      <c r="E24" s="134"/>
      <c r="F24" s="134"/>
      <c r="G24" s="134"/>
      <c r="H24" s="134"/>
      <c r="I24" s="134"/>
    </row>
    <row r="25" spans="1:36" ht="14.25">
      <c r="A25" s="3276"/>
      <c r="B25" s="1152"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1" t="s">
        <v>2870</v>
      </c>
      <c r="F30" s="134"/>
      <c r="G30" s="134"/>
      <c r="H30" s="134"/>
      <c r="I30" s="134"/>
    </row>
    <row r="31" spans="1:36" s="2517" customFormat="1" ht="26.45" customHeight="1" thickTop="1" thickBot="1">
      <c r="A31" s="2512"/>
      <c r="B31" s="2513"/>
      <c r="C31" s="2513"/>
      <c r="D31" s="2513"/>
      <c r="E31" s="2513"/>
      <c r="F31" s="2513"/>
      <c r="G31" s="2513"/>
      <c r="H31" s="2513"/>
      <c r="I31" s="2514" t="s">
        <v>2871</v>
      </c>
      <c r="J31" s="2899"/>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2" t="s">
        <v>1990</v>
      </c>
      <c r="B32" s="1953"/>
      <c r="C32" s="149">
        <f ca="1">IF(D32="总价",G19-C24,G20-C25)</f>
        <v>29622</v>
      </c>
      <c r="D32" s="1954"/>
      <c r="E32" s="134"/>
      <c r="F32" s="134"/>
      <c r="G32" s="134"/>
      <c r="H32" s="134"/>
      <c r="I32" s="134"/>
    </row>
    <row r="33" spans="1:15" ht="15">
      <c r="A33" s="892"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252" t="s">
        <v>1997</v>
      </c>
      <c r="B36" s="1966" t="s">
        <v>1998</v>
      </c>
      <c r="C36" s="150"/>
      <c r="D36" s="1967"/>
      <c r="E36" s="1968"/>
      <c r="F36" s="1969"/>
      <c r="G36" s="134"/>
      <c r="H36" s="134"/>
      <c r="I36" s="134"/>
    </row>
    <row r="37" spans="1:15" ht="15.75" thickBot="1">
      <c r="A37" s="3253"/>
      <c r="B37" s="1853" t="s">
        <v>1999</v>
      </c>
      <c r="C37" s="152"/>
      <c r="D37" s="1296"/>
      <c r="E37" s="1296"/>
      <c r="F37" s="1969"/>
      <c r="G37" s="134"/>
      <c r="H37" s="134"/>
      <c r="I37" s="134"/>
    </row>
    <row r="38" spans="1:15" ht="15.75" thickBot="1">
      <c r="A38" s="3254"/>
      <c r="B38" s="1970" t="s">
        <v>2000</v>
      </c>
      <c r="C38" s="681"/>
      <c r="D38" s="1971" t="s">
        <v>2001</v>
      </c>
      <c r="E38" s="1296"/>
      <c r="F38" s="1969"/>
      <c r="G38" s="134"/>
      <c r="H38" s="134"/>
      <c r="I38" s="134"/>
    </row>
    <row r="39" spans="1:15" ht="15">
      <c r="A39" s="1943" t="s">
        <v>2002</v>
      </c>
      <c r="B39" s="1972" t="s">
        <v>2003</v>
      </c>
      <c r="C39" s="1973" t="s">
        <v>2004</v>
      </c>
      <c r="D39" s="1973" t="s">
        <v>2005</v>
      </c>
      <c r="E39" s="1974" t="s">
        <v>2006</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5"/>
      <c r="B43" s="1755"/>
      <c r="C43" s="1755"/>
      <c r="D43" s="1755"/>
      <c r="E43" s="1755"/>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272" t="s">
        <v>2011</v>
      </c>
      <c r="B45" s="3273"/>
      <c r="C45" s="3274"/>
      <c r="D45" s="160" t="e">
        <f ca="1">ROUND(H101*F45,0)</f>
        <v>#REF!</v>
      </c>
      <c r="E45" s="161" t="s">
        <v>2012</v>
      </c>
      <c r="F45" s="162">
        <v>1</v>
      </c>
      <c r="G45" s="163" t="s">
        <v>2013</v>
      </c>
      <c r="H45" s="134"/>
      <c r="I45" s="134"/>
      <c r="J45" s="3189" t="s">
        <v>2014</v>
      </c>
      <c r="K45" s="3189"/>
      <c r="L45" s="3189"/>
      <c r="M45" s="3189"/>
      <c r="N45" s="3189"/>
      <c r="O45" s="3189"/>
    </row>
    <row r="46" spans="1:15" ht="14.25" customHeight="1">
      <c r="A46" s="3269" t="s">
        <v>2015</v>
      </c>
      <c r="B46" s="3270"/>
      <c r="C46" s="3270"/>
      <c r="D46" s="3270"/>
      <c r="E46" s="3270"/>
      <c r="F46" s="3270"/>
      <c r="G46" s="3271"/>
      <c r="H46" s="1985"/>
      <c r="I46" s="164"/>
      <c r="J46" s="2731">
        <v>1</v>
      </c>
      <c r="K46" s="3190" t="s">
        <v>2016</v>
      </c>
      <c r="L46" s="3190"/>
      <c r="M46" s="3191"/>
      <c r="N46" s="3191"/>
      <c r="O46" s="3191"/>
    </row>
    <row r="47" spans="1:15" ht="12" customHeight="1">
      <c r="A47" s="165" t="s">
        <v>2017</v>
      </c>
      <c r="B47" s="166"/>
      <c r="C47" s="167"/>
      <c r="D47" s="1242" t="s">
        <v>2018</v>
      </c>
      <c r="E47" s="308" t="s">
        <v>2019</v>
      </c>
      <c r="F47" s="168" t="s">
        <v>2020</v>
      </c>
      <c r="G47" s="2754" t="s">
        <v>2021</v>
      </c>
      <c r="H47" s="2755"/>
      <c r="I47" s="164"/>
      <c r="J47" s="2731">
        <v>2</v>
      </c>
      <c r="K47" s="3190" t="s">
        <v>2022</v>
      </c>
      <c r="L47" s="3190"/>
      <c r="M47" s="3192">
        <f>'数据-取费表'!B2</f>
        <v>44336</v>
      </c>
      <c r="N47" s="3192"/>
      <c r="O47" s="3192"/>
    </row>
    <row r="48" spans="1:15" ht="25.5">
      <c r="A48" s="3255" t="s">
        <v>2023</v>
      </c>
      <c r="B48" s="3256"/>
      <c r="C48" s="3256"/>
      <c r="D48" s="2537" t="b">
        <f>IF(H48="情况1",0,IF(H48="情况2",D52,IF(H48="情况3",D53,IF(H48="情况4",D54))))</f>
        <v>0</v>
      </c>
      <c r="E48" s="2547" t="str">
        <f>IF(H48="情况4","(销售额-原购置价)×税（费）率","销售额×税（费）率")</f>
        <v>销售额×税（费）率</v>
      </c>
      <c r="F48" s="2756">
        <f>IF(H48="情况1","免征",'数据-取费表'!B41)</f>
        <v>5.6000000000000001E-2</v>
      </c>
      <c r="G48" s="2757" t="s">
        <v>2024</v>
      </c>
      <c r="H48" s="2758"/>
      <c r="I48" s="1985"/>
      <c r="J48" s="2731">
        <v>3</v>
      </c>
      <c r="K48" s="3190" t="s">
        <v>2025</v>
      </c>
      <c r="L48" s="3190"/>
      <c r="M48" s="3193" t="e">
        <f ca="1">H101</f>
        <v>#REF!</v>
      </c>
      <c r="N48" s="3193"/>
      <c r="O48" s="3193"/>
    </row>
    <row r="49" spans="1:35" ht="25.5" customHeight="1">
      <c r="A49" s="2546" t="s">
        <v>2026</v>
      </c>
      <c r="B49" s="3238" t="s">
        <v>2027</v>
      </c>
      <c r="C49" s="3238"/>
      <c r="D49" s="1768">
        <v>0</v>
      </c>
      <c r="E49" s="330" t="s">
        <v>2028</v>
      </c>
      <c r="F49" s="2635" t="s">
        <v>34</v>
      </c>
      <c r="G49" s="3221"/>
      <c r="H49" s="2518" t="s">
        <v>2872</v>
      </c>
      <c r="I49" s="2519"/>
      <c r="J49" s="2731">
        <v>4</v>
      </c>
      <c r="K49" s="3190" t="str">
        <f>IF(项目基本情况!E8="房地产抵押价值","房地产抵押价值","抵押担保权已注销时的房地产抵押价值")</f>
        <v>房地产抵押价值</v>
      </c>
      <c r="L49" s="3190"/>
      <c r="M49" s="3193" t="str">
        <f ca="1">IF(项目基本情况!E8="房地产抵押价值",H107,H109)</f>
        <v>——</v>
      </c>
      <c r="N49" s="3193"/>
      <c r="O49" s="3193"/>
    </row>
    <row r="50" spans="1:35" ht="25.5" customHeight="1">
      <c r="A50" s="2759"/>
      <c r="B50" s="3238" t="s">
        <v>2029</v>
      </c>
      <c r="C50" s="3238"/>
      <c r="D50" s="2760"/>
      <c r="E50" s="338"/>
      <c r="F50" s="2635"/>
      <c r="G50" s="3222"/>
      <c r="H50" s="2520" t="s">
        <v>2873</v>
      </c>
      <c r="I50" s="2519"/>
      <c r="J50" s="3189" t="s">
        <v>2030</v>
      </c>
      <c r="K50" s="3189"/>
      <c r="L50" s="3189"/>
      <c r="M50" s="3189"/>
      <c r="N50" s="3189"/>
      <c r="O50" s="3189"/>
    </row>
    <row r="51" spans="1:35" ht="20.45" customHeight="1">
      <c r="A51" s="2761"/>
      <c r="B51" s="3238" t="s">
        <v>2031</v>
      </c>
      <c r="C51" s="3238"/>
      <c r="D51" s="1242"/>
      <c r="E51" s="333"/>
      <c r="F51" s="2635"/>
      <c r="G51" s="3223"/>
      <c r="H51" s="2520" t="s">
        <v>2874</v>
      </c>
      <c r="I51" s="2519"/>
      <c r="J51" s="2732" t="s">
        <v>2032</v>
      </c>
      <c r="K51" s="3190" t="s">
        <v>2033</v>
      </c>
      <c r="L51" s="3190"/>
      <c r="M51" s="2732" t="s">
        <v>2034</v>
      </c>
      <c r="N51" s="2732" t="s">
        <v>2035</v>
      </c>
      <c r="O51" s="2732" t="s">
        <v>2036</v>
      </c>
    </row>
    <row r="52" spans="1:35" ht="24" customHeight="1">
      <c r="A52" s="2548" t="s">
        <v>2037</v>
      </c>
      <c r="B52" s="3238" t="s">
        <v>2038</v>
      </c>
      <c r="C52" s="3238"/>
      <c r="D52" s="1242" t="e">
        <f ca="1">ROUND(D45*'数据-取费表'!B41/(1+'数据-取费表'!C42),0)</f>
        <v>#REF!</v>
      </c>
      <c r="E52" s="2547" t="s">
        <v>2039</v>
      </c>
      <c r="F52" s="2762">
        <f>'数据-取费表'!B41</f>
        <v>5.6000000000000001E-2</v>
      </c>
      <c r="G52" s="2763"/>
      <c r="H52" s="2752"/>
      <c r="I52" s="1986"/>
      <c r="J52" s="2731">
        <v>1</v>
      </c>
      <c r="K52" s="3215" t="s">
        <v>2040</v>
      </c>
      <c r="L52" s="3215"/>
      <c r="M52" s="2733" t="b">
        <f>D48</f>
        <v>0</v>
      </c>
      <c r="N52" s="2731" t="str">
        <f>E48</f>
        <v>销售额×税（费）率</v>
      </c>
      <c r="O52" s="2734">
        <f>F48</f>
        <v>5.6000000000000001E-2</v>
      </c>
    </row>
    <row r="53" spans="1:35" ht="12" customHeight="1">
      <c r="A53" s="2548" t="s">
        <v>2041</v>
      </c>
      <c r="B53" s="3239" t="s">
        <v>3028</v>
      </c>
      <c r="C53" s="3240"/>
      <c r="D53" s="1242" t="e">
        <f ca="1">ROUND(D45*'数据-取费表'!B41/(1+'数据-取费表'!C42),0)</f>
        <v>#REF!</v>
      </c>
      <c r="E53" s="2547" t="s">
        <v>2039</v>
      </c>
      <c r="F53" s="2762">
        <f>'数据-取费表'!B41</f>
        <v>5.6000000000000001E-2</v>
      </c>
      <c r="G53" s="2763"/>
      <c r="H53" s="2752"/>
      <c r="I53" s="1986"/>
      <c r="J53" s="2731">
        <v>2</v>
      </c>
      <c r="K53" s="3215" t="s">
        <v>2042</v>
      </c>
      <c r="L53" s="3215"/>
      <c r="M53" s="2733" t="e">
        <f t="shared" ref="M53:O54" ca="1" si="0">D55</f>
        <v>#REF!</v>
      </c>
      <c r="N53" s="2731" t="str">
        <f t="shared" si="0"/>
        <v>销售额×税（费）率</v>
      </c>
      <c r="O53" s="2734" t="str">
        <f t="shared" si="0"/>
        <v>免征</v>
      </c>
    </row>
    <row r="54" spans="1:35" ht="12" customHeight="1">
      <c r="A54" s="2548" t="s">
        <v>2043</v>
      </c>
      <c r="B54" s="3239" t="s">
        <v>3029</v>
      </c>
      <c r="C54" s="3240"/>
      <c r="D54" s="1242" t="e">
        <f ca="1">C68</f>
        <v>#REF!</v>
      </c>
      <c r="E54" s="333" t="s">
        <v>2044</v>
      </c>
      <c r="F54" s="2762">
        <f>'数据-取费表'!B41</f>
        <v>5.6000000000000001E-2</v>
      </c>
      <c r="G54" s="2763"/>
      <c r="H54" s="2764"/>
      <c r="I54" s="1986"/>
      <c r="J54" s="2731">
        <v>3</v>
      </c>
      <c r="K54" s="3215" t="s">
        <v>2045</v>
      </c>
      <c r="L54" s="3215"/>
      <c r="M54" s="2733" t="e">
        <f t="shared" ca="1" si="0"/>
        <v>#REF!</v>
      </c>
      <c r="N54" s="2731" t="str">
        <f t="shared" si="0"/>
        <v>增值额×税（费）率</v>
      </c>
      <c r="O54" s="2735" t="str">
        <f t="shared" si="0"/>
        <v>免征</v>
      </c>
    </row>
    <row r="55" spans="1:35" ht="24" customHeight="1">
      <c r="A55" s="3278" t="s">
        <v>2046</v>
      </c>
      <c r="B55" s="3256"/>
      <c r="C55" s="3256"/>
      <c r="D55" s="2537" t="e">
        <f ca="1">IF(H55="个人住宅",0,ROUND(D45*I55,0))</f>
        <v>#REF!</v>
      </c>
      <c r="E55" s="2547" t="s">
        <v>2047</v>
      </c>
      <c r="F55" s="2762" t="str">
        <f>IF(H55="正常",I55,"免征")</f>
        <v>免征</v>
      </c>
      <c r="G55" s="2763"/>
      <c r="H55" s="2758"/>
      <c r="I55" s="170">
        <f>'数据-取费表'!B49</f>
        <v>5.0000000000000001E-4</v>
      </c>
      <c r="J55" s="2731">
        <f>IF(H59="非个人房产","",4)</f>
        <v>4</v>
      </c>
      <c r="K55" s="3215" t="str">
        <f>IF(H59="非个人房产","——","个人所得税")</f>
        <v>个人所得税</v>
      </c>
      <c r="L55" s="3215"/>
      <c r="M55" s="2736" t="e">
        <f ca="1">D59</f>
        <v>#REF!</v>
      </c>
      <c r="N55" s="2218" t="str">
        <f>E59</f>
        <v>差额计税</v>
      </c>
      <c r="O55" s="2737">
        <f>F59</f>
        <v>0.01</v>
      </c>
    </row>
    <row r="56" spans="1:35" ht="24.75">
      <c r="A56" s="3278" t="s">
        <v>2048</v>
      </c>
      <c r="B56" s="3256"/>
      <c r="C56" s="3256"/>
      <c r="D56" s="2537" t="e">
        <f ca="1">IF(H56="个人住宅",D57,D58)</f>
        <v>#REF!</v>
      </c>
      <c r="E56" s="2547" t="s">
        <v>2049</v>
      </c>
      <c r="F56" s="2762" t="str">
        <f>IF(H56="正常",F58,"免征")</f>
        <v>免征</v>
      </c>
      <c r="G56" s="2765" t="s">
        <v>2050</v>
      </c>
      <c r="H56" s="2766"/>
      <c r="I56" s="1987"/>
      <c r="J56" s="2731" t="str">
        <f>IF(项目基本情况!K6="上海银行",IF(J55="",4,J55+1),"")</f>
        <v/>
      </c>
      <c r="K56" s="3196" t="str">
        <f>IF(项目基本情况!K6="上海银行","其他处置费用","")</f>
        <v/>
      </c>
      <c r="L56" s="3197"/>
      <c r="M56" s="2733" t="str">
        <f>IF(项目基本情况!K6="上海银行",M69,"")</f>
        <v/>
      </c>
      <c r="N56" s="3196" t="str">
        <f>IF(项目基本情况!K6="上海银行","包含处置中涉及的律师、诉讼、拍卖、评估等费用","")</f>
        <v/>
      </c>
      <c r="O56" s="3199"/>
    </row>
    <row r="57" spans="1:35" ht="12.75">
      <c r="A57" s="2548" t="s">
        <v>2026</v>
      </c>
      <c r="B57" s="3239" t="s">
        <v>2051</v>
      </c>
      <c r="C57" s="3240"/>
      <c r="D57" s="1768">
        <v>0</v>
      </c>
      <c r="E57" s="330" t="s">
        <v>2028</v>
      </c>
      <c r="F57" s="308"/>
      <c r="G57" s="2763"/>
      <c r="H57" s="2767"/>
      <c r="I57" s="1987"/>
      <c r="J57" s="3215">
        <f>IF(AND(J55="",J56=""),4,IF(项目基本情况!K6="上海银行",结果表!J56+1,结果表!J55+1))</f>
        <v>5</v>
      </c>
      <c r="K57" s="3215" t="s">
        <v>2052</v>
      </c>
      <c r="L57" s="2738" t="s">
        <v>2053</v>
      </c>
      <c r="M57" s="2739"/>
      <c r="N57" s="2740">
        <f ca="1">SUMIF(M52:M56,"&lt;9e307")</f>
        <v>0</v>
      </c>
      <c r="O57" s="2741"/>
      <c r="P57" s="2900" t="e">
        <f ca="1">N57/M49</f>
        <v>#VALUE!</v>
      </c>
    </row>
    <row r="58" spans="1:35" ht="24.75">
      <c r="A58" s="2548" t="s">
        <v>2037</v>
      </c>
      <c r="B58" s="3239" t="s">
        <v>2054</v>
      </c>
      <c r="C58" s="3238"/>
      <c r="D58" s="2537" t="e">
        <f ca="1">IF(H58="转让取得",C81,C97)</f>
        <v>#REF!</v>
      </c>
      <c r="E58" s="2547" t="s">
        <v>2049</v>
      </c>
      <c r="F58" s="308" t="s">
        <v>34</v>
      </c>
      <c r="G58" s="2763"/>
      <c r="H58" s="2766"/>
      <c r="I58" s="1987"/>
      <c r="J58" s="3215"/>
      <c r="K58" s="3215"/>
      <c r="L58" s="2738" t="s">
        <v>2055</v>
      </c>
      <c r="M58" s="2742"/>
      <c r="N58" s="2743" t="str">
        <f ca="1">NUMBERSTRING(INT(N57*10000),2)&amp;"元整"</f>
        <v>零元整</v>
      </c>
      <c r="O58" s="2744"/>
    </row>
    <row r="59" spans="1:35" ht="24.75" thickBot="1">
      <c r="A59" s="3219" t="s">
        <v>2056</v>
      </c>
      <c r="B59" s="3220"/>
      <c r="C59" s="3220"/>
      <c r="D59" s="2768" t="e">
        <f ca="1">IF(H59="非个人房产","——",IF(H59="个人住宅（满五唯一有凭证）",0,IF(H59="个人其他（无凭证）",ROUND(D45*F59,0),ROUND(C67*F59,0))))</f>
        <v>#REF!</v>
      </c>
      <c r="E59" s="2769" t="str">
        <f>IF(H59="非个人房产","——",IF(H59="个人其他（无凭证）","销售额×税（费）率",IF(H59="个人住宅（满五唯一有凭证）","免征","差额计税")))</f>
        <v>差额计税</v>
      </c>
      <c r="F59" s="2770">
        <f>IF(OR(H59="非个人房产",H59="个人住宅（满五唯一有凭证）"),"——",IF(H59="个人其他（有凭证）",20%,1%))</f>
        <v>0.01</v>
      </c>
      <c r="G59" s="2771" t="s">
        <v>2050</v>
      </c>
      <c r="H59" s="2522"/>
      <c r="I59" s="2521" t="s">
        <v>2875</v>
      </c>
      <c r="J59" s="3217">
        <f>J57+1</f>
        <v>6</v>
      </c>
      <c r="K59" s="3215" t="s">
        <v>2057</v>
      </c>
      <c r="L59" s="2731" t="s">
        <v>2053</v>
      </c>
      <c r="M59" s="2745"/>
      <c r="N59" s="2746" t="e">
        <f ca="1">M49-N57</f>
        <v>#VALUE!</v>
      </c>
      <c r="O59" s="2747"/>
    </row>
    <row r="60" spans="1:35" ht="12" customHeight="1">
      <c r="A60" s="1988"/>
      <c r="B60" s="1926"/>
      <c r="C60" s="1926"/>
      <c r="D60" s="1926"/>
      <c r="E60" s="1756"/>
      <c r="F60" s="1987"/>
      <c r="G60" s="1987"/>
      <c r="H60" s="1989"/>
      <c r="I60" s="134"/>
      <c r="J60" s="3218"/>
      <c r="K60" s="3215"/>
      <c r="L60" s="2738" t="s">
        <v>2055</v>
      </c>
      <c r="M60" s="2742"/>
      <c r="N60" s="2743" t="e">
        <f ca="1">NUMBERSTRING(INT(N59*10000),2)&amp;"元整"</f>
        <v>#VALUE!</v>
      </c>
      <c r="O60" s="2744"/>
    </row>
    <row r="61" spans="1:35" ht="13.5" thickBot="1">
      <c r="A61" s="3277" t="s">
        <v>2058</v>
      </c>
      <c r="B61" s="3277"/>
      <c r="C61" s="3277"/>
      <c r="D61" s="3277"/>
      <c r="E61" s="3277"/>
      <c r="F61" s="1987"/>
      <c r="G61" s="1987"/>
      <c r="H61" s="1989"/>
      <c r="I61" s="134"/>
      <c r="J61" s="2731">
        <f>J59+1</f>
        <v>7</v>
      </c>
      <c r="K61" s="3215" t="s">
        <v>2059</v>
      </c>
      <c r="L61" s="3215"/>
      <c r="M61" s="2748"/>
      <c r="N61" s="2749" t="e">
        <f ca="1">ROUND(N59*10000/'数据-汇总表'!E3,0)</f>
        <v>#VALUE!</v>
      </c>
      <c r="O61" s="2750"/>
    </row>
    <row r="62" spans="1:35" ht="12.75">
      <c r="A62" s="3234" t="s">
        <v>2060</v>
      </c>
      <c r="B62" s="3235"/>
      <c r="C62" s="2199"/>
      <c r="D62" s="2199" t="s">
        <v>2061</v>
      </c>
      <c r="E62" s="171" t="s">
        <v>2062</v>
      </c>
      <c r="F62" s="1987"/>
      <c r="G62" s="1987"/>
      <c r="H62" s="1989"/>
      <c r="I62" s="134"/>
    </row>
    <row r="63" spans="1:35" ht="12.75">
      <c r="A63" s="178" t="s">
        <v>775</v>
      </c>
      <c r="B63" s="172" t="s">
        <v>2063</v>
      </c>
      <c r="C63" s="2772" t="e">
        <f ca="1">ROUND((C64+C65)/(1+'数据-取费表'!C42),0)</f>
        <v>#REF!</v>
      </c>
      <c r="D63" s="172"/>
      <c r="E63" s="173"/>
      <c r="F63" s="1987"/>
      <c r="G63" s="1987"/>
      <c r="H63" s="1989"/>
      <c r="I63" s="134"/>
      <c r="J63" s="3198" t="s">
        <v>2064</v>
      </c>
      <c r="K63" s="1495" t="s">
        <v>2065</v>
      </c>
      <c r="L63" s="1495" t="e">
        <f ca="1">IF(M49&gt;10000,M49*0.5%,IF(AND(M49&gt;1000,M49&lt;=10000),M49*1%,IF(AND(M49&gt;100,M49&lt;=1000),M49*3%,IF(AND(M49&gt;10,M49&lt;=100),M49*5%,M49*8%))))</f>
        <v>#VALUE!</v>
      </c>
      <c r="M63" s="308" t="e">
        <f ca="1">ROUND(L63,1)</f>
        <v>#VALUE!</v>
      </c>
      <c r="N63" s="2751"/>
      <c r="Z63" s="1931"/>
      <c r="AI63" s="1932"/>
    </row>
    <row r="64" spans="1:35" ht="14.25" customHeight="1">
      <c r="A64" s="174" t="s">
        <v>770</v>
      </c>
      <c r="B64" s="175" t="s">
        <v>2066</v>
      </c>
      <c r="C64" s="2773" t="e">
        <f ca="1">D45</f>
        <v>#REF!</v>
      </c>
      <c r="D64" s="175" t="s">
        <v>32</v>
      </c>
      <c r="E64" s="177"/>
      <c r="F64" s="1987"/>
      <c r="G64" s="1987"/>
      <c r="H64" s="1989"/>
      <c r="I64" s="134"/>
      <c r="J64" s="3198"/>
      <c r="K64" s="1495" t="s">
        <v>2067</v>
      </c>
      <c r="L64" s="149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2" t="s">
        <v>2068</v>
      </c>
      <c r="Z64" s="1931"/>
      <c r="AI64" s="1932"/>
    </row>
    <row r="65" spans="1:35" ht="14.25" customHeight="1">
      <c r="A65" s="174" t="s">
        <v>771</v>
      </c>
      <c r="B65" s="175" t="s">
        <v>2069</v>
      </c>
      <c r="C65" s="2774"/>
      <c r="D65" s="175"/>
      <c r="E65" s="177"/>
      <c r="F65" s="1987"/>
      <c r="G65" s="1987"/>
      <c r="H65" s="1989"/>
      <c r="I65" s="134"/>
      <c r="J65" s="3198"/>
      <c r="K65" s="1495" t="s">
        <v>2070</v>
      </c>
      <c r="L65" s="1495" t="e">
        <f ca="1">IF(M49&gt;1000,M49*0.1%,IF(AND(M49&gt;500,M49&lt;=1000),M49*0.5%,IF(AND(M49&gt;50,M49&lt;=500),M49*1%,IF(AND(M49&gt;1,M49&lt;=50),M49*1.5%))))</f>
        <v>#VALUE!</v>
      </c>
      <c r="M65" s="308" t="e">
        <f t="shared" ca="1" si="1"/>
        <v>#VALUE!</v>
      </c>
      <c r="N65" s="2752" t="s">
        <v>2068</v>
      </c>
      <c r="Z65" s="1931"/>
      <c r="AI65" s="1932"/>
    </row>
    <row r="66" spans="1:35" ht="14.25" customHeight="1">
      <c r="A66" s="178" t="s">
        <v>772</v>
      </c>
      <c r="B66" s="179" t="s">
        <v>2071</v>
      </c>
      <c r="C66" s="2775"/>
      <c r="D66" s="179" t="s">
        <v>32</v>
      </c>
      <c r="E66" s="1502" t="s">
        <v>1337</v>
      </c>
      <c r="F66" s="1987"/>
      <c r="G66" s="1987"/>
      <c r="H66" s="1989"/>
      <c r="I66" s="134"/>
      <c r="J66" s="3198"/>
      <c r="K66" s="1495" t="s">
        <v>2072</v>
      </c>
      <c r="L66" s="1495" t="e">
        <f ca="1">M49*0.5%</f>
        <v>#VALUE!</v>
      </c>
      <c r="M66" s="308" t="e">
        <f ca="1">IF(L66&gt;0.5,0.5,ROUND(L66,0))</f>
        <v>#VALUE!</v>
      </c>
      <c r="N66" s="2752" t="s">
        <v>2073</v>
      </c>
      <c r="Z66" s="1931"/>
      <c r="AI66" s="1932"/>
    </row>
    <row r="67" spans="1:35" ht="14.25" customHeight="1">
      <c r="A67" s="178" t="s">
        <v>773</v>
      </c>
      <c r="B67" s="179" t="s">
        <v>2074</v>
      </c>
      <c r="C67" s="2776" t="e">
        <f ca="1">C63-C66</f>
        <v>#REF!</v>
      </c>
      <c r="D67" s="175" t="s">
        <v>32</v>
      </c>
      <c r="E67" s="177"/>
      <c r="F67" s="1987"/>
      <c r="G67" s="1987"/>
      <c r="H67" s="1989"/>
      <c r="I67" s="134"/>
      <c r="J67" s="3198"/>
      <c r="K67" s="1495" t="s">
        <v>2075</v>
      </c>
      <c r="L67" s="149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1"/>
      <c r="Z67" s="1931"/>
      <c r="AI67" s="1932"/>
    </row>
    <row r="68" spans="1:35" ht="14.25" customHeight="1" thickBot="1">
      <c r="A68" s="181" t="s">
        <v>774</v>
      </c>
      <c r="B68" s="182" t="s">
        <v>2076</v>
      </c>
      <c r="C68" s="2777" t="e">
        <f ca="1">IF(C67&lt;=0,0,ROUND(C67*D68,0))</f>
        <v>#REF!</v>
      </c>
      <c r="D68" s="2778">
        <f>'数据-取费表'!B41</f>
        <v>5.6000000000000001E-2</v>
      </c>
      <c r="E68" s="184"/>
      <c r="F68" s="1987"/>
      <c r="G68" s="1987"/>
      <c r="H68" s="1989"/>
      <c r="I68" s="134"/>
      <c r="J68" s="3198"/>
      <c r="K68" s="1495" t="s">
        <v>2077</v>
      </c>
      <c r="L68" s="1495" t="e">
        <f ca="1">IF(M49&gt;10000,M49*0.5%,IF(AND(M49&gt;5000,M49&lt;=10000),M49*1%,IF(AND(M49&gt;1000,M49&lt;=5000),M49*2%,IF(AND(M49&gt;200,M49&lt;=1000),M49*3%,M49*5%))))</f>
        <v>#VALUE!</v>
      </c>
      <c r="M68" s="308" t="e">
        <f ca="1">ROUND(L68,1)</f>
        <v>#VALUE!</v>
      </c>
      <c r="N68" s="2751"/>
      <c r="Z68" s="1931"/>
      <c r="AI68" s="1932"/>
    </row>
    <row r="69" spans="1:35" s="1951" customFormat="1" ht="16.5" customHeight="1">
      <c r="A69" s="1990"/>
      <c r="B69" s="1991"/>
      <c r="C69" s="1992"/>
      <c r="D69" s="1993"/>
      <c r="E69" s="1994"/>
      <c r="F69" s="1756"/>
      <c r="G69" s="1756"/>
      <c r="H69" s="1755"/>
      <c r="I69" s="1926"/>
      <c r="J69" s="3198"/>
      <c r="K69" s="1495" t="s">
        <v>2078</v>
      </c>
      <c r="L69" s="1495"/>
      <c r="M69" s="308" t="e">
        <f ca="1">ROUND(SUM(M63:M68),0)</f>
        <v>#VALUE!</v>
      </c>
      <c r="N69" s="2753" t="e">
        <f ca="1">M69/M49</f>
        <v>#VALUE!</v>
      </c>
      <c r="O69" s="732"/>
      <c r="P69" s="732"/>
      <c r="Q69" s="732"/>
      <c r="R69" s="732"/>
      <c r="S69" s="732"/>
      <c r="T69" s="732"/>
      <c r="U69" s="732"/>
      <c r="V69" s="732"/>
      <c r="W69" s="732"/>
      <c r="X69" s="732"/>
      <c r="Y69" s="732"/>
      <c r="Z69" s="1931"/>
      <c r="AA69" s="1931"/>
      <c r="AB69" s="1931"/>
      <c r="AC69" s="1931"/>
      <c r="AD69" s="1931"/>
      <c r="AE69" s="1931"/>
      <c r="AF69" s="1931"/>
      <c r="AG69" s="1931"/>
      <c r="AH69" s="1931"/>
    </row>
    <row r="70" spans="1:35" s="1996" customFormat="1" ht="15" thickBot="1">
      <c r="A70" s="3242" t="s">
        <v>2079</v>
      </c>
      <c r="B70" s="3243"/>
      <c r="C70" s="3243"/>
      <c r="D70" s="3243"/>
      <c r="E70" s="3243"/>
      <c r="F70" s="3243"/>
      <c r="G70" s="3243"/>
      <c r="H70" s="3243"/>
      <c r="I70" s="1995"/>
      <c r="J70" s="2901"/>
      <c r="K70" s="2901"/>
      <c r="L70" s="2901"/>
      <c r="M70" s="2901"/>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34" t="s">
        <v>2060</v>
      </c>
      <c r="B71" s="3235"/>
      <c r="C71" s="2199"/>
      <c r="D71" s="2199" t="s">
        <v>2061</v>
      </c>
      <c r="E71" s="185" t="s">
        <v>2062</v>
      </c>
      <c r="F71" s="186"/>
      <c r="G71" s="186"/>
      <c r="H71" s="187"/>
      <c r="I71" s="1999"/>
      <c r="J71" s="2901"/>
      <c r="K71" s="2901"/>
      <c r="L71" s="2901"/>
      <c r="M71" s="2901"/>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76" t="e">
        <f ca="1">ROUND(D45/(1+'数据-取费表'!C42),0)</f>
        <v>#REF!</v>
      </c>
      <c r="D72" s="175" t="s">
        <v>32</v>
      </c>
      <c r="E72" s="2544"/>
      <c r="F72" s="2543"/>
      <c r="G72" s="2543"/>
      <c r="H72" s="188"/>
      <c r="I72" s="1999"/>
      <c r="J72" s="2901"/>
      <c r="K72" s="2901"/>
      <c r="L72" s="2901"/>
      <c r="M72" s="2901"/>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76" t="e">
        <f ca="1">C74+C78</f>
        <v>#REF!</v>
      </c>
      <c r="D73" s="175" t="s">
        <v>32</v>
      </c>
      <c r="E73" s="2544"/>
      <c r="F73" s="2543"/>
      <c r="G73" s="2543"/>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2544"/>
      <c r="F74" s="2543"/>
      <c r="G74" s="2543"/>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79"/>
      <c r="D75" s="175" t="s">
        <v>32</v>
      </c>
      <c r="E75" s="190" t="s">
        <v>2084</v>
      </c>
      <c r="F75" s="2780"/>
      <c r="G75" s="190" t="s">
        <v>2085</v>
      </c>
      <c r="H75" s="278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82">
        <v>0.05</v>
      </c>
      <c r="E76" s="3239" t="s">
        <v>2087</v>
      </c>
      <c r="F76" s="3238"/>
      <c r="G76" s="3238"/>
      <c r="H76" s="3241"/>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83">
        <f>'数据-取费表'!B48+'数据-取费表'!B49</f>
        <v>3.0499999999999999E-2</v>
      </c>
      <c r="E77" s="2537" t="s">
        <v>2089</v>
      </c>
      <c r="F77" s="192"/>
      <c r="G77" s="2001"/>
      <c r="H77" s="2545"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84" t="e">
        <f ca="1">ROUND(D45*D78/(1+'数据-取费表'!C42),0)</f>
        <v>#REF!</v>
      </c>
      <c r="D78" s="2785">
        <f>'数据-取费表'!B43</f>
        <v>6.000000000000001E-3</v>
      </c>
      <c r="E78" s="3231" t="s">
        <v>2091</v>
      </c>
      <c r="F78" s="3232"/>
      <c r="G78" s="3232"/>
      <c r="H78" s="3233"/>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2092</v>
      </c>
      <c r="C79" s="2776" t="e">
        <f ca="1">C72-C73</f>
        <v>#REF!</v>
      </c>
      <c r="D79" s="175" t="s">
        <v>32</v>
      </c>
      <c r="E79" s="2544"/>
      <c r="F79" s="2543"/>
      <c r="G79" s="2543"/>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86"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87" t="e">
        <f ca="1">ROUND(IF(C79&lt;=0,0,IF(C80&gt;=200%,C79*60%-C73*35%,IF(C80&gt;=100%,C79*50%-C73*15%,IF(C80&gt;=50%,C79*40%-C73*5%,IF(C80&lt;50%,C79*30%,0))))),0)</f>
        <v>#REF!</v>
      </c>
      <c r="D81" s="278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7"/>
      <c r="B82" s="688"/>
      <c r="C82" s="7"/>
      <c r="D82" s="7"/>
      <c r="E82" s="688"/>
      <c r="F82" s="688"/>
      <c r="G82" s="688"/>
      <c r="H82" s="689"/>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2" t="s">
        <v>2095</v>
      </c>
      <c r="B83" s="3243"/>
      <c r="C83" s="3243"/>
      <c r="D83" s="3243"/>
      <c r="E83" s="3243"/>
      <c r="F83" s="3243"/>
      <c r="G83" s="3243"/>
      <c r="H83" s="3243"/>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34" t="s">
        <v>2060</v>
      </c>
      <c r="B84" s="3235"/>
      <c r="C84" s="2199"/>
      <c r="D84" s="2199" t="s">
        <v>2061</v>
      </c>
      <c r="E84" s="185" t="s">
        <v>2062</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76" t="e">
        <f ca="1">ROUND(D45/(1+'数据-取费表'!C42),0)</f>
        <v>#REF!</v>
      </c>
      <c r="D85" s="175" t="s">
        <v>32</v>
      </c>
      <c r="E85" s="2544"/>
      <c r="F85" s="2543"/>
      <c r="G85" s="2543"/>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76" t="e">
        <f ca="1">IF(H88="仅含出让金",C87+C90+C91+C92+C93+C94,C87+C91+C92+C93+C94)</f>
        <v>#REF!</v>
      </c>
      <c r="D86" s="2789"/>
      <c r="E86" s="2544"/>
      <c r="F86" s="2543"/>
      <c r="G86" s="2543"/>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84">
        <f>C88+C89</f>
        <v>0</v>
      </c>
      <c r="D87" s="2785"/>
      <c r="E87" s="2539"/>
      <c r="F87" s="2540"/>
      <c r="G87" s="2540"/>
      <c r="H87" s="2541"/>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790"/>
      <c r="D88" s="2785"/>
      <c r="E88" s="199" t="s">
        <v>2098</v>
      </c>
      <c r="F88" s="2540"/>
      <c r="G88" s="200" t="s">
        <v>2099</v>
      </c>
      <c r="H88" s="2003"/>
      <c r="I88" s="2000"/>
      <c r="J88" s="2729" t="s">
        <v>3025</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84">
        <f>ROUND(C88*D89,0)</f>
        <v>0</v>
      </c>
      <c r="D89" s="2785">
        <f>'数据-取费表'!B48+'数据-取费表'!B49</f>
        <v>3.0499999999999999E-2</v>
      </c>
      <c r="E89" s="199" t="s">
        <v>2100</v>
      </c>
      <c r="F89" s="2540"/>
      <c r="G89" s="2540"/>
      <c r="H89" s="2541"/>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790"/>
      <c r="D90" s="2785"/>
      <c r="E90" s="199" t="str">
        <f>IF(H88="-","土地取得成本中已包含该笔费用"," ")</f>
        <v xml:space="preserve"> </v>
      </c>
      <c r="F90" s="2540"/>
      <c r="G90" s="3200" t="s">
        <v>2867</v>
      </c>
      <c r="H90" s="3201"/>
      <c r="I90" s="2000"/>
      <c r="J90" s="2729" t="s">
        <v>3026</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84">
        <f>IF(H91="——",成本法!C33,I91)</f>
        <v>0</v>
      </c>
      <c r="D91" s="2785"/>
      <c r="E91" s="3231" t="s">
        <v>2104</v>
      </c>
      <c r="F91" s="3232"/>
      <c r="G91" s="3232"/>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84">
        <f>ROUND((C87+C90+C91)*D92,0)</f>
        <v>0</v>
      </c>
      <c r="D92" s="2791"/>
      <c r="E92" s="3231" t="s">
        <v>2107</v>
      </c>
      <c r="F92" s="3232"/>
      <c r="G92" s="3232"/>
      <c r="H92" s="3233"/>
      <c r="I92" s="2000"/>
      <c r="J92" s="2730" t="s">
        <v>3027</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84" t="e">
        <f ca="1">ROUND(D45*D93/(1+'数据-取费表'!C42),0)</f>
        <v>#REF!</v>
      </c>
      <c r="D93" s="2785">
        <f>'数据-取费表'!B43</f>
        <v>6.000000000000001E-3</v>
      </c>
      <c r="E93" s="3231" t="s">
        <v>2091</v>
      </c>
      <c r="F93" s="3232"/>
      <c r="G93" s="3232"/>
      <c r="H93" s="3233"/>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790">
        <f>ROUND((C87+C90+C91)*D94,0)</f>
        <v>0</v>
      </c>
      <c r="D94" s="2785">
        <v>0.2</v>
      </c>
      <c r="E94" s="3279" t="s">
        <v>2111</v>
      </c>
      <c r="F94" s="3280"/>
      <c r="G94" s="3280"/>
      <c r="H94" s="3281"/>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2092</v>
      </c>
      <c r="C95" s="2776" t="e">
        <f ca="1">ROUND(C85-C86,0)</f>
        <v>#REF!</v>
      </c>
      <c r="D95" s="175" t="s">
        <v>32</v>
      </c>
      <c r="E95" s="2544"/>
      <c r="F95" s="2543"/>
      <c r="G95" s="2543"/>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86"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87" t="e">
        <f ca="1">ROUND(IF(C95&lt;=0,0,IF(C96&gt;=200%,C95*60%-C86*35%,IF(C96&gt;=100%,C95*50%-C86*15%,IF(C96&gt;=50%,C95*40%-C86*5%,IF(C96&lt;50%,C95*30%,0))))),0)</f>
        <v>#REF!</v>
      </c>
      <c r="D97" s="278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34"/>
    </row>
    <row r="99" spans="1:35" ht="21.75" customHeight="1" thickBot="1">
      <c r="A99" s="1979" t="s">
        <v>2112</v>
      </c>
      <c r="B99" s="1926"/>
      <c r="C99" s="1926"/>
      <c r="D99" s="1926"/>
      <c r="E99" s="1756"/>
      <c r="F99" s="1756"/>
      <c r="G99" s="1756"/>
      <c r="H99" s="1755"/>
      <c r="I99" s="134"/>
    </row>
    <row r="100" spans="1:35" ht="18.75" customHeight="1">
      <c r="A100" s="3181" t="s">
        <v>2113</v>
      </c>
      <c r="B100" s="3182"/>
      <c r="C100" s="3182"/>
      <c r="D100" s="3216"/>
      <c r="E100" s="3182" t="s">
        <v>2114</v>
      </c>
      <c r="F100" s="3182"/>
      <c r="G100" s="3182"/>
      <c r="H100" s="3216"/>
      <c r="I100" s="134"/>
    </row>
    <row r="101" spans="1:35" ht="18.75" customHeight="1">
      <c r="A101" s="3224" t="s">
        <v>2115</v>
      </c>
      <c r="B101" s="3225"/>
      <c r="C101" s="2793" t="str">
        <f>C4</f>
        <v>比较法-商业</v>
      </c>
      <c r="D101" s="2794" t="str">
        <f>D4</f>
        <v>收益法 (元)</v>
      </c>
      <c r="E101" s="3194" t="s">
        <v>2116</v>
      </c>
      <c r="F101" s="3195"/>
      <c r="G101" s="2006" t="s">
        <v>2117</v>
      </c>
      <c r="H101" s="2803" t="e">
        <f ca="1">H118</f>
        <v>#REF!</v>
      </c>
      <c r="I101" s="134"/>
    </row>
    <row r="102" spans="1:35" ht="18.75" customHeight="1">
      <c r="A102" s="3226" t="s">
        <v>2118</v>
      </c>
      <c r="B102" s="2792" t="s">
        <v>2117</v>
      </c>
      <c r="C102" s="2793">
        <f ca="1">C19</f>
        <v>6736</v>
      </c>
      <c r="D102" s="2794">
        <f ca="1">D19</f>
        <v>4367</v>
      </c>
      <c r="E102" s="3194"/>
      <c r="F102" s="3195"/>
      <c r="G102" s="2006" t="s">
        <v>2119</v>
      </c>
      <c r="H102" s="2763" t="e">
        <f ca="1">I118</f>
        <v>#REF!</v>
      </c>
      <c r="I102" s="134"/>
    </row>
    <row r="103" spans="1:35" ht="42.75" customHeight="1">
      <c r="A103" s="3226"/>
      <c r="B103" s="2792" t="s">
        <v>2119</v>
      </c>
      <c r="C103" s="2795">
        <f ca="1">C20</f>
        <v>34472</v>
      </c>
      <c r="D103" s="2796">
        <f ca="1">D20</f>
        <v>22347</v>
      </c>
      <c r="E103" s="3187" t="s">
        <v>2120</v>
      </c>
      <c r="F103" s="3188"/>
      <c r="G103" s="2007" t="s">
        <v>2121</v>
      </c>
      <c r="H103" s="2803">
        <f>IF(D36="正常操作",H104+H105+H106,H105+H106)</f>
        <v>0</v>
      </c>
      <c r="I103" s="134"/>
    </row>
    <row r="104" spans="1:35" ht="18.75" customHeight="1">
      <c r="A104" s="3226" t="s">
        <v>2122</v>
      </c>
      <c r="B104" s="2797" t="s">
        <v>2117</v>
      </c>
      <c r="C104" s="2798" t="e">
        <f ca="1">H118</f>
        <v>#REF!</v>
      </c>
      <c r="D104" s="2799"/>
      <c r="E104" s="1853" t="s">
        <v>2123</v>
      </c>
      <c r="F104" s="1844"/>
      <c r="G104" s="2007" t="s">
        <v>2121</v>
      </c>
      <c r="H104" s="2804">
        <f>IF(D36="同一抵押权人同一抵押物续贷",C36&amp;"（续贷，未扣减，详见特别提示）",C36)</f>
        <v>0</v>
      </c>
      <c r="I104" s="134"/>
    </row>
    <row r="105" spans="1:35" ht="18.75" customHeight="1" thickBot="1">
      <c r="A105" s="3236"/>
      <c r="B105" s="2800" t="s">
        <v>2119</v>
      </c>
      <c r="C105" s="2801" t="e">
        <f ca="1">I118</f>
        <v>#REF!</v>
      </c>
      <c r="D105" s="2802"/>
      <c r="E105" s="1853" t="s">
        <v>2124</v>
      </c>
      <c r="F105" s="1844"/>
      <c r="G105" s="2007" t="s">
        <v>2121</v>
      </c>
      <c r="H105" s="2805">
        <f>C37</f>
        <v>0</v>
      </c>
      <c r="I105" s="134"/>
    </row>
    <row r="106" spans="1:35" ht="18.75" customHeight="1">
      <c r="A106" s="1926" t="s">
        <v>2125</v>
      </c>
      <c r="B106" s="1926"/>
      <c r="C106" s="1926"/>
      <c r="D106" s="1926"/>
      <c r="E106" s="2008" t="s">
        <v>2126</v>
      </c>
      <c r="F106" s="1844"/>
      <c r="G106" s="2007" t="s">
        <v>2121</v>
      </c>
      <c r="H106" s="2805">
        <f>C38</f>
        <v>0</v>
      </c>
      <c r="I106" s="134"/>
    </row>
    <row r="107" spans="1:35" ht="18.75" customHeight="1">
      <c r="A107" s="134"/>
      <c r="B107" s="134"/>
      <c r="C107" s="134"/>
      <c r="D107" s="134"/>
      <c r="E107" s="3227" t="str">
        <f>IF(项目基本情况!E8="已注销","——","3.房地产抵押价值")</f>
        <v>3.房地产抵押价值</v>
      </c>
      <c r="F107" s="3195"/>
      <c r="G107" s="2006" t="s">
        <v>2117</v>
      </c>
      <c r="H107" s="2803" t="e">
        <f ca="1">IF(E107="——","——",H101-H103)</f>
        <v>#REF!</v>
      </c>
      <c r="I107" s="134"/>
    </row>
    <row r="108" spans="1:35" ht="18.75" customHeight="1">
      <c r="A108" s="134"/>
      <c r="B108" s="134"/>
      <c r="C108" s="134"/>
      <c r="D108" s="134"/>
      <c r="E108" s="3227"/>
      <c r="F108" s="3195"/>
      <c r="G108" s="2006" t="s">
        <v>2119</v>
      </c>
      <c r="H108" s="2763" t="e">
        <f ca="1">ROUND(H107*10000/'数据-汇总表'!E3,0)</f>
        <v>#REF!</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06" t="s">
        <v>2117</v>
      </c>
      <c r="H109" s="2806" t="str">
        <f>IF(E109="——","——",H101-H105-H106)</f>
        <v>——</v>
      </c>
      <c r="I109" s="134"/>
    </row>
    <row r="110" spans="1:35" ht="18.75" customHeight="1">
      <c r="A110" s="134"/>
      <c r="B110" s="134"/>
      <c r="C110" s="134"/>
      <c r="D110" s="134"/>
      <c r="E110" s="3227"/>
      <c r="F110" s="3195"/>
      <c r="G110" s="2006" t="s">
        <v>2119</v>
      </c>
      <c r="H110" s="2763"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06" t="s">
        <v>2117</v>
      </c>
      <c r="H111" s="2803" t="str">
        <f>IF(E111="——","——",N59)</f>
        <v>——</v>
      </c>
      <c r="I111" s="134"/>
    </row>
    <row r="112" spans="1:35" ht="18.75" customHeight="1" thickBot="1">
      <c r="A112" s="134"/>
      <c r="B112" s="134"/>
      <c r="C112" s="134"/>
      <c r="D112" s="134"/>
      <c r="E112" s="3229"/>
      <c r="F112" s="3230"/>
      <c r="G112" s="2009" t="s">
        <v>2119</v>
      </c>
      <c r="H112" s="2807" t="str">
        <f>IF(E111="——","——",N61)</f>
        <v>——</v>
      </c>
      <c r="I112" s="134"/>
    </row>
    <row r="113" spans="1:27" ht="18.75" customHeight="1">
      <c r="A113" s="134"/>
      <c r="B113" s="134"/>
      <c r="C113" s="134"/>
      <c r="D113" s="134"/>
      <c r="E113" s="3237" t="s">
        <v>2125</v>
      </c>
      <c r="F113" s="3237"/>
      <c r="G113" s="3237"/>
      <c r="H113" s="3237"/>
      <c r="I113" s="134"/>
    </row>
    <row r="114" spans="1:27" ht="3.75" customHeight="1">
      <c r="A114" s="1926"/>
      <c r="B114" s="1926"/>
      <c r="C114" s="1926"/>
      <c r="D114" s="1926"/>
      <c r="E114" s="1988"/>
      <c r="F114" s="1988"/>
      <c r="G114" s="1988"/>
      <c r="H114" s="1988"/>
      <c r="I114" s="1926"/>
    </row>
    <row r="115" spans="1:27" ht="18.75" customHeight="1">
      <c r="A115" s="3248" t="s">
        <v>2127</v>
      </c>
      <c r="B115" s="3249"/>
      <c r="C115" s="3249"/>
      <c r="D115" s="3249"/>
      <c r="E115" s="3249"/>
      <c r="F115" s="3249"/>
      <c r="G115" s="3249"/>
      <c r="H115" s="3249"/>
      <c r="I115" s="3250"/>
    </row>
    <row r="116" spans="1:27" ht="27" customHeight="1">
      <c r="A116" s="3202" t="s">
        <v>2128</v>
      </c>
      <c r="B116" s="3206" t="s">
        <v>2129</v>
      </c>
      <c r="C116" s="3206" t="s">
        <v>2130</v>
      </c>
      <c r="D116" s="3212" t="s">
        <v>2131</v>
      </c>
      <c r="E116" s="3213"/>
      <c r="F116" s="3244" t="s">
        <v>2132</v>
      </c>
      <c r="G116" s="3244"/>
      <c r="H116" s="3202" t="s">
        <v>2133</v>
      </c>
      <c r="I116" s="3202"/>
    </row>
    <row r="117" spans="1:27" ht="18.75" customHeight="1">
      <c r="A117" s="3202"/>
      <c r="B117" s="3207"/>
      <c r="C117" s="3207"/>
      <c r="D117" s="2542" t="s">
        <v>2134</v>
      </c>
      <c r="E117" s="2542" t="s">
        <v>2135</v>
      </c>
      <c r="F117" s="2542" t="s">
        <v>2134</v>
      </c>
      <c r="G117" s="2542" t="s">
        <v>2136</v>
      </c>
      <c r="H117" s="2542" t="s">
        <v>2134</v>
      </c>
      <c r="I117" s="2542" t="s">
        <v>2136</v>
      </c>
    </row>
    <row r="118" spans="1:27" ht="24.75" customHeight="1">
      <c r="A118" s="2808" t="str">
        <f>项目基本情况!S2</f>
        <v>山西省太原市平阳路1号1幢1层A号、2层A号、3层A号共三套商业用房房地产房地产</v>
      </c>
      <c r="B118" s="2542">
        <f>M18</f>
        <v>0</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202" t="s">
        <v>2137</v>
      </c>
      <c r="B119" s="3202"/>
      <c r="C119" s="3202"/>
      <c r="D119" s="3208" t="e">
        <f ca="1">NUMBERSTRING(INT(D118*10000),2)&amp;"元整"</f>
        <v>#REF!</v>
      </c>
      <c r="E119" s="3209"/>
      <c r="F119" s="3208" t="e">
        <f ca="1">NUMBERSTRING(INT(F118*10000),2)&amp;"元整"</f>
        <v>#REF!</v>
      </c>
      <c r="G119" s="3209"/>
      <c r="H119" s="3208" t="e">
        <f ca="1">NUMBERSTRING(INT(H118*10000),2)&amp;"元整"</f>
        <v>#REF!</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2137</v>
      </c>
      <c r="B121" s="3246"/>
      <c r="C121" s="3247"/>
      <c r="D121" s="3208" t="str">
        <f>IF(D120=0,"零元整",NUMBERSTRING(INT(D120*10000),2)&amp;"元整")</f>
        <v>零元整</v>
      </c>
      <c r="E121" s="3210"/>
      <c r="F121" s="3210"/>
      <c r="G121" s="3210"/>
      <c r="H121" s="3210"/>
      <c r="I121" s="3209"/>
      <c r="AA121" s="732"/>
    </row>
    <row r="122" spans="1:27" ht="18.75" customHeight="1">
      <c r="A122" s="3214" t="str">
        <f>IF(项目基本情况!B9="房地产市场价值","",MID(E107,3,LEN(E107)-2))</f>
        <v>房地产抵押价值</v>
      </c>
      <c r="B122" s="3214"/>
      <c r="C122" s="3214"/>
      <c r="D122" s="3203" t="e">
        <f ca="1">H107</f>
        <v>#REF!</v>
      </c>
      <c r="E122" s="3204"/>
      <c r="F122" s="3204"/>
      <c r="G122" s="3204"/>
      <c r="H122" s="3204"/>
      <c r="I122" s="3205"/>
      <c r="AA122" s="732"/>
    </row>
    <row r="123" spans="1:27" ht="18.75" customHeight="1">
      <c r="A123" s="3202" t="s">
        <v>2137</v>
      </c>
      <c r="B123" s="3202"/>
      <c r="C123" s="3202"/>
      <c r="D123" s="3208" t="e">
        <f ca="1">NUMBERSTRING(INT(D122*10000),2)&amp;"元整"</f>
        <v>#REF!</v>
      </c>
      <c r="E123" s="3210"/>
      <c r="F123" s="3210"/>
      <c r="G123" s="3210"/>
      <c r="H123" s="3210"/>
      <c r="I123" s="3209"/>
      <c r="AA123" s="732"/>
    </row>
    <row r="124" spans="1:27" ht="18.75" customHeight="1">
      <c r="A124" s="3214" t="str">
        <f>IF(项目基本情况!B9="房地产市场价值","",MID(E109,3,LEN(E109)-2))</f>
        <v/>
      </c>
      <c r="B124" s="3214"/>
      <c r="C124" s="3214"/>
      <c r="D124" s="3203" t="str">
        <f>H109</f>
        <v>——</v>
      </c>
      <c r="E124" s="3204"/>
      <c r="F124" s="3204"/>
      <c r="G124" s="3204"/>
      <c r="H124" s="3204"/>
      <c r="I124" s="3205"/>
      <c r="AA124" s="732"/>
    </row>
    <row r="125" spans="1:27" ht="18.75" customHeight="1">
      <c r="A125" s="3202" t="s">
        <v>2137</v>
      </c>
      <c r="B125" s="3202"/>
      <c r="C125" s="3202"/>
      <c r="D125" s="3208" t="e">
        <f>NUMBERSTRING(INT(D124*10000),2)&amp;"元整"</f>
        <v>#VALUE!</v>
      </c>
      <c r="E125" s="3210"/>
      <c r="F125" s="3210"/>
      <c r="G125" s="3210"/>
      <c r="H125" s="3210"/>
      <c r="I125" s="3209"/>
      <c r="AA125" s="732"/>
    </row>
    <row r="126" spans="1:27" ht="18.75" customHeight="1">
      <c r="A126" s="3214" t="str">
        <f>IF(项目基本情况!B9="房地产市场价值","",MID(E111,3,LEN(E111)-2))</f>
        <v/>
      </c>
      <c r="B126" s="3214"/>
      <c r="C126" s="3214"/>
      <c r="D126" s="3203" t="str">
        <f>H111</f>
        <v>——</v>
      </c>
      <c r="E126" s="3204"/>
      <c r="F126" s="3204"/>
      <c r="G126" s="3204"/>
      <c r="H126" s="3204"/>
      <c r="I126" s="3205"/>
      <c r="AA126" s="732"/>
    </row>
    <row r="127" spans="1:27" ht="18.75" customHeight="1">
      <c r="A127" s="3202" t="s">
        <v>2137</v>
      </c>
      <c r="B127" s="3202"/>
      <c r="C127" s="3202"/>
      <c r="D127" s="3208" t="e">
        <f>NUMBERSTRING(INT(D126*10000),2)&amp;"元整"</f>
        <v>#VALUE!</v>
      </c>
      <c r="E127" s="3210"/>
      <c r="F127" s="3210"/>
      <c r="G127" s="3210"/>
      <c r="H127" s="3210"/>
      <c r="I127" s="3209"/>
      <c r="AA127" s="732"/>
    </row>
    <row r="128" spans="1:27" ht="21.75" customHeight="1">
      <c r="A128" s="3211" t="s">
        <v>2138</v>
      </c>
      <c r="B128" s="3211"/>
      <c r="C128" s="3211"/>
      <c r="D128" s="3211"/>
      <c r="E128" s="3211"/>
      <c r="F128" s="3211"/>
      <c r="G128" s="3211"/>
      <c r="H128" s="3211"/>
      <c r="I128" s="3211"/>
      <c r="AA128" s="732"/>
    </row>
    <row r="129" spans="1:35" ht="21.75" customHeight="1">
      <c r="A129" s="2010" t="s">
        <v>2139</v>
      </c>
      <c r="B129" s="2011"/>
      <c r="C129" s="2012" t="s">
        <v>2140</v>
      </c>
      <c r="D129" s="2013"/>
      <c r="E129" s="2013"/>
      <c r="F129" s="2013"/>
      <c r="G129" s="2013"/>
      <c r="H129" s="2014"/>
      <c r="I129" s="2015"/>
      <c r="AA129" s="732"/>
    </row>
    <row r="130" spans="1:35" ht="21.75" customHeight="1">
      <c r="A130" s="2016">
        <v>1</v>
      </c>
      <c r="B130" s="2017"/>
      <c r="C130" s="2017"/>
      <c r="D130" s="2018"/>
      <c r="E130" s="2018"/>
      <c r="F130" s="2018"/>
      <c r="G130" s="2018"/>
      <c r="H130" s="2019"/>
      <c r="I130" s="2020"/>
      <c r="AA130" s="732"/>
    </row>
    <row r="131" spans="1:35" ht="21.75" customHeight="1">
      <c r="A131" s="2016">
        <v>2</v>
      </c>
      <c r="B131" s="2017"/>
      <c r="C131" s="2017"/>
      <c r="D131" s="2018"/>
      <c r="E131" s="2018"/>
      <c r="F131" s="2018"/>
      <c r="G131" s="2018"/>
      <c r="H131" s="2019"/>
      <c r="I131" s="2020"/>
      <c r="AA131" s="732"/>
    </row>
    <row r="132" spans="1:35" ht="21.75" customHeight="1">
      <c r="A132" s="2016">
        <v>3</v>
      </c>
      <c r="B132" s="2017"/>
      <c r="C132" s="2017"/>
      <c r="D132" s="2018"/>
      <c r="E132" s="2018"/>
      <c r="F132" s="2018"/>
      <c r="G132" s="2018"/>
      <c r="H132" s="2019"/>
      <c r="I132" s="2020"/>
      <c r="AA132" s="732"/>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2"/>
    </row>
    <row r="135" spans="1:35" ht="21.75" customHeight="1">
      <c r="A135" s="732"/>
      <c r="B135" s="732"/>
      <c r="C135" s="732"/>
      <c r="D135" s="732"/>
      <c r="E135" s="732"/>
      <c r="F135" s="2026" t="s">
        <v>2141</v>
      </c>
      <c r="G135" s="2027"/>
      <c r="H135" s="2027"/>
      <c r="I135" s="2028" t="s">
        <v>2142</v>
      </c>
    </row>
    <row r="136" spans="1:35" ht="21.75" customHeight="1">
      <c r="A136" s="732"/>
      <c r="B136" s="2029"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7"/>
      <c r="C138" s="2027"/>
      <c r="D138" s="2027"/>
      <c r="E138" s="2027"/>
      <c r="F138" s="2027"/>
      <c r="G138" s="2027"/>
      <c r="H138" s="2027"/>
      <c r="I138" s="2028" t="s">
        <v>2144</v>
      </c>
    </row>
    <row r="139" spans="1:35" ht="21.75" customHeight="1">
      <c r="A139" s="732"/>
      <c r="B139" s="2029" t="s">
        <v>2145</v>
      </c>
      <c r="C139" s="732"/>
      <c r="D139" s="732"/>
      <c r="E139" s="732"/>
      <c r="F139" s="732"/>
      <c r="G139" s="732"/>
      <c r="H139" s="732"/>
      <c r="I139" s="732"/>
    </row>
    <row r="140" spans="1:35" ht="21.75" customHeight="1">
      <c r="A140" s="732"/>
      <c r="B140" s="2029"/>
      <c r="C140" s="732"/>
      <c r="D140" s="732"/>
      <c r="E140" s="732"/>
      <c r="F140" s="732"/>
      <c r="G140" s="732"/>
      <c r="H140" s="732"/>
      <c r="I140" s="732"/>
    </row>
    <row r="141" spans="1:35" ht="21.75" customHeight="1">
      <c r="A141" s="732"/>
      <c r="B141" s="2027"/>
      <c r="C141" s="2027"/>
      <c r="D141" s="2027"/>
      <c r="E141" s="2027"/>
      <c r="F141" s="2027"/>
      <c r="G141" s="2027"/>
      <c r="H141" s="2027"/>
      <c r="I141" s="2028" t="s">
        <v>2144</v>
      </c>
    </row>
    <row r="142" spans="1:35" ht="21.75" customHeight="1">
      <c r="A142" s="732"/>
      <c r="B142" s="2029"/>
      <c r="C142" s="2030"/>
      <c r="D142" s="2031"/>
      <c r="E142" s="2031"/>
      <c r="F142" s="1920"/>
      <c r="G142" s="732"/>
      <c r="H142" s="732"/>
      <c r="I142" s="732"/>
    </row>
    <row r="143" spans="1:35" s="135" customFormat="1" ht="21.75" customHeight="1">
      <c r="A143" s="732"/>
      <c r="B143" s="2029"/>
      <c r="C143" s="2030"/>
      <c r="D143" s="2031"/>
      <c r="E143" s="2031"/>
      <c r="F143" s="1920"/>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1"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1"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1"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1"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1"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1"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1"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1"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1"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1"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1"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1"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1"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1"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1"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1"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1"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1"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1"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1"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1"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1"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1"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1"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1"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1"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1"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1"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1"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1"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1"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1"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1"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1"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1"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1"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1"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1"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1"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1"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1"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1"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1"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1"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1"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1"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1"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1"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1"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1"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1"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1"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1"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1"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1"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1"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1"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1"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1"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1"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1"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1"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1"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1"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1"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1"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1"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1"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1"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1"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1"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1"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1"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1"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1"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1"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1"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1"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1"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1"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1"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1"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1"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1"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1"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1"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1"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1"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1"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1"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1"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1"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1"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1"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1"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1"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1"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1"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1"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1"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1"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1"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1"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1"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7"/>
      <c r="C1" s="204"/>
      <c r="D1" s="204"/>
      <c r="E1" s="204"/>
      <c r="F1" s="204"/>
      <c r="G1" s="1283">
        <f>MATCH(B1,'数据-取费表'!A6:A16,0)+5</f>
        <v>7</v>
      </c>
    </row>
    <row r="2" spans="1:9" s="206" customFormat="1" ht="18" customHeight="1">
      <c r="A2" s="207" t="s">
        <v>2147</v>
      </c>
      <c r="B2" s="208">
        <f ca="1">IF(D2="——",C52,C52-E2)</f>
        <v>862</v>
      </c>
      <c r="C2" s="205" t="s">
        <v>2148</v>
      </c>
      <c r="D2" s="2032" t="s">
        <v>70</v>
      </c>
      <c r="E2" s="1326" t="e">
        <f ca="1">SUMIF(INDIRECT("'"&amp;G2&amp;"'"&amp;"!A:A"),"承租人权益价值",INDIRECT("'"&amp;G2&amp;"'"&amp;"!c:c"))</f>
        <v>#REF!</v>
      </c>
      <c r="F2" s="2033" t="s">
        <v>2148</v>
      </c>
      <c r="G2" s="2034"/>
    </row>
    <row r="3" spans="1:9" s="206" customFormat="1" ht="18" customHeight="1" thickBot="1">
      <c r="A3" s="209" t="s">
        <v>2149</v>
      </c>
      <c r="B3" s="210">
        <f ca="1">ROUND(B2*10000/(IF(B1="",'数据-汇总表'!E3,INDIRECT("'数据-取费表'!k"&amp;$G$1))),0)</f>
        <v>4411</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4" t="s">
        <v>2157</v>
      </c>
      <c r="B6" s="221" t="s">
        <v>2158</v>
      </c>
      <c r="C6" s="222"/>
      <c r="D6" s="223"/>
      <c r="E6" s="224"/>
      <c r="F6" s="224"/>
      <c r="G6" s="225"/>
    </row>
    <row r="7" spans="1:9" s="220" customFormat="1" ht="13.5" customHeight="1">
      <c r="A7" s="884" t="s">
        <v>2159</v>
      </c>
      <c r="B7" s="221" t="s">
        <v>2160</v>
      </c>
      <c r="C7" s="226">
        <f>ROUND(C6*F7,0)</f>
        <v>0</v>
      </c>
      <c r="D7" s="226"/>
      <c r="E7" s="224"/>
      <c r="F7" s="227">
        <f>IF(项目基本情况!B8="出让",0,'数据-取费表'!B48+'数据-取费表'!B49)</f>
        <v>3.0499999999999999E-2</v>
      </c>
      <c r="G7" s="225"/>
    </row>
    <row r="8" spans="1:9" s="229" customFormat="1">
      <c r="A8" s="884" t="s">
        <v>2161</v>
      </c>
      <c r="B8" s="221" t="s">
        <v>2162</v>
      </c>
      <c r="C8" s="226">
        <f>IF(G8="已包含在土地购买价格中","0",IF(B1="",'数据-取费表'!B29,IF(G9="全部缴纳",C9+C10,H9)))</f>
        <v>0</v>
      </c>
      <c r="D8" s="228"/>
      <c r="E8" s="226"/>
      <c r="F8" s="227"/>
      <c r="G8" s="2035"/>
    </row>
    <row r="9" spans="1:9" s="220" customFormat="1" ht="13.5" customHeight="1">
      <c r="A9" s="885" t="s">
        <v>800</v>
      </c>
      <c r="B9" s="230" t="s">
        <v>2163</v>
      </c>
      <c r="C9" s="231">
        <f ca="1">ROUND(D9*E9/10000,0)</f>
        <v>0</v>
      </c>
      <c r="D9" s="952">
        <f ca="1">IF(B1="",'数据-汇总表'!E5,IF(INDIRECT("'数据-取费表'!c"&amp;$G$1)="住宅",INDIRECT("'数据-取费表'!k"&amp;$G$1),0))</f>
        <v>0</v>
      </c>
      <c r="E9" s="231">
        <f>'数据-取费表'!B27</f>
        <v>0</v>
      </c>
      <c r="F9" s="227"/>
      <c r="G9" s="2036"/>
      <c r="H9" s="1294"/>
      <c r="I9" s="2037" t="s">
        <v>2164</v>
      </c>
    </row>
    <row r="10" spans="1:9" s="220" customFormat="1" ht="13.5" customHeight="1">
      <c r="A10" s="885" t="s">
        <v>801</v>
      </c>
      <c r="B10" s="230" t="s">
        <v>2165</v>
      </c>
      <c r="C10" s="231">
        <f ca="1">ROUND(D10*E10/10000,0)</f>
        <v>0</v>
      </c>
      <c r="D10" s="952">
        <f ca="1">IF(B1="",'数据-汇总表'!E6,IF(INDIRECT("'数据-取费表'!c"&amp;$G$1)="住宅",INDIRECT("'数据-取费表'!s"&amp;$G$1),INDIRECT("'数据-取费表'!k"&amp;$G$1)+INDIRECT("'数据-取费表'!s"&amp;$G$1)))</f>
        <v>1954.06</v>
      </c>
      <c r="E10" s="231">
        <f>'数据-取费表'!B28</f>
        <v>0</v>
      </c>
      <c r="F10" s="227"/>
      <c r="G10" s="232"/>
    </row>
    <row r="11" spans="1:9" s="220" customFormat="1" ht="13.5" hidden="1" customHeight="1">
      <c r="A11" s="233" t="s">
        <v>7</v>
      </c>
      <c r="B11" s="221" t="s">
        <v>2166</v>
      </c>
      <c r="C11" s="217"/>
      <c r="D11" s="954"/>
      <c r="E11" s="224"/>
      <c r="F11" s="224"/>
      <c r="G11" s="225"/>
    </row>
    <row r="12" spans="1:9" s="220" customFormat="1" ht="13.5" hidden="1" customHeight="1">
      <c r="A12" s="233" t="s">
        <v>8</v>
      </c>
      <c r="B12" s="221" t="s">
        <v>2167</v>
      </c>
      <c r="C12" s="217">
        <v>0</v>
      </c>
      <c r="D12" s="954"/>
      <c r="E12" s="234"/>
      <c r="F12" s="227">
        <v>3.0499999999999999E-2</v>
      </c>
      <c r="G12" s="225"/>
    </row>
    <row r="13" spans="1:9" s="220" customFormat="1" ht="13.5" hidden="1" customHeight="1">
      <c r="A13" s="233" t="s">
        <v>9</v>
      </c>
      <c r="B13" s="221" t="s">
        <v>2168</v>
      </c>
      <c r="C13" s="217"/>
      <c r="D13" s="954"/>
      <c r="E13" s="224"/>
      <c r="F13" s="224"/>
      <c r="G13" s="225"/>
    </row>
    <row r="14" spans="1:9" s="220" customFormat="1" ht="13.5" hidden="1" customHeight="1">
      <c r="A14" s="233" t="s">
        <v>10</v>
      </c>
      <c r="B14" s="221" t="s">
        <v>2169</v>
      </c>
      <c r="C14" s="217"/>
      <c r="D14" s="954"/>
      <c r="E14" s="224"/>
      <c r="F14" s="224"/>
      <c r="G14" s="225" t="s">
        <v>2170</v>
      </c>
    </row>
    <row r="15" spans="1:9" s="220" customFormat="1" ht="13.5" hidden="1" customHeight="1">
      <c r="A15" s="233" t="s">
        <v>11</v>
      </c>
      <c r="B15" s="221" t="s">
        <v>2171</v>
      </c>
      <c r="C15" s="226"/>
      <c r="D15" s="954"/>
      <c r="E15" s="224"/>
      <c r="F15" s="224"/>
      <c r="G15" s="225" t="s">
        <v>2172</v>
      </c>
    </row>
    <row r="16" spans="1:9" s="220" customFormat="1" ht="13.5" hidden="1" customHeight="1">
      <c r="A16" s="233" t="s">
        <v>12</v>
      </c>
      <c r="B16" s="221" t="s">
        <v>2169</v>
      </c>
      <c r="C16" s="226"/>
      <c r="D16" s="954"/>
      <c r="E16" s="224"/>
      <c r="F16" s="224"/>
      <c r="G16" s="225"/>
    </row>
    <row r="17" spans="1:7" s="220" customFormat="1" ht="13.5" hidden="1" customHeight="1">
      <c r="A17" s="233" t="s">
        <v>13</v>
      </c>
      <c r="B17" s="221" t="s">
        <v>2173</v>
      </c>
      <c r="C17" s="235"/>
      <c r="D17" s="955"/>
      <c r="E17" s="235"/>
      <c r="F17" s="235"/>
      <c r="G17" s="225" t="s">
        <v>2172</v>
      </c>
    </row>
    <row r="18" spans="1:7" s="220" customFormat="1" ht="13.5" hidden="1" customHeight="1">
      <c r="A18" s="233" t="s">
        <v>14</v>
      </c>
      <c r="B18" s="221" t="s">
        <v>2174</v>
      </c>
      <c r="C18" s="226">
        <v>0</v>
      </c>
      <c r="D18" s="954"/>
      <c r="E18" s="224"/>
      <c r="F18" s="227">
        <v>3.0499999999999999E-2</v>
      </c>
      <c r="G18" s="225" t="s">
        <v>2175</v>
      </c>
    </row>
    <row r="19" spans="1:7" s="229" customFormat="1" ht="13.5" customHeight="1">
      <c r="A19" s="261" t="s">
        <v>2176</v>
      </c>
      <c r="B19" s="216" t="s">
        <v>2177</v>
      </c>
      <c r="C19" s="217">
        <f ca="1">IF(G19="已包含在土地取得成本中","0",ROUND(D19*E19/10000,0))</f>
        <v>39</v>
      </c>
      <c r="D19" s="956">
        <f ca="1">D9+D10</f>
        <v>1954.06</v>
      </c>
      <c r="E19" s="217">
        <f>'数据-取费表'!B31</f>
        <v>200</v>
      </c>
      <c r="F19" s="237"/>
      <c r="G19" s="2035"/>
    </row>
    <row r="20" spans="1:7" s="220" customFormat="1" ht="13.5" customHeight="1">
      <c r="A20" s="261" t="s">
        <v>2178</v>
      </c>
      <c r="B20" s="216" t="s">
        <v>2179</v>
      </c>
      <c r="C20" s="238">
        <f ca="1">ROUND((C5+C19)*F20,0)</f>
        <v>1</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9">
        <f ca="1">ROUND(SUM(C23:C25),0)</f>
        <v>3</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6" t="s">
        <v>2187</v>
      </c>
      <c r="B23" s="221" t="s">
        <v>2188</v>
      </c>
      <c r="C23" s="1260">
        <f ca="1">ROUND(IF('数据-取费表'!B22&lt;=1,C5*F22*'数据-取费表'!B23,C5*(POWER((1+F22),'数据-取费表'!B23)-1)),0)</f>
        <v>0</v>
      </c>
      <c r="D23" s="244"/>
      <c r="E23" s="244"/>
      <c r="F23" s="245"/>
      <c r="G23" s="246" t="s">
        <v>2189</v>
      </c>
    </row>
    <row r="24" spans="1:7" s="220" customFormat="1" ht="13.5" customHeight="1">
      <c r="A24" s="886" t="s">
        <v>2190</v>
      </c>
      <c r="B24" s="221" t="s">
        <v>2191</v>
      </c>
      <c r="C24" s="1260">
        <f ca="1">ROUND(IF('数据-取费表'!B22&lt;=1,C19*F22*('数据-取费表'!B19/2+'数据-取费表'!B21),C19*(POWER((1+F22),('数据-取费表'!B19/2+'数据-取费表'!B21))-1)),0)</f>
        <v>3</v>
      </c>
      <c r="D24" s="244"/>
      <c r="E24" s="244"/>
      <c r="F24" s="245"/>
      <c r="G24" s="246" t="s">
        <v>2192</v>
      </c>
    </row>
    <row r="25" spans="1:7" s="220" customFormat="1" ht="24">
      <c r="A25" s="886" t="s">
        <v>2193</v>
      </c>
      <c r="B25" s="221" t="s">
        <v>2194</v>
      </c>
      <c r="C25" s="1260">
        <f ca="1">ROUND(IF('数据-取费表'!B22&lt;=1,C20*F22*'数据-取费表'!B23/2,C20*(POWER((1+F22),'数据-取费表'!B23/2)-1)),0)</f>
        <v>0</v>
      </c>
      <c r="D25" s="244"/>
      <c r="E25" s="247"/>
      <c r="F25" s="245"/>
      <c r="G25" s="248" t="s">
        <v>2195</v>
      </c>
    </row>
    <row r="26" spans="1:7" s="220" customFormat="1">
      <c r="A26" s="886"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6</v>
      </c>
      <c r="D27" s="241">
        <f ca="1">C29</f>
        <v>3.0000000000000001E-3</v>
      </c>
      <c r="E27" s="242" t="s">
        <v>2199</v>
      </c>
      <c r="F27" s="252">
        <f ca="1">IF(B1="",'数据-取费表'!Q16,INDIRECT("'数据-取费表'!q"&amp;$G$1))</f>
        <v>0.15</v>
      </c>
      <c r="G27" s="253" t="s">
        <v>2200</v>
      </c>
    </row>
    <row r="28" spans="1:7" s="220" customFormat="1" ht="13.5" customHeight="1">
      <c r="A28" s="886" t="s">
        <v>791</v>
      </c>
      <c r="B28" s="254" t="s">
        <v>2201</v>
      </c>
      <c r="C28" s="255">
        <f ca="1">ROUND((C5+C19+C20)*F27*'数据-取费表'!B21/'数据-取费表'!B20,0)</f>
        <v>6</v>
      </c>
      <c r="D28" s="241"/>
      <c r="E28" s="242"/>
      <c r="F28" s="252"/>
      <c r="G28" s="253"/>
    </row>
    <row r="29" spans="1:7" s="220" customFormat="1" ht="13.5" customHeight="1">
      <c r="A29" s="886"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856</v>
      </c>
      <c r="D33" s="238"/>
      <c r="E33" s="218"/>
      <c r="F33" s="247"/>
      <c r="G33" s="240"/>
    </row>
    <row r="34" spans="1:7" s="264" customFormat="1" ht="13.5" customHeight="1">
      <c r="A34" s="886" t="s">
        <v>791</v>
      </c>
      <c r="B34" s="221" t="s">
        <v>2210</v>
      </c>
      <c r="C34" s="226">
        <f ca="1">IF(B1="",IF(F34=100%,'数据-取费表'!M16,'数据-取费表'!O16),IF(F34=100%,INDIRECT("'数据-取费表'!m"&amp;$G$1)+INDIRECT("'数据-取费表'!t"&amp;$G$1),INDIRECT("'数据-取费表'!o"&amp;$G$1)+INDIRECT("'数据-取费表'!aq"&amp;$G$1)))</f>
        <v>782</v>
      </c>
      <c r="D34" s="223"/>
      <c r="E34" s="226"/>
      <c r="F34" s="263">
        <f ca="1">IF('数据-取费表'!B24=0,1,IF(B1="",'数据-取费表'!N16,INDIRECT("'数据-取费表'!n"&amp;$G$1)))</f>
        <v>1</v>
      </c>
      <c r="G34" s="225" t="s">
        <v>2211</v>
      </c>
    </row>
    <row r="35" spans="1:7" ht="13.5" customHeight="1">
      <c r="A35" s="886" t="s">
        <v>796</v>
      </c>
      <c r="B35" s="221" t="s">
        <v>2212</v>
      </c>
      <c r="C35" s="226">
        <f ca="1">ROUND(C34*F35,0)</f>
        <v>23</v>
      </c>
      <c r="D35" s="226"/>
      <c r="E35" s="226"/>
      <c r="F35" s="265">
        <f>'数据-取费表'!B33</f>
        <v>0.03</v>
      </c>
      <c r="G35" s="225" t="s">
        <v>2213</v>
      </c>
    </row>
    <row r="36" spans="1:7" ht="24">
      <c r="A36" s="886"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6" t="s">
        <v>798</v>
      </c>
      <c r="B37" s="221" t="s">
        <v>2216</v>
      </c>
      <c r="C37" s="255">
        <f ca="1">ROUND(E37*D37*F34/10000,0)</f>
        <v>39</v>
      </c>
      <c r="D37" s="223">
        <f ca="1">D19</f>
        <v>1954.06</v>
      </c>
      <c r="E37" s="255">
        <f>'数据-取费表'!B35</f>
        <v>200</v>
      </c>
      <c r="F37" s="265"/>
      <c r="G37" s="267" t="s">
        <v>2217</v>
      </c>
    </row>
    <row r="38" spans="1:7" ht="13.5" customHeight="1">
      <c r="A38" s="886" t="s">
        <v>799</v>
      </c>
      <c r="B38" s="221" t="s">
        <v>2218</v>
      </c>
      <c r="C38" s="226">
        <f ca="1">ROUND(C34*F38,0)</f>
        <v>12</v>
      </c>
      <c r="D38" s="226"/>
      <c r="E38" s="226"/>
      <c r="F38" s="265">
        <f>'数据-取费表'!B36</f>
        <v>1.4999999999999999E-2</v>
      </c>
      <c r="G38" s="225" t="s">
        <v>2213</v>
      </c>
    </row>
    <row r="39" spans="1:7" s="220" customFormat="1" ht="13.5" customHeight="1">
      <c r="A39" s="261" t="s">
        <v>2219</v>
      </c>
      <c r="B39" s="216" t="s">
        <v>2220</v>
      </c>
      <c r="C39" s="238">
        <f ca="1">ROUND(C33*F20,0)</f>
        <v>17</v>
      </c>
      <c r="D39" s="238"/>
      <c r="E39" s="238"/>
      <c r="F39" s="2525">
        <f>F20</f>
        <v>0.02</v>
      </c>
      <c r="G39" s="240" t="s">
        <v>2221</v>
      </c>
    </row>
    <row r="40" spans="1:7" s="220" customFormat="1" ht="13.5" customHeight="1">
      <c r="A40" s="261" t="s">
        <v>2222</v>
      </c>
      <c r="B40" s="216" t="s">
        <v>2223</v>
      </c>
      <c r="C40" s="1489">
        <f>F21</f>
        <v>0.02</v>
      </c>
      <c r="D40" s="242" t="s">
        <v>2224</v>
      </c>
      <c r="E40" s="238"/>
      <c r="F40" s="2525">
        <f>F21</f>
        <v>0.02</v>
      </c>
      <c r="G40" s="240" t="s">
        <v>2225</v>
      </c>
    </row>
    <row r="41" spans="1:7" s="220" customFormat="1" ht="13.5" customHeight="1">
      <c r="A41" s="261" t="s">
        <v>2226</v>
      </c>
      <c r="B41" s="216" t="s">
        <v>2227</v>
      </c>
      <c r="C41" s="238">
        <f ca="1">ROUND(SUM(C42:C43),0)</f>
        <v>38</v>
      </c>
      <c r="D41" s="241">
        <f ca="1">C44</f>
        <v>8.9999999999999998E-4</v>
      </c>
      <c r="E41" s="242" t="s">
        <v>2224</v>
      </c>
      <c r="F41" s="2526">
        <f ca="1">F22</f>
        <v>4.3499999999999997E-2</v>
      </c>
      <c r="G41" s="240" t="str">
        <f>IF('数据-取费表'!B22&lt;=1,"单利计息","复利计息")</f>
        <v>复利计息</v>
      </c>
    </row>
    <row r="42" spans="1:7" ht="13.5" customHeight="1">
      <c r="A42" s="886" t="s">
        <v>791</v>
      </c>
      <c r="B42" s="221" t="s">
        <v>2228</v>
      </c>
      <c r="C42" s="244">
        <f ca="1">ROUND(IF('数据-取费表'!B22&lt;=1,C33*F22*'数据-取费表'!B21/2,C33*(POWER((1+F22),'数据-取费表'!B21/2)-1)),0)</f>
        <v>37</v>
      </c>
      <c r="D42" s="244"/>
      <c r="E42" s="244"/>
      <c r="F42" s="245"/>
      <c r="G42" s="3284" t="s">
        <v>2229</v>
      </c>
    </row>
    <row r="43" spans="1:7" ht="13.5" customHeight="1">
      <c r="A43" s="886" t="s">
        <v>792</v>
      </c>
      <c r="B43" s="221" t="s">
        <v>2230</v>
      </c>
      <c r="C43" s="244">
        <f ca="1">ROUND(IF('数据-取费表'!B22&lt;=1,C39*F22*'数据-取费表'!B21/2,C39*(POWER((1+F22),'数据-取费表'!B21/2)-1)),0)</f>
        <v>1</v>
      </c>
      <c r="D43" s="244"/>
      <c r="E43" s="244"/>
      <c r="F43" s="245"/>
      <c r="G43" s="3285"/>
    </row>
    <row r="44" spans="1:7" ht="13.5" customHeight="1">
      <c r="A44" s="886" t="s">
        <v>793</v>
      </c>
      <c r="B44" s="221" t="s">
        <v>2231</v>
      </c>
      <c r="C44" s="244">
        <f ca="1">ROUND(IF('数据-取费表'!B22&lt;=1,C40*F22*'数据-取费表'!B21/2,C40*(POWER((1+F22),'数据-取费表'!B21/2)-1)),4)</f>
        <v>8.9999999999999998E-4</v>
      </c>
      <c r="D44" s="244"/>
      <c r="E44" s="244"/>
      <c r="F44" s="245"/>
      <c r="G44" s="3286"/>
    </row>
    <row r="45" spans="1:7" s="220" customFormat="1" ht="13.5" customHeight="1">
      <c r="A45" s="261" t="s">
        <v>2232</v>
      </c>
      <c r="B45" s="250" t="s">
        <v>2198</v>
      </c>
      <c r="C45" s="251">
        <f ca="1">C46</f>
        <v>131</v>
      </c>
      <c r="D45" s="241">
        <f ca="1">C47</f>
        <v>3.0000000000000001E-3</v>
      </c>
      <c r="E45" s="242" t="s">
        <v>2224</v>
      </c>
      <c r="F45" s="2527">
        <f ca="1">F27</f>
        <v>0.15</v>
      </c>
      <c r="G45" s="253" t="s">
        <v>2233</v>
      </c>
    </row>
    <row r="46" spans="1:7" s="220" customFormat="1" ht="13.5" customHeight="1">
      <c r="A46" s="886" t="s">
        <v>791</v>
      </c>
      <c r="B46" s="254" t="s">
        <v>2234</v>
      </c>
      <c r="C46" s="255">
        <f ca="1">ROUND((C33+C39)*F27,0)</f>
        <v>131</v>
      </c>
      <c r="D46" s="269"/>
      <c r="E46" s="242"/>
      <c r="F46" s="252"/>
      <c r="G46" s="253"/>
    </row>
    <row r="47" spans="1:7" s="220" customFormat="1" ht="13.5" customHeight="1">
      <c r="A47" s="886"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1129</v>
      </c>
      <c r="D49" s="238"/>
      <c r="E49" s="238"/>
      <c r="F49" s="270"/>
      <c r="G49" s="240" t="s">
        <v>2239</v>
      </c>
    </row>
    <row r="50" spans="1:7" s="264" customFormat="1" ht="24">
      <c r="A50" s="261" t="s">
        <v>2240</v>
      </c>
      <c r="B50" s="216" t="s">
        <v>2241</v>
      </c>
      <c r="C50" s="238"/>
      <c r="D50" s="238"/>
      <c r="E50" s="238"/>
      <c r="F50" s="270">
        <f>IF('数据-取费表'!B24=0,'数据-取费表'!N16,1)</f>
        <v>0.71699999999999997</v>
      </c>
      <c r="G50" s="253" t="s">
        <v>2242</v>
      </c>
    </row>
    <row r="51" spans="1:7" ht="16.5" customHeight="1">
      <c r="A51" s="261" t="s">
        <v>2243</v>
      </c>
      <c r="B51" s="216" t="s">
        <v>2244</v>
      </c>
      <c r="C51" s="238">
        <f ca="1">ROUND(C49*F50,0)</f>
        <v>809</v>
      </c>
      <c r="D51" s="238"/>
      <c r="E51" s="238"/>
      <c r="F51" s="270"/>
      <c r="G51" s="240" t="s">
        <v>2245</v>
      </c>
    </row>
    <row r="52" spans="1:7" s="214" customFormat="1" ht="16.5" thickBot="1">
      <c r="A52" s="271" t="s">
        <v>2246</v>
      </c>
      <c r="B52" s="272"/>
      <c r="C52" s="273">
        <f ca="1">C31+C51</f>
        <v>862</v>
      </c>
      <c r="D52" s="272"/>
      <c r="E52" s="272"/>
      <c r="F52" s="272"/>
      <c r="G52" s="274"/>
    </row>
    <row r="55" spans="1:7" ht="15">
      <c r="B55" s="276" t="s">
        <v>2247</v>
      </c>
      <c r="C55" s="277"/>
    </row>
    <row r="56" spans="1:7">
      <c r="B56" s="279" t="s">
        <v>1478</v>
      </c>
      <c r="C56" s="281">
        <f ca="1">1-C57</f>
        <v>6.1000000000000054E-2</v>
      </c>
    </row>
    <row r="57" spans="1:7">
      <c r="B57" s="279" t="s">
        <v>1479</v>
      </c>
      <c r="C57" s="280">
        <f ca="1">ROUND(C51/C52,3)</f>
        <v>0.93899999999999995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5" t="str">
        <f>项目基本情况!B1</f>
        <v>山西省太原市平阳路1号1幢1层A号、2层A号、3层A号共三套商业用房房地产房地产抵押价值预评估</v>
      </c>
      <c r="C37" s="3095"/>
      <c r="D37" s="3095"/>
      <c r="E37" s="3095"/>
      <c r="F37" s="3095"/>
      <c r="G37" s="3095"/>
      <c r="H37" s="3095"/>
      <c r="I37" s="3095"/>
    </row>
    <row r="38" spans="1:9">
      <c r="A38" s="951"/>
      <c r="B38" s="951"/>
    </row>
    <row r="39" spans="1:9">
      <c r="A39" s="949" t="s">
        <v>818</v>
      </c>
      <c r="B39" s="949" t="s">
        <v>820</v>
      </c>
    </row>
    <row r="40" spans="1:9">
      <c r="A40" s="949"/>
      <c r="B40" s="1652" t="str">
        <f>项目基本情况!B5</f>
        <v>山西国美电器有限公司</v>
      </c>
    </row>
    <row r="41" spans="1:9">
      <c r="A41" s="949"/>
      <c r="B41" s="949"/>
    </row>
    <row r="42" spans="1:9">
      <c r="A42" s="949" t="s">
        <v>818</v>
      </c>
      <c r="B42" s="949" t="s">
        <v>821</v>
      </c>
    </row>
    <row r="43" spans="1:9">
      <c r="A43" s="949"/>
      <c r="B43" s="1652" t="s">
        <v>822</v>
      </c>
    </row>
    <row r="44" spans="1:9">
      <c r="A44" s="949"/>
      <c r="B44" s="949"/>
    </row>
    <row r="45" spans="1:9">
      <c r="A45" s="949" t="s">
        <v>818</v>
      </c>
      <c r="B45" s="949" t="s">
        <v>823</v>
      </c>
    </row>
    <row r="46" spans="1:9" s="949" customFormat="1" ht="12.75">
      <c r="B46" s="1652" t="str">
        <f>项目基本情况!K4</f>
        <v>（注册号：0)、（注册号：0)</v>
      </c>
    </row>
    <row r="47" spans="1:9">
      <c r="A47" s="949"/>
      <c r="B47" s="949" t="str">
        <f>项目基本情况!K5</f>
        <v>（注册号：0)、（注册号：0)</v>
      </c>
    </row>
    <row r="48" spans="1:9">
      <c r="A48" s="949" t="s">
        <v>818</v>
      </c>
      <c r="B48" s="949"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7"/>
      <c r="C1" s="2038" t="s">
        <v>2248</v>
      </c>
      <c r="D1" s="204"/>
      <c r="E1" s="204"/>
      <c r="F1" s="204"/>
      <c r="G1" s="1283">
        <f>MATCH(B1,'数据-取费表'!A6:A16,0)+5</f>
        <v>7</v>
      </c>
      <c r="H1" s="1187" t="str">
        <f>IF(ISERROR(FIND("住宅",B1)),"非住宅","住宅")</f>
        <v>非住宅</v>
      </c>
    </row>
    <row r="2" spans="1:8" s="206" customFormat="1" ht="18" customHeight="1">
      <c r="A2" s="207" t="s">
        <v>2147</v>
      </c>
      <c r="B2" s="208">
        <f ca="1">ROUND(IF(D2="——",C52/10000,C52/10000-E2),0)</f>
        <v>863</v>
      </c>
      <c r="C2" s="205" t="s">
        <v>2148</v>
      </c>
      <c r="D2" s="2032" t="s">
        <v>70</v>
      </c>
      <c r="E2" s="1326" t="e">
        <f ca="1">SUMIF(INDIRECT("'"&amp;G2&amp;"'"&amp;"!A:A"),"承租人权益价值",INDIRECT("'"&amp;G2&amp;"'"&amp;"!c:c"))</f>
        <v>#REF!</v>
      </c>
      <c r="F2" s="2033" t="s">
        <v>2148</v>
      </c>
      <c r="G2" s="2034"/>
    </row>
    <row r="3" spans="1:8" s="206" customFormat="1" ht="18" customHeight="1" thickBot="1">
      <c r="A3" s="209" t="s">
        <v>2149</v>
      </c>
      <c r="B3" s="210">
        <f ca="1">ROUND(B2*10000/(IF(B1="",'数据-汇总表'!E3,INDIRECT("'数据-取费表'!k"&amp;$G$1))),0)</f>
        <v>4416</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4" t="s">
        <v>2157</v>
      </c>
      <c r="B6" s="221" t="s">
        <v>2158</v>
      </c>
      <c r="C6" s="222"/>
      <c r="D6" s="223"/>
      <c r="E6" s="224"/>
      <c r="F6" s="224"/>
      <c r="G6" s="225"/>
    </row>
    <row r="7" spans="1:8" s="220" customFormat="1" ht="13.5" customHeight="1">
      <c r="A7" s="884" t="s">
        <v>2159</v>
      </c>
      <c r="B7" s="221" t="s">
        <v>2160</v>
      </c>
      <c r="C7" s="226">
        <f>ROUND(C6*F7,0)</f>
        <v>0</v>
      </c>
      <c r="D7" s="226"/>
      <c r="E7" s="224"/>
      <c r="F7" s="227">
        <f>IF(项目基本情况!B8="出让",0,'数据-取费表'!B48+'数据-取费表'!B49)</f>
        <v>3.0499999999999999E-2</v>
      </c>
      <c r="G7" s="225"/>
    </row>
    <row r="8" spans="1:8" s="229" customFormat="1">
      <c r="A8" s="884" t="s">
        <v>2161</v>
      </c>
      <c r="B8" s="221" t="s">
        <v>2162</v>
      </c>
      <c r="C8" s="226">
        <f ca="1">IF(G8="已包含在土地购买价格中",0,C9+C10)</f>
        <v>0</v>
      </c>
      <c r="D8" s="228"/>
      <c r="E8" s="226"/>
      <c r="F8" s="227"/>
      <c r="G8" s="2035"/>
    </row>
    <row r="9" spans="1:8" s="220" customFormat="1" ht="13.5" customHeight="1">
      <c r="A9" s="885" t="s">
        <v>800</v>
      </c>
      <c r="B9" s="230" t="s">
        <v>2163</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2165</v>
      </c>
      <c r="C10" s="231">
        <f ca="1">ROUND(D10*E10,0)</f>
        <v>0</v>
      </c>
      <c r="D10" s="952">
        <f ca="1">IF(B1="",'数据-汇总表'!E6,IF(INDIRECT("'数据-取费表'!c"&amp;$G$1)="住宅",INDIRECT("'数据-取费表'!s"&amp;$G$1),INDIRECT("'数据-取费表'!k"&amp;$G$1)+INDIRECT("'数据-取费表'!s"&amp;$G$1)))</f>
        <v>1954.06</v>
      </c>
      <c r="E10" s="231">
        <f>'数据-取费表'!B28</f>
        <v>0</v>
      </c>
      <c r="F10" s="227"/>
      <c r="G10" s="232"/>
    </row>
    <row r="11" spans="1:8" s="220" customFormat="1" ht="13.5" hidden="1" customHeight="1">
      <c r="A11" s="233" t="s">
        <v>7</v>
      </c>
      <c r="B11" s="221" t="s">
        <v>2166</v>
      </c>
      <c r="C11" s="217"/>
      <c r="D11" s="954"/>
      <c r="E11" s="224"/>
      <c r="F11" s="224"/>
      <c r="G11" s="225"/>
    </row>
    <row r="12" spans="1:8" s="220" customFormat="1" ht="13.5" hidden="1" customHeight="1">
      <c r="A12" s="233" t="s">
        <v>8</v>
      </c>
      <c r="B12" s="221" t="s">
        <v>2249</v>
      </c>
      <c r="C12" s="217">
        <v>0</v>
      </c>
      <c r="D12" s="954"/>
      <c r="E12" s="234"/>
      <c r="F12" s="227">
        <v>3.0499999999999999E-2</v>
      </c>
      <c r="G12" s="225"/>
    </row>
    <row r="13" spans="1:8" s="220" customFormat="1" ht="13.5" hidden="1" customHeight="1">
      <c r="A13" s="233" t="s">
        <v>9</v>
      </c>
      <c r="B13" s="221" t="s">
        <v>2250</v>
      </c>
      <c r="C13" s="217"/>
      <c r="D13" s="954"/>
      <c r="E13" s="224"/>
      <c r="F13" s="224"/>
      <c r="G13" s="225"/>
    </row>
    <row r="14" spans="1:8" s="220" customFormat="1" ht="13.5" hidden="1" customHeight="1">
      <c r="A14" s="233" t="s">
        <v>10</v>
      </c>
      <c r="B14" s="221" t="s">
        <v>2162</v>
      </c>
      <c r="C14" s="217"/>
      <c r="D14" s="954"/>
      <c r="E14" s="224"/>
      <c r="F14" s="224"/>
      <c r="G14" s="225" t="s">
        <v>2251</v>
      </c>
    </row>
    <row r="15" spans="1:8" s="220" customFormat="1" ht="13.5" hidden="1" customHeight="1">
      <c r="A15" s="233" t="s">
        <v>11</v>
      </c>
      <c r="B15" s="221" t="s">
        <v>2252</v>
      </c>
      <c r="C15" s="226"/>
      <c r="D15" s="954"/>
      <c r="E15" s="224"/>
      <c r="F15" s="224"/>
      <c r="G15" s="225" t="s">
        <v>2253</v>
      </c>
    </row>
    <row r="16" spans="1:8" s="220" customFormat="1" ht="13.5" hidden="1" customHeight="1">
      <c r="A16" s="233" t="s">
        <v>12</v>
      </c>
      <c r="B16" s="221" t="s">
        <v>2162</v>
      </c>
      <c r="C16" s="226"/>
      <c r="D16" s="954"/>
      <c r="E16" s="224"/>
      <c r="F16" s="224"/>
      <c r="G16" s="225"/>
    </row>
    <row r="17" spans="1:7" s="220" customFormat="1" ht="13.5" hidden="1" customHeight="1">
      <c r="A17" s="233" t="s">
        <v>13</v>
      </c>
      <c r="B17" s="221" t="s">
        <v>2254</v>
      </c>
      <c r="C17" s="235"/>
      <c r="D17" s="955"/>
      <c r="E17" s="235"/>
      <c r="F17" s="235"/>
      <c r="G17" s="225" t="s">
        <v>2253</v>
      </c>
    </row>
    <row r="18" spans="1:7" s="220" customFormat="1" ht="13.5" hidden="1" customHeight="1">
      <c r="A18" s="233" t="s">
        <v>14</v>
      </c>
      <c r="B18" s="221" t="s">
        <v>2255</v>
      </c>
      <c r="C18" s="226">
        <v>0</v>
      </c>
      <c r="D18" s="954"/>
      <c r="E18" s="224"/>
      <c r="F18" s="227">
        <v>3.0499999999999999E-2</v>
      </c>
      <c r="G18" s="225" t="s">
        <v>2256</v>
      </c>
    </row>
    <row r="19" spans="1:7" s="229" customFormat="1" ht="13.5" customHeight="1">
      <c r="A19" s="261" t="s">
        <v>2257</v>
      </c>
      <c r="B19" s="216" t="s">
        <v>2258</v>
      </c>
      <c r="C19" s="217">
        <f ca="1">IF(G19="已包含在土地取得成本中","0",ROUND(D19*E19,0))</f>
        <v>390812</v>
      </c>
      <c r="D19" s="956">
        <f ca="1">D9+D10</f>
        <v>1954.06</v>
      </c>
      <c r="E19" s="217">
        <f>'数据-取费表'!B31</f>
        <v>200</v>
      </c>
      <c r="F19" s="237"/>
      <c r="G19" s="2035"/>
    </row>
    <row r="20" spans="1:7" s="220" customFormat="1" ht="13.5" customHeight="1">
      <c r="A20" s="261" t="s">
        <v>2259</v>
      </c>
      <c r="B20" s="216" t="s">
        <v>2260</v>
      </c>
      <c r="C20" s="238">
        <f ca="1">ROUND((C5+C19)*F20,0)</f>
        <v>7816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4">
        <f ca="1">ROUND(SUM(C23:C25),0)</f>
        <v>35080</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6" t="s">
        <v>2157</v>
      </c>
      <c r="B23" s="221" t="s">
        <v>2268</v>
      </c>
      <c r="C23" s="1285">
        <f ca="1">ROUND(IF('数据-取费表'!B22&lt;=1,C5*F22*'数据-取费表'!B22,C5*(POWER((1+F22),'数据-取费表'!B22)-1)),0)</f>
        <v>0</v>
      </c>
      <c r="D23" s="244"/>
      <c r="E23" s="244"/>
      <c r="F23" s="245"/>
      <c r="G23" s="246" t="s">
        <v>2269</v>
      </c>
    </row>
    <row r="24" spans="1:7" s="220" customFormat="1" ht="13.5" customHeight="1">
      <c r="A24" s="886" t="s">
        <v>2159</v>
      </c>
      <c r="B24" s="221" t="s">
        <v>2270</v>
      </c>
      <c r="C24" s="1285">
        <f ca="1">ROUND(IF('数据-取费表'!B22&lt;=1,C19*F22*('数据-取费表'!B19/2+'数据-取费表'!B20),C19*(POWER((1+F22),('数据-取费表'!B19/2+'数据-取费表'!B20))-1)),0)</f>
        <v>34740</v>
      </c>
      <c r="D24" s="244"/>
      <c r="E24" s="244"/>
      <c r="F24" s="245"/>
      <c r="G24" s="246" t="s">
        <v>2271</v>
      </c>
    </row>
    <row r="25" spans="1:7" s="220" customFormat="1" ht="24">
      <c r="A25" s="886" t="s">
        <v>2161</v>
      </c>
      <c r="B25" s="221" t="s">
        <v>2272</v>
      </c>
      <c r="C25" s="1285">
        <f ca="1">ROUND(IF('数据-取费表'!B22&lt;=1,C20*F22*'数据-取费表'!B22/2,C20*(POWER((1+F22),'数据-取费表'!B22/2)-1)),0)</f>
        <v>340</v>
      </c>
      <c r="D25" s="244"/>
      <c r="E25" s="247"/>
      <c r="F25" s="245"/>
      <c r="G25" s="248" t="s">
        <v>2273</v>
      </c>
    </row>
    <row r="26" spans="1:7" s="220" customFormat="1">
      <c r="A26" s="886"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59794</v>
      </c>
      <c r="D27" s="241">
        <f ca="1">C29</f>
        <v>3.0000000000000001E-3</v>
      </c>
      <c r="E27" s="242" t="s">
        <v>2199</v>
      </c>
      <c r="F27" s="252">
        <f ca="1">IF(B1="",'数据-取费表'!Q16,INDIRECT("'数据-取费表'!q"&amp;$G$1))</f>
        <v>0.15</v>
      </c>
      <c r="G27" s="253" t="s">
        <v>2200</v>
      </c>
    </row>
    <row r="28" spans="1:7" s="220" customFormat="1" ht="13.5" customHeight="1">
      <c r="A28" s="886" t="s">
        <v>791</v>
      </c>
      <c r="B28" s="254" t="s">
        <v>2201</v>
      </c>
      <c r="C28" s="255">
        <f ca="1">ROUND((C5+C19+C20)*F27,0)</f>
        <v>59794</v>
      </c>
      <c r="D28" s="241"/>
      <c r="E28" s="242"/>
      <c r="F28" s="252"/>
      <c r="G28" s="253"/>
    </row>
    <row r="29" spans="1:7" s="220" customFormat="1" ht="13.5" customHeight="1">
      <c r="A29" s="886"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534788</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8558783</v>
      </c>
      <c r="D33" s="238"/>
      <c r="E33" s="218"/>
      <c r="F33" s="247"/>
      <c r="G33" s="240"/>
    </row>
    <row r="34" spans="1:7" s="264" customFormat="1" ht="13.5" customHeight="1">
      <c r="A34" s="886" t="s">
        <v>791</v>
      </c>
      <c r="B34" s="221" t="s">
        <v>2210</v>
      </c>
      <c r="C34" s="226">
        <f ca="1">ROUND(IF(B1="",SUMPRODUCT('数据-取费表'!K6:K14,'数据-取费表'!L6:L14),INDIRECT("'数据-取费表'!l"&amp;$G$1)*INDIRECT("'数据-取费表'!k"&amp;$G$1)+'数据-取费表'!L14*INDIRECT("'数据-取费表'!S"&amp;$G$1)),0)</f>
        <v>7816240</v>
      </c>
      <c r="D34" s="223"/>
      <c r="E34" s="226"/>
      <c r="F34" s="263"/>
      <c r="G34" s="225"/>
    </row>
    <row r="35" spans="1:7" ht="13.5" customHeight="1">
      <c r="A35" s="886" t="s">
        <v>796</v>
      </c>
      <c r="B35" s="221" t="s">
        <v>2212</v>
      </c>
      <c r="C35" s="226">
        <f ca="1">ROUND(C34*F35,0)</f>
        <v>234487</v>
      </c>
      <c r="D35" s="226"/>
      <c r="E35" s="226"/>
      <c r="F35" s="265">
        <f>'数据-取费表'!B33</f>
        <v>0.03</v>
      </c>
      <c r="G35" s="225" t="s">
        <v>2213</v>
      </c>
    </row>
    <row r="36" spans="1:7" ht="24">
      <c r="A36" s="886"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6" t="s">
        <v>798</v>
      </c>
      <c r="B37" s="221" t="s">
        <v>2216</v>
      </c>
      <c r="C37" s="255">
        <f ca="1">ROUND(E37*D37,0)</f>
        <v>390812</v>
      </c>
      <c r="D37" s="223">
        <f ca="1">D19</f>
        <v>1954.06</v>
      </c>
      <c r="E37" s="255">
        <f>'数据-取费表'!B35</f>
        <v>200</v>
      </c>
      <c r="F37" s="265"/>
      <c r="G37" s="267"/>
    </row>
    <row r="38" spans="1:7" ht="13.5" customHeight="1">
      <c r="A38" s="886" t="s">
        <v>799</v>
      </c>
      <c r="B38" s="221" t="s">
        <v>2218</v>
      </c>
      <c r="C38" s="226">
        <f ca="1">ROUND(C34*F38,0)</f>
        <v>117244</v>
      </c>
      <c r="D38" s="226"/>
      <c r="E38" s="226"/>
      <c r="F38" s="265">
        <f>'数据-取费表'!B36</f>
        <v>1.4999999999999999E-2</v>
      </c>
      <c r="G38" s="225" t="s">
        <v>2213</v>
      </c>
    </row>
    <row r="39" spans="1:7" s="220" customFormat="1" ht="13.5" customHeight="1">
      <c r="A39" s="261" t="s">
        <v>2219</v>
      </c>
      <c r="B39" s="216" t="s">
        <v>2220</v>
      </c>
      <c r="C39" s="238">
        <f ca="1">ROUND(C33*F20,0)</f>
        <v>171176</v>
      </c>
      <c r="D39" s="238"/>
      <c r="E39" s="238"/>
      <c r="F39" s="2525">
        <f>F20</f>
        <v>0.02</v>
      </c>
      <c r="G39" s="240" t="s">
        <v>2221</v>
      </c>
    </row>
    <row r="40" spans="1:7" s="220" customFormat="1" ht="13.5" customHeight="1">
      <c r="A40" s="261" t="s">
        <v>2222</v>
      </c>
      <c r="B40" s="216" t="s">
        <v>2223</v>
      </c>
      <c r="C40" s="1489">
        <f>F21</f>
        <v>0.02</v>
      </c>
      <c r="D40" s="242" t="s">
        <v>2224</v>
      </c>
      <c r="E40" s="238"/>
      <c r="F40" s="2525">
        <f>F21</f>
        <v>0.02</v>
      </c>
      <c r="G40" s="240" t="s">
        <v>2225</v>
      </c>
    </row>
    <row r="41" spans="1:7" s="220" customFormat="1" ht="13.5" customHeight="1">
      <c r="A41" s="261" t="s">
        <v>2226</v>
      </c>
      <c r="B41" s="216" t="s">
        <v>2227</v>
      </c>
      <c r="C41" s="238">
        <f ca="1">ROUND(SUM(C42:C43),0)</f>
        <v>379753</v>
      </c>
      <c r="D41" s="241">
        <f ca="1">C44</f>
        <v>8.9999999999999998E-4</v>
      </c>
      <c r="E41" s="242" t="s">
        <v>2224</v>
      </c>
      <c r="F41" s="2526">
        <f ca="1">F22</f>
        <v>4.3499999999999997E-2</v>
      </c>
      <c r="G41" s="240" t="str">
        <f>IF('数据-取费表'!B22&lt;=1,"单利计息","复利计息")</f>
        <v>复利计息</v>
      </c>
    </row>
    <row r="42" spans="1:7" ht="13.5" customHeight="1">
      <c r="A42" s="886" t="s">
        <v>791</v>
      </c>
      <c r="B42" s="221" t="s">
        <v>2228</v>
      </c>
      <c r="C42" s="244">
        <f ca="1">ROUND(IF('数据-取费表'!B22&lt;=1,C33*F22*'数据-取费表'!B20/2,C33*(POWER((1+F22),'数据-取费表'!B20/2)-1)),0)</f>
        <v>372307</v>
      </c>
      <c r="D42" s="244"/>
      <c r="E42" s="244"/>
      <c r="F42" s="245"/>
      <c r="G42" s="3284" t="s">
        <v>2276</v>
      </c>
    </row>
    <row r="43" spans="1:7" ht="13.5" customHeight="1">
      <c r="A43" s="886" t="s">
        <v>792</v>
      </c>
      <c r="B43" s="221" t="s">
        <v>2230</v>
      </c>
      <c r="C43" s="244">
        <f ca="1">ROUND(IF('数据-取费表'!B22&lt;=1,C39*F22*'数据-取费表'!B20/2,C39*(POWER((1+F22),'数据-取费表'!B20/2)-1)),0)</f>
        <v>7446</v>
      </c>
      <c r="D43" s="244"/>
      <c r="E43" s="244"/>
      <c r="F43" s="245"/>
      <c r="G43" s="3285"/>
    </row>
    <row r="44" spans="1:7" ht="13.5" customHeight="1">
      <c r="A44" s="886" t="s">
        <v>793</v>
      </c>
      <c r="B44" s="221" t="s">
        <v>2231</v>
      </c>
      <c r="C44" s="244">
        <f ca="1">ROUND(IF('数据-取费表'!B22&lt;=1,C40*F22*'数据-取费表'!B20/2,C40*(POWER((1+F22),'数据-取费表'!B20/2)-1)),4)</f>
        <v>8.9999999999999998E-4</v>
      </c>
      <c r="D44" s="244"/>
      <c r="E44" s="244"/>
      <c r="F44" s="245"/>
      <c r="G44" s="3286"/>
    </row>
    <row r="45" spans="1:7" s="220" customFormat="1" ht="13.5" customHeight="1">
      <c r="A45" s="261" t="s">
        <v>2232</v>
      </c>
      <c r="B45" s="250" t="s">
        <v>2198</v>
      </c>
      <c r="C45" s="251">
        <f ca="1">C46</f>
        <v>1309494</v>
      </c>
      <c r="D45" s="241">
        <f ca="1">C47</f>
        <v>3.0000000000000001E-3</v>
      </c>
      <c r="E45" s="242" t="s">
        <v>2224</v>
      </c>
      <c r="F45" s="2527">
        <f ca="1">F27</f>
        <v>0.15</v>
      </c>
      <c r="G45" s="253" t="s">
        <v>2233</v>
      </c>
    </row>
    <row r="46" spans="1:7" s="220" customFormat="1" ht="13.5" customHeight="1">
      <c r="A46" s="886" t="s">
        <v>791</v>
      </c>
      <c r="B46" s="254" t="s">
        <v>2234</v>
      </c>
      <c r="C46" s="255">
        <f ca="1">ROUND((C33+C39)*F27,0)</f>
        <v>1309494</v>
      </c>
      <c r="D46" s="269"/>
      <c r="E46" s="242"/>
      <c r="F46" s="252"/>
      <c r="G46" s="253"/>
    </row>
    <row r="47" spans="1:7" s="220" customFormat="1" ht="13.5" customHeight="1">
      <c r="A47" s="886"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11290860</v>
      </c>
      <c r="D49" s="238"/>
      <c r="E49" s="238"/>
      <c r="F49" s="270"/>
      <c r="G49" s="240" t="s">
        <v>2239</v>
      </c>
    </row>
    <row r="50" spans="1:7" s="264" customFormat="1">
      <c r="A50" s="261" t="s">
        <v>2240</v>
      </c>
      <c r="B50" s="216" t="s">
        <v>2241</v>
      </c>
      <c r="C50" s="238"/>
      <c r="D50" s="238"/>
      <c r="E50" s="238"/>
      <c r="F50" s="270">
        <f>IF('数据-取费表'!B24=0,'数据-取费表'!N16,1)</f>
        <v>0.71699999999999997</v>
      </c>
      <c r="G50" s="253"/>
    </row>
    <row r="51" spans="1:7" ht="16.5" customHeight="1">
      <c r="A51" s="261" t="s">
        <v>2243</v>
      </c>
      <c r="B51" s="216" t="s">
        <v>2278</v>
      </c>
      <c r="C51" s="238">
        <f ca="1">ROUND(C49*F50,0)</f>
        <v>8095547</v>
      </c>
      <c r="D51" s="238"/>
      <c r="E51" s="238"/>
      <c r="F51" s="270"/>
      <c r="G51" s="240" t="s">
        <v>2245</v>
      </c>
    </row>
    <row r="52" spans="1:7" s="214" customFormat="1" ht="16.5" thickBot="1">
      <c r="A52" s="271" t="s">
        <v>2246</v>
      </c>
      <c r="B52" s="272"/>
      <c r="C52" s="273">
        <f ca="1">C31+C51</f>
        <v>8630335</v>
      </c>
      <c r="D52" s="272"/>
      <c r="E52" s="272"/>
      <c r="F52" s="272"/>
      <c r="G52" s="274"/>
    </row>
    <row r="55" spans="1:7" ht="15">
      <c r="B55" s="276" t="s">
        <v>2247</v>
      </c>
      <c r="C55" s="277"/>
    </row>
    <row r="56" spans="1:7">
      <c r="B56" s="279" t="s">
        <v>1478</v>
      </c>
      <c r="C56" s="281">
        <f ca="1">1-C57</f>
        <v>6.2000000000000055E-2</v>
      </c>
    </row>
    <row r="57" spans="1:7">
      <c r="B57" s="279" t="s">
        <v>1479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2279</v>
      </c>
      <c r="B1" s="1348"/>
      <c r="C1" s="1349"/>
      <c r="D1" s="1347"/>
      <c r="E1" s="3018"/>
      <c r="F1" s="3018"/>
      <c r="G1" s="2881"/>
      <c r="H1" s="3018"/>
      <c r="I1" s="3018"/>
      <c r="J1" s="3018"/>
      <c r="K1" s="3019">
        <f>MATCH(C1,'数据-取费表'!A6:A16,0)+5</f>
        <v>7</v>
      </c>
    </row>
    <row r="2" spans="1:33" ht="18" customHeight="1">
      <c r="A2" s="207" t="s">
        <v>2147</v>
      </c>
      <c r="B2" s="210">
        <f ca="1">C32</f>
        <v>0</v>
      </c>
      <c r="C2" s="282" t="s">
        <v>2280</v>
      </c>
      <c r="D2" s="282"/>
      <c r="E2" s="3018"/>
      <c r="F2" s="3018"/>
      <c r="G2" s="3018"/>
      <c r="H2" s="3018"/>
      <c r="I2" s="3018"/>
      <c r="J2" s="3018"/>
      <c r="K2" s="3018"/>
    </row>
    <row r="3" spans="1:33" ht="18" customHeight="1" thickBot="1">
      <c r="A3" s="209" t="s">
        <v>2149</v>
      </c>
      <c r="B3" s="210">
        <f ca="1">ROUND(B2*10000/IF(C1="",'数据-汇总表'!E3,INDIRECT("'数据-取费表'!K"&amp;$K$1)),0)</f>
        <v>0</v>
      </c>
      <c r="C3" s="282" t="s">
        <v>2281</v>
      </c>
      <c r="D3" s="282"/>
      <c r="E3" s="3018"/>
      <c r="F3" s="3018"/>
      <c r="G3" s="3018"/>
      <c r="H3" s="3018"/>
      <c r="I3" s="3018"/>
      <c r="J3" s="3018"/>
      <c r="K3" s="3018"/>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39" t="s">
        <v>2285</v>
      </c>
      <c r="D5" s="2039" t="s">
        <v>2286</v>
      </c>
      <c r="E5" s="2039" t="s">
        <v>2287</v>
      </c>
      <c r="F5" s="2039"/>
      <c r="G5" s="2039"/>
      <c r="H5" s="2039"/>
      <c r="I5" s="2039"/>
      <c r="J5" s="2039"/>
      <c r="K5" s="2039"/>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0" t="s">
        <v>2291</v>
      </c>
      <c r="B8" s="169"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5"/>
      <c r="F12" s="911">
        <f>'数据-取费表'!B33</f>
        <v>0.03</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5"/>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1954.06</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6"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6"/>
      <c r="H16" s="1345"/>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1954.06</v>
      </c>
      <c r="E17" s="24">
        <f>'数据-取费表'!B32</f>
        <v>0</v>
      </c>
      <c r="F17" s="913"/>
      <c r="G17" s="136" t="s">
        <v>2311</v>
      </c>
      <c r="H17" s="1345"/>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0</v>
      </c>
      <c r="D18" s="953"/>
      <c r="E18" s="24"/>
      <c r="F18" s="911"/>
      <c r="G18" s="2041"/>
      <c r="H18" s="1344"/>
      <c r="I18" s="2042"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0</v>
      </c>
      <c r="F19" s="911"/>
      <c r="G19" s="15"/>
      <c r="H19" s="1346"/>
      <c r="I19" s="916"/>
      <c r="J19" s="916"/>
      <c r="K19" s="917"/>
    </row>
    <row r="20" spans="1:33" s="910" customFormat="1" ht="13.5" customHeight="1">
      <c r="A20" s="906" t="s">
        <v>806</v>
      </c>
      <c r="B20" s="907" t="s">
        <v>2315</v>
      </c>
      <c r="C20" s="24">
        <f ca="1">ROUND(D20*E20/10000,0)</f>
        <v>0</v>
      </c>
      <c r="D20" s="953">
        <f ca="1">IF(C1="",'数据-汇总表'!E6,IF(INDIRECT("'数据-取费表'!c"&amp;$K$1)="住宅",INDIRECT("'数据-取费表'!s"&amp;$K$1),INDIRECT("'数据-取费表'!k"&amp;$K$1)+INDIRECT("'数据-取费表'!s"&amp;$K$1)))</f>
        <v>1954.06</v>
      </c>
      <c r="E20" s="24">
        <f>'数据-取费表'!B28</f>
        <v>0</v>
      </c>
      <c r="F20" s="911"/>
      <c r="G20" s="15"/>
      <c r="H20" s="916"/>
      <c r="I20" s="916"/>
      <c r="J20" s="916"/>
      <c r="K20" s="917"/>
    </row>
    <row r="21" spans="1:33" s="910" customFormat="1" ht="13.5" customHeight="1">
      <c r="A21" s="896" t="s">
        <v>802</v>
      </c>
      <c r="B21" s="920" t="s">
        <v>2316</v>
      </c>
      <c r="C21" s="921">
        <f ca="1">C16+C17+C18</f>
        <v>0</v>
      </c>
      <c r="D21" s="922"/>
      <c r="E21" s="287"/>
      <c r="F21" s="287"/>
      <c r="G21" s="136" t="s">
        <v>2317</v>
      </c>
      <c r="H21" s="914"/>
      <c r="I21" s="914"/>
      <c r="J21" s="914"/>
      <c r="K21" s="915"/>
    </row>
    <row r="22" spans="1:33" s="910" customFormat="1" ht="13.5" customHeight="1">
      <c r="A22" s="896" t="s">
        <v>2289</v>
      </c>
      <c r="B22" s="920" t="s">
        <v>2318</v>
      </c>
      <c r="C22" s="921">
        <f ca="1">ROUND(C21*F22,0)</f>
        <v>0</v>
      </c>
      <c r="D22" s="287"/>
      <c r="E22" s="287"/>
      <c r="F22" s="923">
        <f>'数据-取费表'!B37</f>
        <v>0.02</v>
      </c>
      <c r="G22" s="8" t="s">
        <v>2319</v>
      </c>
      <c r="H22" s="903"/>
      <c r="I22" s="903"/>
      <c r="J22" s="903"/>
      <c r="K22" s="904"/>
    </row>
    <row r="23" spans="1:33" s="910" customFormat="1" ht="13.5" customHeight="1">
      <c r="A23" s="896" t="s">
        <v>2291</v>
      </c>
      <c r="B23" s="920" t="s">
        <v>2320</v>
      </c>
      <c r="C23" s="921">
        <f ca="1">ROUND(C4*F23*F11,0)</f>
        <v>0</v>
      </c>
      <c r="D23" s="287"/>
      <c r="E23" s="287"/>
      <c r="F23" s="923">
        <f>'数据-取费表'!B38</f>
        <v>0.02</v>
      </c>
      <c r="G23" s="8" t="s">
        <v>2321</v>
      </c>
      <c r="H23" s="903"/>
      <c r="I23" s="903"/>
      <c r="J23" s="903"/>
      <c r="K23" s="904"/>
    </row>
    <row r="24" spans="1:33" s="910" customFormat="1" ht="13.5" customHeight="1">
      <c r="A24" s="896" t="s">
        <v>2322</v>
      </c>
      <c r="B24" s="920" t="s">
        <v>2323</v>
      </c>
      <c r="C24" s="286">
        <f>ROUND(F24/(1+'数据-取费表'!C42),4)</f>
        <v>2.9000000000000001E-2</v>
      </c>
      <c r="D24" s="287" t="s">
        <v>15</v>
      </c>
      <c r="E24" s="287"/>
      <c r="F24" s="923">
        <f>IF(项目基本情况!B8="出让",0,'数据-取费表'!B48+'数据-取费表'!B49)</f>
        <v>3.0499999999999999E-2</v>
      </c>
      <c r="G24" s="8" t="s">
        <v>2324</v>
      </c>
      <c r="H24" s="925"/>
      <c r="I24" s="925"/>
      <c r="J24" s="925"/>
      <c r="K24" s="926"/>
    </row>
    <row r="25" spans="1:33" s="910" customFormat="1" ht="13.5" customHeight="1">
      <c r="A25" s="896" t="s">
        <v>2325</v>
      </c>
      <c r="B25" s="922" t="s">
        <v>2326</v>
      </c>
      <c r="C25" s="1261">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2327</v>
      </c>
      <c r="C26" s="1262">
        <f ca="1">ROUND(IF('数据-取费表'!B22&lt;=1,(1+C24)*F25*'数据-取费表'!B24,(1+C24)*(POWER((1+F25),'数据-取费表'!B24)-1)),4)</f>
        <v>0</v>
      </c>
      <c r="D26" s="290"/>
      <c r="E26" s="291"/>
      <c r="F26" s="292"/>
      <c r="G26" s="2043"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2328</v>
      </c>
      <c r="C27" s="1263">
        <f ca="1">ROUND(IF('数据-取费表'!B22&lt;=1,(C21+C22+C23)*F25*'数据-取费表'!B24/2,(C21+C22+C23)*(POWER((1+F25),'数据-取费表'!B24/2)-1)),0)</f>
        <v>0</v>
      </c>
      <c r="D27" s="290"/>
      <c r="E27" s="291"/>
      <c r="F27" s="292"/>
      <c r="G27" s="2043" t="str">
        <f>IF('数据-取费表'!B22&lt;=1,"（1）-（3）项×年利率×建设期÷2","（1）-（3）项×((1+年利率)^(建设期÷2)-1)")</f>
        <v>（1）-（3）项×((1+年利率)^(建设期÷2)-1)</v>
      </c>
      <c r="H27" s="914"/>
      <c r="I27" s="914"/>
      <c r="J27" s="914"/>
      <c r="K27" s="915"/>
    </row>
    <row r="28" spans="1:33" s="295" customFormat="1" ht="13.5" customHeight="1">
      <c r="A28" s="896" t="s">
        <v>2329</v>
      </c>
      <c r="B28" s="2044" t="s">
        <v>2330</v>
      </c>
      <c r="C28" s="293">
        <f ca="1">C30</f>
        <v>0</v>
      </c>
      <c r="D28" s="286">
        <f ca="1">C29</f>
        <v>0</v>
      </c>
      <c r="E28" s="288" t="s">
        <v>15</v>
      </c>
      <c r="F28" s="294">
        <f ca="1">IF(C1="",'数据-取费表'!Q16,INDIRECT("'数据-取费表'!q"&amp;$K$1))</f>
        <v>0.15</v>
      </c>
      <c r="G28" s="924"/>
      <c r="H28" s="925"/>
      <c r="I28" s="925"/>
      <c r="J28" s="925"/>
      <c r="K28" s="926"/>
    </row>
    <row r="29" spans="1:33" s="297" customFormat="1" ht="13.5" customHeight="1">
      <c r="A29" s="906" t="s">
        <v>803</v>
      </c>
      <c r="B29" s="929" t="s">
        <v>2331</v>
      </c>
      <c r="C29" s="290">
        <f ca="1">ROUND((1+C24)*F28*'数据-取费表'!B24/'数据-取费表'!B20,4)</f>
        <v>0</v>
      </c>
      <c r="D29" s="290"/>
      <c r="E29" s="291"/>
      <c r="F29" s="296"/>
      <c r="G29" s="136" t="s">
        <v>2332</v>
      </c>
      <c r="H29" s="914"/>
      <c r="I29" s="914"/>
      <c r="J29" s="914"/>
      <c r="K29" s="915"/>
    </row>
    <row r="30" spans="1:33" s="297" customFormat="1" ht="13.5" customHeight="1">
      <c r="A30" s="906" t="s">
        <v>804</v>
      </c>
      <c r="B30" s="929" t="s">
        <v>2333</v>
      </c>
      <c r="C30" s="298">
        <f ca="1">ROUND((C21+C22+C23)*F28,0)</f>
        <v>0</v>
      </c>
      <c r="D30" s="290"/>
      <c r="E30" s="291"/>
      <c r="F30" s="296"/>
      <c r="G30" s="136"/>
      <c r="H30" s="914"/>
      <c r="I30" s="914"/>
      <c r="J30" s="914"/>
      <c r="K30" s="915"/>
    </row>
    <row r="31" spans="1:33" s="910" customFormat="1" ht="13.5" customHeight="1" thickBot="1">
      <c r="A31" s="2045"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0</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0"/>
      <c r="C1" s="1556"/>
      <c r="D1" s="1539"/>
      <c r="E1" s="1540" t="s">
        <v>1352</v>
      </c>
      <c r="F1" s="1188">
        <f ca="1">J53</f>
        <v>0</v>
      </c>
      <c r="G1" s="1555">
        <f>MATCH(C1,'数据-取费表'!A6:A16,0)+5</f>
        <v>7</v>
      </c>
      <c r="H1" s="2902"/>
      <c r="I1" s="2903"/>
      <c r="J1" s="2903"/>
      <c r="K1" s="2904"/>
      <c r="L1" s="2903"/>
      <c r="M1" s="290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1480</v>
      </c>
      <c r="B2" s="1563" t="e">
        <f ca="1">C40+J29+L46</f>
        <v>#DIV/0!</v>
      </c>
      <c r="C2" s="1564" t="s">
        <v>1481</v>
      </c>
      <c r="D2" s="1564"/>
      <c r="E2" s="1565"/>
      <c r="F2" s="1566"/>
      <c r="G2" s="2916"/>
      <c r="H2" s="2905"/>
      <c r="I2" s="2905"/>
      <c r="J2" s="2905"/>
      <c r="K2" s="2906"/>
      <c r="L2" s="2905"/>
      <c r="M2" s="2905"/>
    </row>
    <row r="3" spans="1:37" ht="18" customHeight="1" thickBot="1">
      <c r="A3" s="1567" t="s">
        <v>1482</v>
      </c>
      <c r="B3" s="1568">
        <f ca="1">IF(ISERROR(B2*10000/F43),0,ROUND(B2*10000/F43,0))</f>
        <v>0</v>
      </c>
      <c r="C3" s="1564" t="s">
        <v>1483</v>
      </c>
      <c r="D3" s="1564"/>
      <c r="E3" s="1565"/>
      <c r="F3" s="1566"/>
      <c r="G3" s="2916"/>
      <c r="H3" s="690"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7">
        <f ca="1">C6+C10+C12</f>
        <v>0</v>
      </c>
      <c r="D5" s="1541" t="s">
        <v>1367</v>
      </c>
      <c r="E5" s="1198"/>
      <c r="F5" s="1199"/>
      <c r="G5" s="1561"/>
      <c r="H5" s="305">
        <v>1</v>
      </c>
      <c r="I5" s="306" t="s">
        <v>1366</v>
      </c>
      <c r="J5" s="1197">
        <f ca="1">J6+J10+J12</f>
        <v>0</v>
      </c>
      <c r="K5" s="1541" t="s">
        <v>1367</v>
      </c>
      <c r="L5" s="1198"/>
      <c r="M5" s="1199"/>
    </row>
    <row r="6" spans="1:37" ht="18" customHeight="1">
      <c r="A6" s="1196" t="s">
        <v>1003</v>
      </c>
      <c r="B6" s="3289" t="s">
        <v>1368</v>
      </c>
      <c r="C6" s="1201">
        <f ca="1">ROUND(F6*F8*F7*(1-F9)/10000,0)</f>
        <v>0</v>
      </c>
      <c r="D6" s="160" t="s">
        <v>2846</v>
      </c>
      <c r="E6" s="308" t="s">
        <v>1370</v>
      </c>
      <c r="F6" s="309">
        <f ca="1">INDIRECT("'数据-取费表'!u"&amp;$G$1)</f>
        <v>0</v>
      </c>
      <c r="G6" s="1561"/>
      <c r="H6" s="1196" t="s">
        <v>1003</v>
      </c>
      <c r="I6" s="3289" t="s">
        <v>1368</v>
      </c>
      <c r="J6" s="307">
        <f ca="1">ROUND(M6*M8*M7*(1-M9)/10000,0)</f>
        <v>0</v>
      </c>
      <c r="K6" s="160" t="s">
        <v>2845</v>
      </c>
      <c r="L6" s="308" t="s">
        <v>1370</v>
      </c>
      <c r="M6" s="309">
        <f ca="1">INDIRECT("'数据-取费表'!z"&amp;$G$1)</f>
        <v>0</v>
      </c>
    </row>
    <row r="7" spans="1:37" ht="18" customHeight="1">
      <c r="A7" s="1200"/>
      <c r="B7" s="3290"/>
      <c r="C7" s="1202"/>
      <c r="D7" s="313"/>
      <c r="E7" s="1203" t="s">
        <v>1371</v>
      </c>
      <c r="F7" s="309">
        <f ca="1">IF(INDIRECT("'数据-取费表'!ah"&amp;$G$1)="",INDIRECT("'数据-取费表'!k"&amp;$G$1),INDIRECT("'数据-取费表'!ah"&amp;$G$1))</f>
        <v>0</v>
      </c>
      <c r="G7" s="1561"/>
      <c r="H7" s="310"/>
      <c r="I7" s="3290"/>
      <c r="J7" s="312"/>
      <c r="K7" s="313"/>
      <c r="L7" s="308" t="s">
        <v>1371</v>
      </c>
      <c r="M7" s="309">
        <f ca="1">F7</f>
        <v>0</v>
      </c>
    </row>
    <row r="8" spans="1:37" ht="18" customHeight="1">
      <c r="A8" s="310"/>
      <c r="B8" s="3290"/>
      <c r="C8" s="312"/>
      <c r="D8" s="313"/>
      <c r="E8" s="308" t="s">
        <v>1372</v>
      </c>
      <c r="F8" s="309">
        <f ca="1">INDIRECT("'数据-取费表'!ai"&amp;$G$1)</f>
        <v>365</v>
      </c>
      <c r="G8" s="1561"/>
      <c r="H8" s="310"/>
      <c r="I8" s="3290"/>
      <c r="J8" s="312"/>
      <c r="K8" s="313"/>
      <c r="L8" s="308" t="s">
        <v>1372</v>
      </c>
      <c r="M8" s="309">
        <f ca="1">INDIRECT("'数据-取费表'!ai"&amp;$G$1)</f>
        <v>365</v>
      </c>
    </row>
    <row r="9" spans="1:37" ht="18" customHeight="1">
      <c r="A9" s="310"/>
      <c r="B9" s="3291"/>
      <c r="C9" s="312"/>
      <c r="D9" s="313"/>
      <c r="E9" s="308" t="s">
        <v>1373</v>
      </c>
      <c r="F9" s="318">
        <f ca="1">INDIRECT("'数据-取费表'!w"&amp;$G$1)</f>
        <v>0</v>
      </c>
      <c r="G9" s="1561"/>
      <c r="H9" s="310"/>
      <c r="I9" s="3291"/>
      <c r="J9" s="312"/>
      <c r="K9" s="313"/>
      <c r="L9" s="319" t="s">
        <v>1373</v>
      </c>
      <c r="M9" s="320">
        <f ca="1">INDIRECT("'数据-取费表'!ab"&amp;$G$1)</f>
        <v>0</v>
      </c>
    </row>
    <row r="10" spans="1:37" ht="18" customHeight="1">
      <c r="A10" s="1196" t="s">
        <v>1007</v>
      </c>
      <c r="B10" s="1542" t="s">
        <v>1374</v>
      </c>
      <c r="C10" s="322">
        <f ca="1">ROUND(IF(F10="押一",C6/12*F11,IF(F10="押二",C6/12*2*F11,IF(F10="押三",C6/12*3*F11,C11*F11))),0)</f>
        <v>0</v>
      </c>
      <c r="D10" s="1543" t="s">
        <v>2854</v>
      </c>
      <c r="E10" s="319" t="s">
        <v>1375</v>
      </c>
      <c r="F10" s="1271"/>
      <c r="G10" s="1561"/>
      <c r="H10" s="1196" t="s">
        <v>1007</v>
      </c>
      <c r="I10" s="1542" t="s">
        <v>1374</v>
      </c>
      <c r="J10" s="307">
        <f ca="1">ROUND(IF(M10="押一",J6/12*M11,IF(M10="押二",J6/12*2*M11,IF(M10="押三",J6/12*3*M11,J11*M11))),0)</f>
        <v>0</v>
      </c>
      <c r="K10" s="1543" t="s">
        <v>2853</v>
      </c>
      <c r="L10" s="319" t="s">
        <v>1375</v>
      </c>
      <c r="M10" s="1271" t="s">
        <v>1376</v>
      </c>
    </row>
    <row r="11" spans="1:37" ht="18" customHeight="1">
      <c r="A11" s="314"/>
      <c r="B11" s="1544" t="s">
        <v>1353</v>
      </c>
      <c r="C11" s="1087"/>
      <c r="D11" s="1545"/>
      <c r="E11" s="319" t="s">
        <v>1377</v>
      </c>
      <c r="F11" s="320">
        <f ca="1">'数据-取费表'!B39</f>
        <v>1.4999999999999999E-2</v>
      </c>
      <c r="G11" s="1561"/>
      <c r="H11" s="1204"/>
      <c r="I11" s="1544" t="s">
        <v>1353</v>
      </c>
      <c r="J11" s="1087"/>
      <c r="K11" s="691"/>
      <c r="L11" s="319" t="s">
        <v>1377</v>
      </c>
      <c r="M11" s="969">
        <f ca="1">'数据-取费表'!B39</f>
        <v>1.4999999999999999E-2</v>
      </c>
    </row>
    <row r="12" spans="1:37" ht="18" customHeight="1" thickBot="1">
      <c r="A12" s="1238" t="s">
        <v>1043</v>
      </c>
      <c r="B12" s="1546" t="s">
        <v>1378</v>
      </c>
      <c r="C12" s="1239"/>
      <c r="D12" s="1240"/>
      <c r="E12" s="1245"/>
      <c r="F12" s="1241"/>
      <c r="G12" s="1561"/>
      <c r="H12" s="1238" t="s">
        <v>1043</v>
      </c>
      <c r="I12" s="1546"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1"/>
      <c r="H13" s="1234">
        <v>2</v>
      </c>
      <c r="I13" s="1235" t="s">
        <v>1379</v>
      </c>
      <c r="J13" s="1195">
        <f ca="1">ROUND(J14*J15,0)</f>
        <v>0</v>
      </c>
      <c r="K13" s="1242" t="s">
        <v>1380</v>
      </c>
      <c r="L13" s="1569"/>
      <c r="M13" s="1570"/>
    </row>
    <row r="14" spans="1:37" ht="18" customHeight="1">
      <c r="A14" s="1110" t="s">
        <v>1002</v>
      </c>
      <c r="B14" s="308" t="s">
        <v>1382</v>
      </c>
      <c r="C14" s="324">
        <f ca="1">INDIRECT("'数据-取费表'!m"&amp;$G$1)+INDIRECT("'数据-取费表'!t"&amp;$G$1)</f>
        <v>0</v>
      </c>
      <c r="D14" s="1522" t="s">
        <v>1383</v>
      </c>
      <c r="E14" s="1519"/>
      <c r="F14" s="325"/>
      <c r="G14" s="1561"/>
      <c r="H14" s="1110" t="s">
        <v>1003</v>
      </c>
      <c r="I14" s="308" t="s">
        <v>1384</v>
      </c>
      <c r="J14" s="24">
        <f ca="1">C29</f>
        <v>0</v>
      </c>
      <c r="K14" s="15"/>
      <c r="L14" s="914"/>
      <c r="M14" s="915"/>
    </row>
    <row r="15" spans="1:37" s="1574" customFormat="1" ht="18" customHeight="1" thickBot="1">
      <c r="A15" s="1110" t="s">
        <v>1004</v>
      </c>
      <c r="B15" s="308" t="s">
        <v>1385</v>
      </c>
      <c r="C15" s="24">
        <f ca="1">ROUND(C14*F15,0)</f>
        <v>0</v>
      </c>
      <c r="D15" s="326" t="s">
        <v>1386</v>
      </c>
      <c r="E15" s="326" t="s">
        <v>1387</v>
      </c>
      <c r="F15" s="327">
        <f>'数据-取费表'!B33</f>
        <v>0.03</v>
      </c>
      <c r="G15" s="1573"/>
      <c r="H15" s="1244" t="s">
        <v>1007</v>
      </c>
      <c r="I15" s="1245" t="s">
        <v>1381</v>
      </c>
      <c r="J15" s="1254">
        <f ca="1">INDIRECT("'数据-取费表'!ad"&amp;$G$1)</f>
        <v>0</v>
      </c>
      <c r="K15" s="1255"/>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1"/>
      <c r="H16" s="1234" t="s">
        <v>998</v>
      </c>
      <c r="I16" s="1235" t="s">
        <v>1389</v>
      </c>
      <c r="J16" s="316">
        <f ca="1">ROUND(J17+J22+J23+J24,0)</f>
        <v>0</v>
      </c>
      <c r="K16" s="1242" t="s">
        <v>1390</v>
      </c>
      <c r="L16" s="1243"/>
      <c r="M16" s="1199"/>
    </row>
    <row r="17" spans="1:37" s="1574" customFormat="1" ht="18" customHeight="1">
      <c r="A17" s="1110" t="s">
        <v>1355</v>
      </c>
      <c r="B17" s="308" t="s">
        <v>1391</v>
      </c>
      <c r="C17" s="24">
        <f ca="1">ROUND(F17*(F43+INDIRECT("'数据-取费表'!S"&amp;$G$1))/10000,0)</f>
        <v>0</v>
      </c>
      <c r="D17" s="308" t="s">
        <v>1392</v>
      </c>
      <c r="E17" s="308" t="s">
        <v>1393</v>
      </c>
      <c r="F17" s="26">
        <f>'数据-取费表'!B35</f>
        <v>200</v>
      </c>
      <c r="G17" s="1573"/>
      <c r="H17" s="1110" t="s">
        <v>1003</v>
      </c>
      <c r="I17" s="308" t="s">
        <v>1394</v>
      </c>
      <c r="J17" s="2524">
        <f ca="1">ROUND(IF(AND(项目基本情况!B11="自然人",项目基本情况!B10="北京市"),J6*M17/(1+'数据-取费表'!C42),J18+J19+J20),0)</f>
        <v>0</v>
      </c>
      <c r="K17" s="1522" t="s">
        <v>1395</v>
      </c>
      <c r="L17" s="1521" t="s">
        <v>1396</v>
      </c>
      <c r="M17" s="2523"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10" t="s">
        <v>1356</v>
      </c>
      <c r="B18" s="308" t="s">
        <v>1397</v>
      </c>
      <c r="C18" s="24">
        <f ca="1">ROUND(C14*F18,0)</f>
        <v>0</v>
      </c>
      <c r="D18" s="308" t="s">
        <v>1386</v>
      </c>
      <c r="E18" s="308" t="s">
        <v>1387</v>
      </c>
      <c r="F18" s="328">
        <f>'数据-取费表'!B36</f>
        <v>1.4999999999999999E-2</v>
      </c>
      <c r="G18" s="1573"/>
      <c r="H18" s="1110" t="s">
        <v>1002</v>
      </c>
      <c r="I18" s="308" t="s">
        <v>1398</v>
      </c>
      <c r="J18" s="24">
        <f ca="1">ROUND(J6*M18/(1+'数据-取费表'!C42),2)</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10" t="s">
        <v>1003</v>
      </c>
      <c r="B19" s="308" t="s">
        <v>1400</v>
      </c>
      <c r="C19" s="24">
        <f ca="1">SUM(C14:C18)</f>
        <v>0</v>
      </c>
      <c r="D19" s="136" t="s">
        <v>1401</v>
      </c>
      <c r="E19" s="1537"/>
      <c r="F19" s="26"/>
      <c r="G19" s="1561"/>
      <c r="H19" s="1110" t="s">
        <v>1004</v>
      </c>
      <c r="I19" s="308" t="s">
        <v>1402</v>
      </c>
      <c r="J19" s="24">
        <f ca="1">IF(K19="按租金收入计税",ROUND(J6*M19/(1+'数据-取费表'!C42),2),ROUND(C29*M19*0.7,2))</f>
        <v>0</v>
      </c>
      <c r="K19" s="1547" t="s">
        <v>1403</v>
      </c>
      <c r="L19" s="308" t="s">
        <v>1387</v>
      </c>
      <c r="M19" s="328">
        <f>IF(K19="按租金收入计税",'数据-取费表'!B51,'数据-取费表'!B50)</f>
        <v>1.2E-2</v>
      </c>
    </row>
    <row r="20" spans="1:37" s="1574" customFormat="1" ht="18" customHeight="1">
      <c r="A20" s="1110" t="s">
        <v>1007</v>
      </c>
      <c r="B20" s="308" t="s">
        <v>1404</v>
      </c>
      <c r="C20" s="24">
        <f ca="1">ROUND(C19*F20,0)</f>
        <v>0</v>
      </c>
      <c r="D20" s="329" t="s">
        <v>1405</v>
      </c>
      <c r="E20" s="308" t="s">
        <v>1387</v>
      </c>
      <c r="F20" s="328">
        <f>'数据-取费表'!B37</f>
        <v>0.02</v>
      </c>
      <c r="G20" s="1573"/>
      <c r="H20" s="1110" t="s">
        <v>1354</v>
      </c>
      <c r="I20" s="160" t="s">
        <v>1406</v>
      </c>
      <c r="J20" s="25">
        <f ca="1">ROUND(M20*M21/10000,2)</f>
        <v>0</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10"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7"/>
      <c r="F22" s="26"/>
      <c r="G22" s="1561"/>
      <c r="H22" s="1110" t="s">
        <v>1007</v>
      </c>
      <c r="I22" s="308" t="s">
        <v>1414</v>
      </c>
      <c r="J22" s="24">
        <f ca="1">ROUND(J14*M22,1)</f>
        <v>0</v>
      </c>
      <c r="K22" s="1521" t="s">
        <v>1415</v>
      </c>
      <c r="L22" s="308" t="s">
        <v>1387</v>
      </c>
      <c r="M22" s="334">
        <f ca="1">INDIRECT("'数据-取费表'!Ak"&amp;$G$1)</f>
        <v>0</v>
      </c>
    </row>
    <row r="23" spans="1:37" s="1574"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10" t="s">
        <v>1043</v>
      </c>
      <c r="I23" s="308" t="s">
        <v>1418</v>
      </c>
      <c r="J23" s="24">
        <f ca="1">ROUND(J13*M23,1)</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4" t="s">
        <v>1358</v>
      </c>
      <c r="I24" s="1245" t="s">
        <v>1404</v>
      </c>
      <c r="J24" s="1246">
        <f ca="1">ROUND(J5*M24,1)</f>
        <v>0</v>
      </c>
      <c r="K24" s="1247" t="s">
        <v>1424</v>
      </c>
      <c r="L24" s="1245" t="s">
        <v>1420</v>
      </c>
      <c r="M24" s="1241">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10" t="s">
        <v>1425</v>
      </c>
      <c r="B25" s="308" t="s">
        <v>1426</v>
      </c>
      <c r="C25" s="24"/>
      <c r="D25" s="136" t="s">
        <v>1427</v>
      </c>
      <c r="E25" s="1537"/>
      <c r="F25" s="26"/>
      <c r="G25" s="1561"/>
      <c r="H25" s="1234" t="s">
        <v>999</v>
      </c>
      <c r="I25" s="1249" t="s">
        <v>1428</v>
      </c>
      <c r="J25" s="316">
        <f ca="1">J5-J16</f>
        <v>0</v>
      </c>
      <c r="K25" s="1250" t="s">
        <v>1429</v>
      </c>
      <c r="L25" s="1251"/>
      <c r="M25" s="1252"/>
    </row>
    <row r="26" spans="1:37">
      <c r="A26" s="1110"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10"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4" t="s">
        <v>1006</v>
      </c>
      <c r="B29" s="1245" t="s">
        <v>1443</v>
      </c>
      <c r="C29" s="1246">
        <f ca="1">ROUND((C19+C20+C23+C26)/(1-F21-C24-C27-C28),0)</f>
        <v>0</v>
      </c>
      <c r="D29" s="1247"/>
      <c r="E29" s="1245"/>
      <c r="F29" s="1248"/>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4" t="s">
        <v>998</v>
      </c>
      <c r="B30" s="1235" t="s">
        <v>1389</v>
      </c>
      <c r="C30" s="316">
        <f ca="1">ROUND(C31+C36+C37+C38,0)</f>
        <v>0</v>
      </c>
      <c r="D30" s="1242" t="s">
        <v>1390</v>
      </c>
      <c r="E30" s="1243"/>
      <c r="F30" s="1199"/>
      <c r="G30" s="1561"/>
      <c r="H30" s="2907"/>
      <c r="I30" s="1575"/>
      <c r="J30" s="1576"/>
      <c r="K30" s="2684"/>
      <c r="L30" s="2908"/>
      <c r="M30" s="2909"/>
    </row>
    <row r="31" spans="1:37" ht="18" customHeight="1">
      <c r="A31" s="1110" t="s">
        <v>1003</v>
      </c>
      <c r="B31" s="308" t="s">
        <v>1394</v>
      </c>
      <c r="C31" s="2524">
        <f ca="1">ROUND(IF(AND(项目基本情况!B11="自然人",项目基本情况!B10="北京市"),C6*F31/(1+'数据-取费表'!C42),C32+C33+C34),0)</f>
        <v>0</v>
      </c>
      <c r="D31" s="1522" t="s">
        <v>1395</v>
      </c>
      <c r="E31" s="1521" t="s">
        <v>1446</v>
      </c>
      <c r="F31" s="2523" t="str">
        <f>IF(项目基本情况!B11="企业","——",IF('数据-取费表'!B10="住宅",IF(F6*F7*F8/12/(1+'数据-取费表'!F30)&gt;100000,4%,2.5%),IF(F6*F7*F8/12/(1+'数据-取费表'!F30)&gt;100000,12%,7%)))</f>
        <v>——</v>
      </c>
      <c r="G31" s="1561"/>
      <c r="H31" s="3020" t="s">
        <v>3048</v>
      </c>
      <c r="I31" s="1575"/>
      <c r="J31" s="1576"/>
      <c r="K31" s="2684"/>
      <c r="L31" s="2908"/>
      <c r="M31" s="2909"/>
    </row>
    <row r="32" spans="1:37" ht="18" customHeight="1">
      <c r="A32" s="1110" t="s">
        <v>1002</v>
      </c>
      <c r="B32" s="308" t="s">
        <v>1398</v>
      </c>
      <c r="C32" s="24">
        <f ca="1">IF(项目基本情况!B11="自然人","——",ROUND(C6*F32/(1+'数据-取费表'!C42),2))</f>
        <v>0</v>
      </c>
      <c r="D32" s="1521" t="s">
        <v>1399</v>
      </c>
      <c r="E32" s="308" t="s">
        <v>1387</v>
      </c>
      <c r="F32" s="337">
        <f>'数据-取费表'!B41</f>
        <v>5.6000000000000001E-2</v>
      </c>
      <c r="G32" s="1561"/>
      <c r="H32" s="2907"/>
      <c r="I32" s="1575"/>
      <c r="J32" s="1576"/>
      <c r="K32" s="2684"/>
      <c r="L32" s="2908"/>
      <c r="M32" s="2909"/>
    </row>
    <row r="33" spans="1:18" ht="18" customHeight="1">
      <c r="A33" s="1110" t="s">
        <v>1004</v>
      </c>
      <c r="B33" s="308" t="s">
        <v>1402</v>
      </c>
      <c r="C33" s="24">
        <f ca="1">IF(项目基本情况!B11="自然人","——",IF(D33="按租金收入计税",ROUND(C6*F33/(1+'数据-取费表'!C42),2),IF(D33="按房产原值计税",ROUND(C29*F33*0.7,2),INDIRECT("'数据-取费表'!Aj"&amp;$G$1))))</f>
        <v>0</v>
      </c>
      <c r="D33" s="1547" t="s">
        <v>1403</v>
      </c>
      <c r="E33" s="308" t="s">
        <v>1387</v>
      </c>
      <c r="F33" s="328">
        <f>IF(D33="按票据","——",IF(D33="按租金收入计税",'数据-取费表'!B51,'数据-取费表'!B50))</f>
        <v>1.2E-2</v>
      </c>
      <c r="G33" s="1561"/>
      <c r="H33" s="2910"/>
      <c r="I33" s="1575"/>
      <c r="J33" s="1576"/>
      <c r="K33" s="2911"/>
      <c r="L33" s="2910"/>
      <c r="M33" s="2910"/>
    </row>
    <row r="34" spans="1:18" ht="18" customHeight="1">
      <c r="A34" s="1196" t="s">
        <v>1354</v>
      </c>
      <c r="B34" s="160" t="s">
        <v>1406</v>
      </c>
      <c r="C34" s="25">
        <f ca="1">IF(项目基本情况!B11="自然人","——",ROUND(F34*F35/10000,2))</f>
        <v>0</v>
      </c>
      <c r="D34" s="330" t="s">
        <v>1407</v>
      </c>
      <c r="E34" s="308" t="s">
        <v>1408</v>
      </c>
      <c r="F34" s="331">
        <f>'数据-取费表'!B52</f>
        <v>1.5</v>
      </c>
      <c r="G34" s="1561"/>
      <c r="H34" s="2907"/>
      <c r="I34" s="1575"/>
      <c r="J34" s="1576"/>
      <c r="K34" s="2912"/>
      <c r="L34" s="2913"/>
      <c r="M34" s="2913"/>
    </row>
    <row r="35" spans="1:18" ht="18" customHeight="1">
      <c r="A35" s="1258"/>
      <c r="B35" s="1256"/>
      <c r="C35" s="29"/>
      <c r="D35" s="333"/>
      <c r="E35" s="308" t="s">
        <v>1412</v>
      </c>
      <c r="F35" s="309">
        <f ca="1">INDIRECT("'数据-取费表'!r"&amp;$G$1)</f>
        <v>0</v>
      </c>
      <c r="G35" s="1561"/>
      <c r="H35" s="2907"/>
      <c r="I35" s="1575"/>
      <c r="J35" s="1576"/>
      <c r="K35" s="2911"/>
      <c r="L35" s="2910"/>
      <c r="M35" s="2910"/>
    </row>
    <row r="36" spans="1:18" ht="18" customHeight="1">
      <c r="A36" s="1257" t="s">
        <v>1007</v>
      </c>
      <c r="B36" s="308" t="s">
        <v>1414</v>
      </c>
      <c r="C36" s="24">
        <f ca="1">ROUND(C29*F36,1)</f>
        <v>0</v>
      </c>
      <c r="D36" s="1521" t="s">
        <v>1447</v>
      </c>
      <c r="E36" s="308" t="s">
        <v>1387</v>
      </c>
      <c r="F36" s="334">
        <f ca="1">INDIRECT("'数据-取费表'!Ak"&amp;$G$1)</f>
        <v>0</v>
      </c>
      <c r="G36" s="1561"/>
      <c r="H36" s="2910"/>
      <c r="I36" s="1575"/>
      <c r="J36" s="1576"/>
      <c r="K36" s="2752"/>
      <c r="L36" s="2910"/>
      <c r="M36" s="2910"/>
    </row>
    <row r="37" spans="1:18" ht="18" customHeight="1">
      <c r="A37" s="1110" t="s">
        <v>1043</v>
      </c>
      <c r="B37" s="308" t="s">
        <v>1418</v>
      </c>
      <c r="C37" s="24">
        <f ca="1">ROUND(C13*F37,1)</f>
        <v>0</v>
      </c>
      <c r="D37" s="1521" t="s">
        <v>1419</v>
      </c>
      <c r="E37" s="308" t="s">
        <v>1420</v>
      </c>
      <c r="F37" s="336">
        <f ca="1">INDIRECT("'数据-取费表'!Al"&amp;$G$1)</f>
        <v>0</v>
      </c>
      <c r="G37" s="1561"/>
      <c r="H37" s="2910"/>
      <c r="I37" s="1575"/>
      <c r="J37" s="1576"/>
      <c r="K37" s="2752"/>
      <c r="L37" s="2910"/>
      <c r="M37" s="2910"/>
    </row>
    <row r="38" spans="1:18" ht="18" customHeight="1" thickBot="1">
      <c r="A38" s="1244" t="s">
        <v>1358</v>
      </c>
      <c r="B38" s="1245" t="s">
        <v>1404</v>
      </c>
      <c r="C38" s="1246">
        <f ca="1">ROUND(C5*F38,1)</f>
        <v>0</v>
      </c>
      <c r="D38" s="1247" t="s">
        <v>1424</v>
      </c>
      <c r="E38" s="1245" t="s">
        <v>1420</v>
      </c>
      <c r="F38" s="1241">
        <f ca="1">INDIRECT("'数据-取费表'!Am"&amp;$G$1)</f>
        <v>0</v>
      </c>
      <c r="G38" s="1561"/>
      <c r="H38" s="2910"/>
      <c r="I38" s="1575"/>
      <c r="J38" s="1576"/>
      <c r="K38" s="2914"/>
      <c r="L38" s="2910"/>
      <c r="M38" s="2910"/>
    </row>
    <row r="39" spans="1:18" ht="24.6" customHeight="1" thickTop="1">
      <c r="A39" s="1234" t="s">
        <v>999</v>
      </c>
      <c r="B39" s="1249" t="s">
        <v>1448</v>
      </c>
      <c r="C39" s="316">
        <f ca="1">C5-C30</f>
        <v>0</v>
      </c>
      <c r="D39" s="1250" t="s">
        <v>1449</v>
      </c>
      <c r="E39" s="1251"/>
      <c r="F39" s="1252"/>
      <c r="G39" s="1561"/>
      <c r="H39" s="2910"/>
      <c r="I39" s="1575"/>
      <c r="J39" s="1576"/>
      <c r="K39" s="2914"/>
      <c r="L39" s="2910"/>
      <c r="M39" s="2910"/>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14"/>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8"/>
      <c r="I41" s="1575"/>
      <c r="J41" s="1576"/>
      <c r="K41" s="2752"/>
      <c r="L41" s="1348"/>
      <c r="M41" s="1348"/>
    </row>
    <row r="42" spans="1:18" ht="18" customHeight="1">
      <c r="A42" s="314"/>
      <c r="B42" s="315"/>
      <c r="C42" s="316"/>
      <c r="D42" s="333"/>
      <c r="E42" s="308" t="s">
        <v>1442</v>
      </c>
      <c r="F42" s="318">
        <f ca="1">INDIRECT("'数据-取费表'!v"&amp;$G$1)</f>
        <v>0</v>
      </c>
      <c r="G42" s="1561"/>
      <c r="H42" s="1348"/>
      <c r="I42" s="1575"/>
      <c r="J42" s="1576"/>
      <c r="K42" s="2752"/>
      <c r="L42" s="1348"/>
      <c r="M42" s="1348"/>
    </row>
    <row r="43" spans="1:18" ht="18" customHeight="1" thickBot="1">
      <c r="A43" s="340" t="s">
        <v>1001</v>
      </c>
      <c r="B43" s="341" t="s">
        <v>1452</v>
      </c>
      <c r="C43" s="342" t="e">
        <f ca="1">ROUND(C40*10000/F43,0)</f>
        <v>#DIV/0!</v>
      </c>
      <c r="D43" s="343" t="s">
        <v>1453</v>
      </c>
      <c r="E43" s="344" t="s">
        <v>1454</v>
      </c>
      <c r="F43" s="345">
        <f ca="1">INDIRECT("'数据-取费表'!k"&amp;$G$1)</f>
        <v>0</v>
      </c>
      <c r="G43" s="1561"/>
      <c r="H43" s="1348"/>
      <c r="I43" s="1348"/>
      <c r="J43" s="1348"/>
      <c r="K43" s="2752"/>
      <c r="L43" s="1348"/>
      <c r="M43" s="1348"/>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3"/>
      <c r="O45" s="2915" t="s">
        <v>1484</v>
      </c>
      <c r="P45" s="1638"/>
      <c r="Q45" s="1638"/>
      <c r="R45" s="1638"/>
    </row>
    <row r="46" spans="1:18" s="1561" customFormat="1" ht="13.5" thickBot="1">
      <c r="A46" s="1581" t="s">
        <v>1485</v>
      </c>
      <c r="C46" s="1582" t="e">
        <f ca="1">C68-C40</f>
        <v>#DIV/0!</v>
      </c>
      <c r="D46" s="1583" t="str">
        <f>C2</f>
        <v>万元</v>
      </c>
      <c r="E46" s="1577"/>
      <c r="F46" s="1577"/>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4" t="s">
        <v>1361</v>
      </c>
      <c r="B47" s="1106" t="s">
        <v>1362</v>
      </c>
      <c r="C47" s="1272" t="s">
        <v>1363</v>
      </c>
      <c r="D47" s="1106" t="s">
        <v>1364</v>
      </c>
      <c r="E47" s="1184" t="s">
        <v>1365</v>
      </c>
      <c r="F47" s="1185"/>
      <c r="G47" s="729"/>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5" t="s">
        <v>1103</v>
      </c>
      <c r="B48" s="306" t="s">
        <v>1366</v>
      </c>
      <c r="C48" s="1536">
        <f ca="1">C49+C53+C55</f>
        <v>0</v>
      </c>
      <c r="D48" s="1267"/>
      <c r="E48" s="1268"/>
      <c r="F48" s="1090"/>
      <c r="G48" s="729"/>
      <c r="H48" s="730"/>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3" t="s">
        <v>1104</v>
      </c>
      <c r="B49" s="1548" t="s">
        <v>1455</v>
      </c>
      <c r="C49" s="1269">
        <f ca="1">ROUND(F49*F51*F50*(1-F52)/10000,0)</f>
        <v>0</v>
      </c>
      <c r="D49" s="1181" t="s">
        <v>2847</v>
      </c>
      <c r="E49" s="1549" t="s">
        <v>1456</v>
      </c>
      <c r="F49" s="1186"/>
      <c r="G49" s="1602"/>
      <c r="H49" s="730"/>
      <c r="I49" s="1598" t="s">
        <v>1499</v>
      </c>
      <c r="J49" s="1603"/>
      <c r="K49" s="1600" t="s">
        <v>1500</v>
      </c>
      <c r="L49" s="1604"/>
      <c r="O49" s="1605" t="s">
        <v>1010</v>
      </c>
      <c r="P49" s="1596" t="s">
        <v>1501</v>
      </c>
      <c r="Q49" s="1597">
        <f ca="1">C29</f>
        <v>0</v>
      </c>
      <c r="R49" s="1597" t="s">
        <v>1494</v>
      </c>
    </row>
    <row r="50" spans="1:18" s="1561" customFormat="1" ht="13.5" thickBot="1">
      <c r="A50" s="1104"/>
      <c r="B50" s="1107"/>
      <c r="C50" s="1273"/>
      <c r="D50" s="1081"/>
      <c r="E50" s="1182" t="s">
        <v>1371</v>
      </c>
      <c r="F50" s="1183">
        <f ca="1">F7</f>
        <v>0</v>
      </c>
      <c r="H50" s="730"/>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5"/>
      <c r="B51" s="1107"/>
      <c r="C51" s="1108"/>
      <c r="D51" s="1081"/>
      <c r="E51" s="1109" t="s">
        <v>1372</v>
      </c>
      <c r="F51" s="309">
        <f ca="1">F8</f>
        <v>365</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5"/>
      <c r="B52" s="1107"/>
      <c r="C52" s="1108"/>
      <c r="D52" s="1081"/>
      <c r="E52" s="1109" t="s">
        <v>1373</v>
      </c>
      <c r="F52" s="1180"/>
      <c r="I52" s="1614" t="s">
        <v>1508</v>
      </c>
      <c r="J52" s="1615"/>
      <c r="K52" s="1614" t="s">
        <v>1509</v>
      </c>
      <c r="L52" s="1615"/>
      <c r="O52" s="1605" t="s">
        <v>1013</v>
      </c>
      <c r="P52" s="1596" t="s">
        <v>1510</v>
      </c>
      <c r="Q52" s="1597">
        <f ca="1">J53</f>
        <v>0</v>
      </c>
      <c r="R52" s="1597" t="s">
        <v>1511</v>
      </c>
    </row>
    <row r="53" spans="1:18" s="1561" customFormat="1" ht="24.75" thickBot="1">
      <c r="A53" s="1309" t="s">
        <v>1105</v>
      </c>
      <c r="B53" s="1550" t="s">
        <v>1374</v>
      </c>
      <c r="C53" s="322">
        <f ca="1">ROUND(IF(F53="押一",C49/12*F11,IF(F53="押二",C49/12*2*F11,IF(F53="押三",C49/12*3*F11,C54*F11))),0)</f>
        <v>0</v>
      </c>
      <c r="D53" s="1543" t="s">
        <v>2853</v>
      </c>
      <c r="E53" s="319" t="s">
        <v>1375</v>
      </c>
      <c r="F53" s="1271"/>
      <c r="I53" s="1616" t="s">
        <v>1512</v>
      </c>
      <c r="J53" s="2376">
        <f ca="1">IF(M47="住宅",IF(D1="——",MAX(J51,L48),MAX(J51,L48-'数据-取费表'!B24)),IF(D1="——",MIN(J51,L48),MIN(J51,L48-'数据-取费表'!B24)))</f>
        <v>0</v>
      </c>
      <c r="K53" s="3287" t="s">
        <v>1513</v>
      </c>
      <c r="L53" s="3288"/>
      <c r="O53" s="1595" t="s">
        <v>1014</v>
      </c>
      <c r="P53" s="1596" t="s">
        <v>1514</v>
      </c>
      <c r="Q53" s="1597" t="e">
        <f ca="1">Q47+Q48</f>
        <v>#DIV/0!</v>
      </c>
      <c r="R53" s="1597" t="s">
        <v>1015</v>
      </c>
    </row>
    <row r="54" spans="1:18" s="1561" customFormat="1" ht="13.5" thickBot="1">
      <c r="A54" s="1310"/>
      <c r="B54" s="1544" t="s">
        <v>1353</v>
      </c>
      <c r="C54" s="1087"/>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8" t="s">
        <v>1043</v>
      </c>
      <c r="B55" s="1546" t="s">
        <v>1378</v>
      </c>
      <c r="C55" s="1239"/>
      <c r="D55" s="1543"/>
      <c r="E55" s="1551"/>
      <c r="F55" s="1617"/>
      <c r="I55" s="1620" t="s">
        <v>1516</v>
      </c>
      <c r="J55" s="1621" t="e">
        <f ca="1">ROUND(IF(J47="钢混",J57/J50,1-(1-2%)*(J50-J57)/J50),3)</f>
        <v>#DIV/0!</v>
      </c>
      <c r="K55" s="1622" t="s">
        <v>1517</v>
      </c>
      <c r="L55" s="1623" t="s">
        <v>1518</v>
      </c>
      <c r="O55" s="1588" t="s">
        <v>1487</v>
      </c>
      <c r="P55" s="1589" t="s">
        <v>1488</v>
      </c>
      <c r="Q55" s="1590" t="s">
        <v>1489</v>
      </c>
      <c r="R55" s="1590" t="s">
        <v>1490</v>
      </c>
    </row>
    <row r="56" spans="1:18" s="1561" customFormat="1" ht="25.5" thickTop="1" thickBot="1">
      <c r="A56" s="1085">
        <v>2</v>
      </c>
      <c r="B56" s="1086" t="s">
        <v>1379</v>
      </c>
      <c r="C56" s="238">
        <f ca="1">C13</f>
        <v>0</v>
      </c>
      <c r="D56" s="1624"/>
      <c r="E56" s="1625"/>
      <c r="F56" s="1617"/>
      <c r="I56" s="1626" t="s">
        <v>1519</v>
      </c>
      <c r="J56" s="1627"/>
      <c r="K56" s="1598" t="s">
        <v>1520</v>
      </c>
      <c r="L56" s="1601">
        <f ca="1">IF(L48&lt;J51,"——",L48-J53)</f>
        <v>0</v>
      </c>
      <c r="O56" s="1595" t="s">
        <v>1008</v>
      </c>
      <c r="P56" s="1596" t="s">
        <v>1493</v>
      </c>
      <c r="Q56" s="1597" t="e">
        <f ca="1">C40+J29</f>
        <v>#DIV/0!</v>
      </c>
      <c r="R56" s="1597" t="s">
        <v>1494</v>
      </c>
    </row>
    <row r="57" spans="1:18" s="1561" customFormat="1" ht="24.75" thickBot="1">
      <c r="A57" s="1628"/>
      <c r="B57" s="1078" t="s">
        <v>1443</v>
      </c>
      <c r="C57" s="244">
        <f ca="1">C29</f>
        <v>0</v>
      </c>
      <c r="D57" s="1629"/>
      <c r="E57" s="1630"/>
      <c r="F57" s="1631"/>
      <c r="I57" s="1632" t="s">
        <v>1521</v>
      </c>
      <c r="J57" s="1633">
        <f ca="1">IF(OR(M47="住宅",J51&lt;L48,J56="是"),"——",J51-L48)</f>
        <v>0</v>
      </c>
      <c r="K57" s="1598" t="s">
        <v>1522</v>
      </c>
      <c r="L57" s="1601">
        <f ca="1">IF(L48&lt;J51,"——",IF(L55="比较法",L49,IF(L55="基准地价",L50,L51)))</f>
        <v>0</v>
      </c>
      <c r="O57" s="1595" t="s">
        <v>1009</v>
      </c>
      <c r="P57" s="1596" t="s">
        <v>1523</v>
      </c>
      <c r="Q57" s="1597" t="e">
        <f ca="1">L60</f>
        <v>#DIV/0!</v>
      </c>
      <c r="R57" s="1597" t="s">
        <v>1524</v>
      </c>
    </row>
    <row r="58" spans="1:18" s="1561" customFormat="1" ht="24.75" thickBot="1">
      <c r="A58" s="321" t="s">
        <v>998</v>
      </c>
      <c r="B58" s="1086" t="s">
        <v>1389</v>
      </c>
      <c r="C58" s="322">
        <f ca="1">ROUND(C59+C64+C65+C66,0)</f>
        <v>0</v>
      </c>
      <c r="D58" s="1088" t="s">
        <v>1390</v>
      </c>
      <c r="E58" s="1089"/>
      <c r="F58" s="1090"/>
      <c r="I58" s="1632" t="s">
        <v>1525</v>
      </c>
      <c r="J58" s="1634" t="e">
        <f ca="1">IF(J55&lt;0.4,0.4,J55)</f>
        <v>#DIV/0!</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10" t="s">
        <v>1003</v>
      </c>
      <c r="B59" s="1078" t="s">
        <v>1394</v>
      </c>
      <c r="C59" s="2524">
        <f ca="1">ROUND(IF(AND(项目基本情况!B11="自然人",项目基本情况!B10="北京市"),C49*F59/(1+'数据-取费表'!C42),C60+C61+C62),0)</f>
        <v>0</v>
      </c>
      <c r="D59" s="1091" t="s">
        <v>1395</v>
      </c>
      <c r="E59" s="1092" t="s">
        <v>1396</v>
      </c>
      <c r="F59" s="2523"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10" t="s">
        <v>1002</v>
      </c>
      <c r="B60" s="1078" t="s">
        <v>1398</v>
      </c>
      <c r="C60" s="24">
        <f ca="1">IF(项目基本情况!B11="自然人","——",ROUND(C48*F60/(1+'数据-取费表'!C42),2))</f>
        <v>0</v>
      </c>
      <c r="D60" s="1092" t="s">
        <v>1399</v>
      </c>
      <c r="E60" s="1078"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10" t="s">
        <v>1457</v>
      </c>
      <c r="B61" s="1078" t="s">
        <v>1458</v>
      </c>
      <c r="C61" s="24">
        <f ca="1">IF(项目基本情况!B11="自然人","——",IF(D61="按租金收入计税",ROUND(C49*F61/(1+'数据-取费表'!C42),2),IF(D61="按房产原值计税",ROUND(C57*F61*0.7,2),INDIRECT("'数据-取费表'!Aj"&amp;$G$1))))</f>
        <v>0</v>
      </c>
      <c r="D61" s="1547" t="s">
        <v>1403</v>
      </c>
      <c r="E61" s="1078"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10" t="s">
        <v>1460</v>
      </c>
      <c r="B62" s="1077" t="s">
        <v>1461</v>
      </c>
      <c r="C62" s="25">
        <f ca="1">IF(项目基本情况!B11="自然人","——",ROUND(F62*F63/10000,2))</f>
        <v>0</v>
      </c>
      <c r="D62" s="1093" t="s">
        <v>1462</v>
      </c>
      <c r="E62" s="1078" t="s">
        <v>1463</v>
      </c>
      <c r="F62" s="331">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4"/>
      <c r="C63" s="29"/>
      <c r="D63" s="1094"/>
      <c r="E63" s="1078"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10" t="s">
        <v>1465</v>
      </c>
      <c r="B64" s="1078" t="s">
        <v>1466</v>
      </c>
      <c r="C64" s="24">
        <f ca="1">ROUND(C57*F64,1)</f>
        <v>0</v>
      </c>
      <c r="D64" s="1092" t="s">
        <v>1467</v>
      </c>
      <c r="E64" s="1078"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10" t="s">
        <v>1468</v>
      </c>
      <c r="B65" s="1078" t="s">
        <v>1418</v>
      </c>
      <c r="C65" s="24">
        <f ca="1">ROUND(C56*F65,1)</f>
        <v>0</v>
      </c>
      <c r="D65" s="1092" t="s">
        <v>1419</v>
      </c>
      <c r="E65" s="1078"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10" t="s">
        <v>1469</v>
      </c>
      <c r="B66" s="1078" t="s">
        <v>1404</v>
      </c>
      <c r="C66" s="24">
        <f ca="1">ROUND(C48*F66,1)</f>
        <v>0</v>
      </c>
      <c r="D66" s="1092" t="s">
        <v>1470</v>
      </c>
      <c r="E66" s="1078" t="s">
        <v>1387</v>
      </c>
      <c r="F66" s="318">
        <f t="shared" ca="1" si="0"/>
        <v>0</v>
      </c>
      <c r="O66" s="1595" t="s">
        <v>1009</v>
      </c>
      <c r="P66" s="1596" t="s">
        <v>1523</v>
      </c>
      <c r="Q66" s="1597" t="e">
        <f ca="1">L60</f>
        <v>#DIV/0!</v>
      </c>
      <c r="R66" s="1597" t="s">
        <v>1546</v>
      </c>
    </row>
    <row r="67" spans="1:18" s="1561" customFormat="1" ht="16.5" thickBot="1">
      <c r="A67" s="1085" t="s">
        <v>999</v>
      </c>
      <c r="B67" s="1095" t="s">
        <v>1428</v>
      </c>
      <c r="C67" s="322">
        <f ca="1">C48-C58</f>
        <v>0</v>
      </c>
      <c r="D67" s="1091" t="s">
        <v>1429</v>
      </c>
      <c r="E67" s="1096"/>
      <c r="F67" s="1097"/>
      <c r="O67" s="1605" t="s">
        <v>1010</v>
      </c>
      <c r="P67" s="1596" t="s">
        <v>1527</v>
      </c>
      <c r="Q67" s="1643">
        <f ca="1">L51</f>
        <v>0</v>
      </c>
      <c r="R67" s="1597" t="s">
        <v>1547</v>
      </c>
    </row>
    <row r="68" spans="1:18" s="1561" customFormat="1" ht="16.5" thickBot="1">
      <c r="A68" s="1075" t="s">
        <v>1000</v>
      </c>
      <c r="B68" s="1076" t="s">
        <v>1450</v>
      </c>
      <c r="C68" s="307" t="e">
        <f ca="1">ROUND(C67*(1-((1+F70)/(1+F68))^F69)/(F68-F70),0)</f>
        <v>#DIV/0!</v>
      </c>
      <c r="D68" s="1093" t="s">
        <v>1434</v>
      </c>
      <c r="E68" s="1078" t="s">
        <v>1435</v>
      </c>
      <c r="F68" s="318">
        <f ca="1">F40</f>
        <v>0</v>
      </c>
      <c r="O68" s="1605" t="s">
        <v>1011</v>
      </c>
      <c r="P68" s="1644" t="s">
        <v>1548</v>
      </c>
      <c r="Q68" s="1597">
        <f ca="1">ROUND(Q69-Q70*Q71,0)</f>
        <v>0</v>
      </c>
      <c r="R68" s="1597" t="s">
        <v>1019</v>
      </c>
    </row>
    <row r="69" spans="1:18" s="1561" customFormat="1" ht="13.5" thickBot="1">
      <c r="A69" s="1079"/>
      <c r="B69" s="1080"/>
      <c r="C69" s="312"/>
      <c r="D69" s="1098" t="s">
        <v>1438</v>
      </c>
      <c r="E69" s="1078" t="s">
        <v>1439</v>
      </c>
      <c r="F69" s="339">
        <f ca="1">F41</f>
        <v>0</v>
      </c>
      <c r="O69" s="1605" t="s">
        <v>1016</v>
      </c>
      <c r="P69" s="1644" t="s">
        <v>1549</v>
      </c>
      <c r="Q69" s="1597">
        <f ca="1">C39</f>
        <v>0</v>
      </c>
      <c r="R69" s="1597" t="s">
        <v>1494</v>
      </c>
    </row>
    <row r="70" spans="1:18" s="1561" customFormat="1" ht="13.5" thickBot="1">
      <c r="A70" s="1082"/>
      <c r="B70" s="1083"/>
      <c r="C70" s="316"/>
      <c r="D70" s="1094"/>
      <c r="E70" s="1078" t="s">
        <v>1442</v>
      </c>
      <c r="F70" s="1180"/>
      <c r="O70" s="1605" t="s">
        <v>1017</v>
      </c>
      <c r="P70" s="1644" t="s">
        <v>1550</v>
      </c>
      <c r="Q70" s="1597">
        <f ca="1">C13</f>
        <v>0</v>
      </c>
      <c r="R70" s="1597" t="s">
        <v>1494</v>
      </c>
    </row>
    <row r="71" spans="1:18" s="1561" customFormat="1" ht="13.5" thickBot="1">
      <c r="A71" s="1099" t="s">
        <v>1001</v>
      </c>
      <c r="B71" s="1100" t="s">
        <v>1452</v>
      </c>
      <c r="C71" s="342" t="e">
        <f ca="1">ROUND(C68*10000/F71,0)</f>
        <v>#DIV/0!</v>
      </c>
      <c r="D71" s="1101" t="s">
        <v>1453</v>
      </c>
      <c r="E71" s="1102" t="s">
        <v>1454</v>
      </c>
      <c r="F71" s="345">
        <f ca="1">F43</f>
        <v>0</v>
      </c>
      <c r="O71" s="1605" t="s">
        <v>1018</v>
      </c>
      <c r="P71" s="1644" t="s">
        <v>1551</v>
      </c>
      <c r="Q71" s="1608">
        <f ca="1">C76</f>
        <v>0</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7" t="s">
        <v>2349</v>
      </c>
      <c r="C1" s="1401" t="s">
        <v>2350</v>
      </c>
      <c r="D1" s="1388" t="s">
        <v>3065</v>
      </c>
      <c r="E1" s="2534"/>
      <c r="F1" s="2058" t="s">
        <v>2351</v>
      </c>
      <c r="G1" s="1398" t="s">
        <v>2352</v>
      </c>
      <c r="H1" s="1397"/>
      <c r="I1" s="1397"/>
      <c r="J1" s="1397"/>
      <c r="K1" s="1399"/>
      <c r="L1" s="1400"/>
      <c r="M1" s="1401"/>
      <c r="N1" s="1401"/>
      <c r="O1" s="1401"/>
      <c r="P1" s="2059"/>
      <c r="Q1" s="1387"/>
      <c r="R1" s="1387"/>
      <c r="S1" s="1387"/>
      <c r="T1" s="1387"/>
      <c r="U1" s="1387"/>
      <c r="V1" s="1387"/>
      <c r="W1" s="1387"/>
      <c r="X1" s="1387"/>
      <c r="Y1" s="1387"/>
      <c r="Z1" s="1387"/>
      <c r="AA1" s="1387"/>
      <c r="AB1" s="1387"/>
      <c r="AC1" s="1395"/>
    </row>
    <row r="2" spans="1:29" s="353" customFormat="1" ht="28.5" customHeight="1" thickTop="1">
      <c r="A2" s="1384" t="s">
        <v>1359</v>
      </c>
      <c r="B2" s="1321">
        <f>IF(C2="——",ROUND(C49*D3/10000,0),ROUND(C49*D3/10000,0)-D2)</f>
        <v>0</v>
      </c>
      <c r="C2" s="2060" t="s">
        <v>70</v>
      </c>
      <c r="D2" s="1270" t="e">
        <f ca="1">SUMIF(INDIRECT("'"&amp;F2&amp;"'"&amp;"!A:A"),"承租人权益价值",INDIRECT("'"&amp;F2&amp;"'"&amp;"!c:c"))</f>
        <v>#REF!</v>
      </c>
      <c r="E2" s="2061" t="s">
        <v>2353</v>
      </c>
      <c r="F2" s="2062"/>
      <c r="G2" s="1035"/>
      <c r="H2" s="1035"/>
      <c r="I2" s="1035"/>
      <c r="J2" s="1035"/>
      <c r="K2" s="2063"/>
      <c r="L2" s="2923"/>
      <c r="M2" s="2924"/>
      <c r="N2" s="2924"/>
      <c r="O2" s="2924"/>
      <c r="P2" s="2064"/>
      <c r="Q2" s="2065"/>
      <c r="R2" s="2065"/>
      <c r="S2" s="2065"/>
      <c r="T2" s="2065"/>
      <c r="U2" s="2065"/>
      <c r="V2" s="2065"/>
      <c r="W2" s="2065"/>
      <c r="X2" s="2065"/>
      <c r="Y2" s="2065"/>
      <c r="Z2" s="2065"/>
      <c r="AA2" s="2065"/>
      <c r="AB2" s="2065"/>
      <c r="AC2" s="2066"/>
    </row>
    <row r="3" spans="1:29" s="353" customFormat="1" ht="28.5" customHeight="1" thickBot="1">
      <c r="A3" s="209" t="s">
        <v>1360</v>
      </c>
      <c r="B3" s="359">
        <f>IF(C2="——",C49,ROUND(B2*10000/D3,0))</f>
        <v>10561</v>
      </c>
      <c r="C3" s="360" t="s">
        <v>2354</v>
      </c>
      <c r="D3" s="359">
        <f>IF(D1="",'数据-汇总表'!E3,SUMIF('数据-汇总表'!$C19:$C33,D1,'数据-汇总表'!$E19:$E33))</f>
        <v>0</v>
      </c>
      <c r="E3" s="1035"/>
      <c r="F3" s="2067"/>
      <c r="G3" s="1035"/>
      <c r="H3" s="1035"/>
      <c r="I3" s="1035"/>
      <c r="J3" s="1035"/>
      <c r="K3" s="2063"/>
      <c r="L3" s="2923"/>
      <c r="M3" s="2924"/>
      <c r="N3" s="2924"/>
      <c r="O3" s="2924"/>
      <c r="P3" s="2064"/>
      <c r="Q3" s="2065"/>
      <c r="R3" s="2065"/>
      <c r="S3" s="2065"/>
      <c r="T3" s="2065"/>
      <c r="U3" s="2065"/>
      <c r="V3" s="2065"/>
      <c r="W3" s="2065"/>
      <c r="X3" s="2065"/>
      <c r="Y3" s="2065"/>
      <c r="Z3" s="2065"/>
      <c r="AA3" s="2065"/>
      <c r="AB3" s="2065"/>
      <c r="AC3" s="1187"/>
    </row>
    <row r="4" spans="1:29" ht="15">
      <c r="A4" s="361" t="s">
        <v>2355</v>
      </c>
      <c r="B4" s="362"/>
      <c r="C4" s="3310" t="s">
        <v>2356</v>
      </c>
      <c r="D4" s="3311"/>
      <c r="E4" s="3312" t="s">
        <v>2357</v>
      </c>
      <c r="F4" s="3313"/>
      <c r="G4" s="3310" t="s">
        <v>2358</v>
      </c>
      <c r="H4" s="3311"/>
      <c r="I4" s="3310" t="s">
        <v>2359</v>
      </c>
      <c r="J4" s="3311"/>
      <c r="K4" s="2068" t="s">
        <v>2360</v>
      </c>
      <c r="L4" s="2925"/>
      <c r="M4" s="2926"/>
      <c r="N4" s="2926"/>
      <c r="O4" s="2926"/>
      <c r="P4" s="3314" t="s">
        <v>2361</v>
      </c>
      <c r="Q4" s="3315"/>
      <c r="R4" s="3297" t="s">
        <v>2357</v>
      </c>
      <c r="S4" s="3298"/>
      <c r="T4" s="3297" t="s">
        <v>2358</v>
      </c>
      <c r="U4" s="3298"/>
      <c r="V4" s="3322" t="s">
        <v>2359</v>
      </c>
      <c r="W4" s="3322"/>
      <c r="X4" s="1532"/>
      <c r="Y4" s="3297" t="s">
        <v>2361</v>
      </c>
      <c r="Z4" s="3298"/>
      <c r="AA4" s="3292" t="s">
        <v>2357</v>
      </c>
      <c r="AB4" s="3292" t="s">
        <v>2358</v>
      </c>
      <c r="AC4" s="3292" t="s">
        <v>2359</v>
      </c>
    </row>
    <row r="5" spans="1:29" ht="15">
      <c r="A5" s="364"/>
      <c r="B5" s="365"/>
      <c r="C5" s="3303" t="s">
        <v>2362</v>
      </c>
      <c r="D5" s="3304"/>
      <c r="E5" s="3301" t="s">
        <v>3078</v>
      </c>
      <c r="F5" s="3302"/>
      <c r="G5" s="3301" t="s">
        <v>3078</v>
      </c>
      <c r="H5" s="3302"/>
      <c r="I5" s="3301" t="s">
        <v>3078</v>
      </c>
      <c r="J5" s="3302"/>
      <c r="K5" s="2069"/>
      <c r="L5" s="2925"/>
      <c r="M5" s="2926"/>
      <c r="N5" s="2926"/>
      <c r="O5" s="2926"/>
      <c r="P5" s="3316"/>
      <c r="Q5" s="3317"/>
      <c r="R5" s="3299"/>
      <c r="S5" s="3300"/>
      <c r="T5" s="3299"/>
      <c r="U5" s="3300"/>
      <c r="V5" s="3322"/>
      <c r="W5" s="3322"/>
      <c r="X5" s="1532"/>
      <c r="Y5" s="3299"/>
      <c r="Z5" s="3300"/>
      <c r="AA5" s="3293"/>
      <c r="AB5" s="3293"/>
      <c r="AC5" s="3293"/>
    </row>
    <row r="6" spans="1:29" ht="15.75" thickBot="1">
      <c r="A6" s="366"/>
      <c r="B6" s="367"/>
      <c r="C6" s="3305" t="s">
        <v>2366</v>
      </c>
      <c r="D6" s="3306"/>
      <c r="E6" s="3307" t="s">
        <v>2366</v>
      </c>
      <c r="F6" s="3308"/>
      <c r="G6" s="3305" t="s">
        <v>2366</v>
      </c>
      <c r="H6" s="3306"/>
      <c r="I6" s="3305" t="s">
        <v>2366</v>
      </c>
      <c r="J6" s="3306"/>
      <c r="K6" s="2069" t="s">
        <v>2367</v>
      </c>
      <c r="L6" s="2925"/>
      <c r="M6" s="2926"/>
      <c r="N6" s="2926"/>
      <c r="O6" s="2926"/>
      <c r="P6" s="3318"/>
      <c r="Q6" s="3319"/>
      <c r="R6" s="3299"/>
      <c r="S6" s="3300"/>
      <c r="T6" s="3320"/>
      <c r="U6" s="3321"/>
      <c r="V6" s="3322"/>
      <c r="W6" s="3322"/>
      <c r="X6" s="1532"/>
      <c r="Y6" s="3320"/>
      <c r="Z6" s="3321"/>
      <c r="AA6" s="3294"/>
      <c r="AB6" s="3294"/>
      <c r="AC6" s="3294"/>
    </row>
    <row r="7" spans="1:29" s="113" customFormat="1" ht="15.75" thickBot="1">
      <c r="A7" s="368" t="s">
        <v>2368</v>
      </c>
      <c r="B7" s="369"/>
      <c r="C7" s="370">
        <f>'数据-取费表'!B2</f>
        <v>44336</v>
      </c>
      <c r="D7" s="371">
        <v>100</v>
      </c>
      <c r="E7" s="372">
        <v>44313</v>
      </c>
      <c r="F7" s="373">
        <f>SUMIF(58:58,YEAR(E7)&amp;"-"&amp;MONTH(E7),59:59)</f>
        <v>100</v>
      </c>
      <c r="G7" s="372">
        <v>44273</v>
      </c>
      <c r="H7" s="371">
        <f>SUMIF(58:58,YEAR(G7)&amp;"-"&amp;MONTH(G7),59:59)</f>
        <v>100</v>
      </c>
      <c r="I7" s="372">
        <v>44301</v>
      </c>
      <c r="J7" s="371">
        <f>SUMIF(58:58,YEAR(I7)&amp;"-"&amp;MONTH(I7),59:59)</f>
        <v>100</v>
      </c>
      <c r="K7" s="2070"/>
      <c r="L7" s="2927"/>
      <c r="M7" s="2928"/>
      <c r="N7" s="2928"/>
      <c r="O7" s="2928"/>
      <c r="P7" s="3295" t="s">
        <v>2369</v>
      </c>
      <c r="Q7" s="3323"/>
      <c r="R7" s="708" t="s">
        <v>23</v>
      </c>
      <c r="S7" s="709">
        <f t="shared" ref="S7:S15" si="0">F7</f>
        <v>100</v>
      </c>
      <c r="T7" s="708" t="s">
        <v>23</v>
      </c>
      <c r="U7" s="709">
        <f t="shared" ref="U7:U15" si="1">H7</f>
        <v>100</v>
      </c>
      <c r="V7" s="708" t="s">
        <v>23</v>
      </c>
      <c r="W7" s="709">
        <f t="shared" ref="W7:W15" si="2">J7</f>
        <v>100</v>
      </c>
      <c r="X7" s="710"/>
      <c r="Y7" s="3295" t="s">
        <v>2369</v>
      </c>
      <c r="Z7" s="3296"/>
      <c r="AA7" s="711">
        <f>D7/F7</f>
        <v>1</v>
      </c>
      <c r="AB7" s="711">
        <f>D7/H7</f>
        <v>1</v>
      </c>
      <c r="AC7" s="711">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0"/>
      <c r="L8" s="2927"/>
      <c r="M8" s="2928"/>
      <c r="N8" s="2928"/>
      <c r="O8" s="2928"/>
      <c r="P8" s="3295" t="s">
        <v>2372</v>
      </c>
      <c r="Q8" s="3296"/>
      <c r="R8" s="708" t="s">
        <v>23</v>
      </c>
      <c r="S8" s="709">
        <f t="shared" si="0"/>
        <v>100</v>
      </c>
      <c r="T8" s="708" t="s">
        <v>23</v>
      </c>
      <c r="U8" s="709">
        <f t="shared" si="1"/>
        <v>100</v>
      </c>
      <c r="V8" s="708" t="s">
        <v>23</v>
      </c>
      <c r="W8" s="709">
        <f t="shared" si="2"/>
        <v>100</v>
      </c>
      <c r="X8" s="710"/>
      <c r="Y8" s="3295" t="s">
        <v>2372</v>
      </c>
      <c r="Z8" s="3296"/>
      <c r="AA8" s="711">
        <f t="shared" ref="AA8:AA19" si="3">D8/F8</f>
        <v>1</v>
      </c>
      <c r="AB8" s="711">
        <f t="shared" ref="AB8:AB19" si="4">D8/H8</f>
        <v>1</v>
      </c>
      <c r="AC8" s="711">
        <f t="shared" ref="AC8:AC19" si="5">D8/J8</f>
        <v>1</v>
      </c>
    </row>
    <row r="9" spans="1:29" s="113" customFormat="1">
      <c r="A9" s="375" t="s">
        <v>2373</v>
      </c>
      <c r="B9" s="67" t="s">
        <v>2374</v>
      </c>
      <c r="C9" s="3045" t="s">
        <v>3082</v>
      </c>
      <c r="D9" s="131">
        <v>100</v>
      </c>
      <c r="E9" s="377" t="s">
        <v>3065</v>
      </c>
      <c r="F9" s="378">
        <f>SUMIF(63:63,E9,64:64)-SUMIF(63:63,C9,64:64)+100</f>
        <v>100</v>
      </c>
      <c r="G9" s="377" t="s">
        <v>3065</v>
      </c>
      <c r="H9" s="131">
        <f>SUMIF(63:63,G9,64:64)-SUMIF(63:63,C9,64:64)+100</f>
        <v>100</v>
      </c>
      <c r="I9" s="377" t="s">
        <v>3065</v>
      </c>
      <c r="J9" s="131">
        <f>SUMIF(63:63,I9,64:64)-SUMIF(63:63,C9,64:64)+100</f>
        <v>100</v>
      </c>
      <c r="K9" s="2070"/>
      <c r="L9" s="2927"/>
      <c r="M9" s="2928"/>
      <c r="N9" s="2928"/>
      <c r="O9" s="2928"/>
      <c r="P9" s="3309" t="s">
        <v>2375</v>
      </c>
      <c r="Q9" s="1520" t="str">
        <f t="shared" ref="Q9:Q15" si="6">B9</f>
        <v>用途</v>
      </c>
      <c r="R9" s="708" t="s">
        <v>17</v>
      </c>
      <c r="S9" s="709">
        <f t="shared" si="0"/>
        <v>100</v>
      </c>
      <c r="T9" s="708" t="s">
        <v>17</v>
      </c>
      <c r="U9" s="709">
        <f t="shared" si="1"/>
        <v>100</v>
      </c>
      <c r="V9" s="708" t="s">
        <v>17</v>
      </c>
      <c r="W9" s="709">
        <f t="shared" si="2"/>
        <v>100</v>
      </c>
      <c r="X9" s="710"/>
      <c r="Y9" s="3260" t="s">
        <v>2376</v>
      </c>
      <c r="Z9" s="55" t="str">
        <f t="shared" ref="Z9:Z15" si="7">Q9</f>
        <v>用途</v>
      </c>
      <c r="AA9" s="711">
        <f t="shared" si="3"/>
        <v>1</v>
      </c>
      <c r="AB9" s="711">
        <f t="shared" si="4"/>
        <v>1</v>
      </c>
      <c r="AC9" s="711">
        <f t="shared" si="5"/>
        <v>1</v>
      </c>
    </row>
    <row r="10" spans="1:29" s="386" customFormat="1" ht="27">
      <c r="A10" s="380"/>
      <c r="B10" s="381" t="s">
        <v>2377</v>
      </c>
      <c r="C10" s="382" t="s">
        <v>3083</v>
      </c>
      <c r="D10" s="132">
        <v>100</v>
      </c>
      <c r="E10" s="382" t="s">
        <v>3083</v>
      </c>
      <c r="F10" s="384">
        <f>SUMIF(65:65,E10,66:66)-SUMIF(65:65,C10,66:66)+100</f>
        <v>100</v>
      </c>
      <c r="G10" s="382" t="s">
        <v>3083</v>
      </c>
      <c r="H10" s="132">
        <f>SUMIF(65:65,G10,66:66)-SUMIF(65:65,C10,66:66)+100</f>
        <v>100</v>
      </c>
      <c r="I10" s="382" t="s">
        <v>3083</v>
      </c>
      <c r="J10" s="132">
        <f>SUMIF(65:65,I10,66:66)-SUMIF(65:65,C10,66:66)+100</f>
        <v>100</v>
      </c>
      <c r="K10" s="385">
        <v>1</v>
      </c>
      <c r="L10" s="2929"/>
      <c r="M10" s="2930"/>
      <c r="N10" s="2930"/>
      <c r="O10" s="2930"/>
      <c r="P10" s="3309"/>
      <c r="Q10" s="1520" t="str">
        <f t="shared" si="6"/>
        <v>土地使用年限（年）</v>
      </c>
      <c r="R10" s="708" t="s">
        <v>17</v>
      </c>
      <c r="S10" s="709">
        <f t="shared" si="0"/>
        <v>100</v>
      </c>
      <c r="T10" s="708" t="s">
        <v>17</v>
      </c>
      <c r="U10" s="709">
        <f t="shared" si="1"/>
        <v>100</v>
      </c>
      <c r="V10" s="708" t="s">
        <v>17</v>
      </c>
      <c r="W10" s="709">
        <f t="shared" si="2"/>
        <v>100</v>
      </c>
      <c r="X10" s="710"/>
      <c r="Y10" s="3260"/>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31"/>
      <c r="M11" s="2926"/>
      <c r="N11" s="2926"/>
      <c r="O11" s="2926"/>
      <c r="P11" s="3309"/>
      <c r="Q11" s="1520" t="str">
        <f t="shared" si="6"/>
        <v>容积率</v>
      </c>
      <c r="R11" s="708" t="s">
        <v>21</v>
      </c>
      <c r="S11" s="709">
        <f t="shared" si="0"/>
        <v>100</v>
      </c>
      <c r="T11" s="708" t="s">
        <v>21</v>
      </c>
      <c r="U11" s="709">
        <f t="shared" si="1"/>
        <v>100</v>
      </c>
      <c r="V11" s="708" t="s">
        <v>21</v>
      </c>
      <c r="W11" s="709">
        <f t="shared" si="2"/>
        <v>100</v>
      </c>
      <c r="X11" s="710"/>
      <c r="Y11" s="3260"/>
      <c r="Z11" s="55" t="str">
        <f t="shared" si="7"/>
        <v>容积率</v>
      </c>
      <c r="AA11" s="711">
        <f t="shared" si="3"/>
        <v>1</v>
      </c>
      <c r="AB11" s="711">
        <f t="shared" si="4"/>
        <v>1</v>
      </c>
      <c r="AC11" s="711">
        <f t="shared" si="5"/>
        <v>1</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27"/>
      <c r="M12" s="2928"/>
      <c r="N12" s="2928"/>
      <c r="O12" s="2928"/>
      <c r="P12" s="3309"/>
      <c r="Q12" s="1520">
        <f t="shared" si="6"/>
        <v>111</v>
      </c>
      <c r="R12" s="708" t="s">
        <v>21</v>
      </c>
      <c r="S12" s="709">
        <f t="shared" si="0"/>
        <v>100</v>
      </c>
      <c r="T12" s="708" t="s">
        <v>21</v>
      </c>
      <c r="U12" s="709">
        <f t="shared" si="1"/>
        <v>100</v>
      </c>
      <c r="V12" s="708" t="s">
        <v>21</v>
      </c>
      <c r="W12" s="709">
        <f t="shared" si="2"/>
        <v>100</v>
      </c>
      <c r="X12" s="710"/>
      <c r="Y12" s="3260"/>
      <c r="Z12" s="55">
        <f t="shared" si="7"/>
        <v>111</v>
      </c>
      <c r="AA12" s="711">
        <f>D12/F12</f>
        <v>1</v>
      </c>
      <c r="AB12" s="711">
        <f>D12/H12</f>
        <v>1</v>
      </c>
      <c r="AC12" s="711">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32"/>
      <c r="M13" s="2926"/>
      <c r="N13" s="2926"/>
      <c r="O13" s="2926"/>
      <c r="P13" s="3309"/>
      <c r="Q13" s="1520">
        <f t="shared" si="6"/>
        <v>111</v>
      </c>
      <c r="R13" s="708" t="s">
        <v>21</v>
      </c>
      <c r="S13" s="709">
        <f t="shared" si="0"/>
        <v>100</v>
      </c>
      <c r="T13" s="708" t="s">
        <v>21</v>
      </c>
      <c r="U13" s="709">
        <f t="shared" si="1"/>
        <v>100</v>
      </c>
      <c r="V13" s="708" t="s">
        <v>21</v>
      </c>
      <c r="W13" s="709">
        <f t="shared" si="2"/>
        <v>100</v>
      </c>
      <c r="X13" s="710"/>
      <c r="Y13" s="3260"/>
      <c r="Z13" s="55">
        <f t="shared" si="7"/>
        <v>111</v>
      </c>
      <c r="AA13" s="711">
        <f t="shared" si="3"/>
        <v>1</v>
      </c>
      <c r="AB13" s="711">
        <f t="shared" si="4"/>
        <v>1</v>
      </c>
      <c r="AC13" s="711">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32"/>
      <c r="M14" s="2926"/>
      <c r="N14" s="2926"/>
      <c r="O14" s="2926"/>
      <c r="P14" s="3309"/>
      <c r="Q14" s="1520">
        <f t="shared" si="6"/>
        <v>111</v>
      </c>
      <c r="R14" s="708" t="s">
        <v>21</v>
      </c>
      <c r="S14" s="709">
        <f t="shared" si="0"/>
        <v>100</v>
      </c>
      <c r="T14" s="708" t="s">
        <v>21</v>
      </c>
      <c r="U14" s="709">
        <f t="shared" si="1"/>
        <v>100</v>
      </c>
      <c r="V14" s="708" t="s">
        <v>21</v>
      </c>
      <c r="W14" s="709">
        <f t="shared" si="2"/>
        <v>100</v>
      </c>
      <c r="X14" s="710"/>
      <c r="Y14" s="3260"/>
      <c r="Z14" s="55">
        <f t="shared" si="7"/>
        <v>111</v>
      </c>
      <c r="AA14" s="711">
        <f t="shared" si="3"/>
        <v>1</v>
      </c>
      <c r="AB14" s="711">
        <f t="shared" si="4"/>
        <v>1</v>
      </c>
      <c r="AC14" s="711">
        <f t="shared" si="5"/>
        <v>1</v>
      </c>
    </row>
    <row r="15" spans="1:29" ht="15">
      <c r="A15" s="399" t="s">
        <v>2379</v>
      </c>
      <c r="B15" s="65" t="s">
        <v>1942</v>
      </c>
      <c r="C15" s="2074">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932"/>
      <c r="M15" s="2926"/>
      <c r="N15" s="2926"/>
      <c r="O15" s="2926"/>
      <c r="P15" s="3336" t="s">
        <v>2380</v>
      </c>
      <c r="Q15" s="1529" t="str">
        <f t="shared" si="6"/>
        <v>居住社区成熟度</v>
      </c>
      <c r="R15" s="712" t="s">
        <v>21</v>
      </c>
      <c r="S15" s="713">
        <f t="shared" si="0"/>
        <v>100</v>
      </c>
      <c r="T15" s="712" t="s">
        <v>21</v>
      </c>
      <c r="U15" s="713">
        <f t="shared" si="1"/>
        <v>100</v>
      </c>
      <c r="V15" s="712" t="s">
        <v>21</v>
      </c>
      <c r="W15" s="713">
        <f t="shared" si="2"/>
        <v>100</v>
      </c>
      <c r="X15" s="1532"/>
      <c r="Y15" s="3329" t="s">
        <v>2380</v>
      </c>
      <c r="Z15" s="1533" t="str">
        <f t="shared" si="7"/>
        <v>居住社区成熟度</v>
      </c>
      <c r="AA15" s="1530">
        <f t="shared" si="3"/>
        <v>1</v>
      </c>
      <c r="AB15" s="1530">
        <f t="shared" si="4"/>
        <v>1</v>
      </c>
      <c r="AC15" s="1530">
        <f t="shared" si="5"/>
        <v>1</v>
      </c>
    </row>
    <row r="16" spans="1:29" ht="15">
      <c r="A16" s="387"/>
      <c r="B16" s="405"/>
      <c r="C16" s="406" t="s">
        <v>3084</v>
      </c>
      <c r="D16" s="407"/>
      <c r="E16" s="406" t="s">
        <v>3084</v>
      </c>
      <c r="F16" s="407"/>
      <c r="G16" s="406" t="s">
        <v>3084</v>
      </c>
      <c r="H16" s="409"/>
      <c r="I16" s="406" t="s">
        <v>3084</v>
      </c>
      <c r="J16" s="407"/>
      <c r="K16" s="2077"/>
      <c r="L16" s="2932"/>
      <c r="M16" s="2926"/>
      <c r="N16" s="2926"/>
      <c r="O16" s="2926"/>
      <c r="P16" s="3337"/>
      <c r="Q16" s="1529"/>
      <c r="R16" s="712"/>
      <c r="S16" s="713"/>
      <c r="T16" s="712"/>
      <c r="U16" s="713"/>
      <c r="V16" s="712"/>
      <c r="W16" s="713"/>
      <c r="X16" s="1532"/>
      <c r="Y16" s="3330"/>
      <c r="Z16" s="1533"/>
      <c r="AA16" s="1530">
        <v>1</v>
      </c>
      <c r="AB16" s="1530">
        <v>1</v>
      </c>
      <c r="AC16" s="1530">
        <v>1</v>
      </c>
    </row>
    <row r="17" spans="1:29" ht="71.25">
      <c r="A17" s="387"/>
      <c r="B17" s="410" t="s">
        <v>1944</v>
      </c>
      <c r="C17" s="2078" t="str">
        <f>估价对象房地状况!C6</f>
        <v>估价对象紧邻平阳路，有13、39、56、65、901等公交线路，项目有地面停车场，综合评价交通便捷度较好。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32"/>
      <c r="M17" s="2926"/>
      <c r="N17" s="2926"/>
      <c r="O17" s="2926"/>
      <c r="P17" s="3337"/>
      <c r="Q17" s="1529" t="str">
        <f>B17</f>
        <v>交通便捷度</v>
      </c>
      <c r="R17" s="712" t="s">
        <v>21</v>
      </c>
      <c r="S17" s="713">
        <f>F17</f>
        <v>100</v>
      </c>
      <c r="T17" s="712" t="s">
        <v>21</v>
      </c>
      <c r="U17" s="713">
        <f>H17</f>
        <v>100</v>
      </c>
      <c r="V17" s="712" t="s">
        <v>21</v>
      </c>
      <c r="W17" s="713">
        <f>J17</f>
        <v>100</v>
      </c>
      <c r="X17" s="1532"/>
      <c r="Y17" s="3330"/>
      <c r="Z17" s="1533" t="str">
        <f>Q17</f>
        <v>交通便捷度</v>
      </c>
      <c r="AA17" s="1530">
        <f t="shared" si="3"/>
        <v>1</v>
      </c>
      <c r="AB17" s="1530">
        <f t="shared" si="4"/>
        <v>1</v>
      </c>
      <c r="AC17" s="1530">
        <f t="shared" si="5"/>
        <v>1</v>
      </c>
    </row>
    <row r="18" spans="1:29" ht="15">
      <c r="A18" s="387"/>
      <c r="B18" s="415"/>
      <c r="C18" s="2079" t="s">
        <v>3085</v>
      </c>
      <c r="D18" s="409"/>
      <c r="E18" s="2079" t="s">
        <v>3085</v>
      </c>
      <c r="F18" s="409"/>
      <c r="G18" s="2079" t="s">
        <v>3085</v>
      </c>
      <c r="H18" s="407"/>
      <c r="I18" s="2079" t="s">
        <v>3085</v>
      </c>
      <c r="J18" s="407"/>
      <c r="K18" s="2077"/>
      <c r="L18" s="2932"/>
      <c r="M18" s="2926"/>
      <c r="N18" s="2926"/>
      <c r="O18" s="2926"/>
      <c r="P18" s="3337"/>
      <c r="Q18" s="1529"/>
      <c r="R18" s="712"/>
      <c r="S18" s="713"/>
      <c r="T18" s="712"/>
      <c r="U18" s="713"/>
      <c r="V18" s="712"/>
      <c r="W18" s="713"/>
      <c r="X18" s="1532"/>
      <c r="Y18" s="3330"/>
      <c r="Z18" s="1533"/>
      <c r="AA18" s="1530">
        <v>1</v>
      </c>
      <c r="AB18" s="1530">
        <v>1</v>
      </c>
      <c r="AC18" s="1530">
        <v>1</v>
      </c>
    </row>
    <row r="19" spans="1:29" ht="28.5">
      <c r="A19" s="387"/>
      <c r="B19" s="410" t="s">
        <v>1943</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32"/>
      <c r="M19" s="2926"/>
      <c r="N19" s="2926"/>
      <c r="O19" s="2926"/>
      <c r="P19" s="3337"/>
      <c r="Q19" s="1529" t="str">
        <f>B19</f>
        <v>公共配套设施</v>
      </c>
      <c r="R19" s="712" t="s">
        <v>21</v>
      </c>
      <c r="S19" s="713">
        <f>F19</f>
        <v>100</v>
      </c>
      <c r="T19" s="712" t="s">
        <v>21</v>
      </c>
      <c r="U19" s="713">
        <f>H19</f>
        <v>100</v>
      </c>
      <c r="V19" s="712" t="s">
        <v>21</v>
      </c>
      <c r="W19" s="713">
        <f>J19</f>
        <v>100</v>
      </c>
      <c r="X19" s="1532"/>
      <c r="Y19" s="3330"/>
      <c r="Z19" s="1533" t="str">
        <f>Q19</f>
        <v>公共配套设施</v>
      </c>
      <c r="AA19" s="1530">
        <f t="shared" si="3"/>
        <v>1</v>
      </c>
      <c r="AB19" s="1530">
        <f t="shared" si="4"/>
        <v>1</v>
      </c>
      <c r="AC19" s="1530">
        <f t="shared" si="5"/>
        <v>1</v>
      </c>
    </row>
    <row r="20" spans="1:29" ht="15">
      <c r="A20" s="387"/>
      <c r="B20" s="415"/>
      <c r="C20" s="406" t="s">
        <v>3084</v>
      </c>
      <c r="D20" s="407"/>
      <c r="E20" s="406" t="s">
        <v>3084</v>
      </c>
      <c r="F20" s="407"/>
      <c r="G20" s="406" t="s">
        <v>3084</v>
      </c>
      <c r="H20" s="407"/>
      <c r="I20" s="406" t="s">
        <v>3084</v>
      </c>
      <c r="J20" s="407"/>
      <c r="K20" s="2077"/>
      <c r="L20" s="2932"/>
      <c r="M20" s="2926"/>
      <c r="N20" s="2926"/>
      <c r="O20" s="2926"/>
      <c r="P20" s="3337"/>
      <c r="Q20" s="1529"/>
      <c r="R20" s="712"/>
      <c r="S20" s="713"/>
      <c r="T20" s="712"/>
      <c r="U20" s="713"/>
      <c r="V20" s="712"/>
      <c r="W20" s="713"/>
      <c r="X20" s="1532"/>
      <c r="Y20" s="3330"/>
      <c r="Z20" s="1533"/>
      <c r="AA20" s="1530">
        <v>1</v>
      </c>
      <c r="AB20" s="1530">
        <v>1</v>
      </c>
      <c r="AC20" s="1530">
        <v>1</v>
      </c>
    </row>
    <row r="21" spans="1:29" ht="28.5">
      <c r="A21" s="387"/>
      <c r="B21" s="1288" t="s">
        <v>1945</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32"/>
      <c r="M21" s="2926"/>
      <c r="N21" s="2926"/>
      <c r="O21" s="2926"/>
      <c r="P21" s="3337"/>
      <c r="Q21" s="1529" t="str">
        <f>B21</f>
        <v>基础设施水平</v>
      </c>
      <c r="R21" s="712" t="s">
        <v>17</v>
      </c>
      <c r="S21" s="713">
        <f>F21</f>
        <v>100</v>
      </c>
      <c r="T21" s="712" t="s">
        <v>17</v>
      </c>
      <c r="U21" s="713">
        <f>H21</f>
        <v>100</v>
      </c>
      <c r="V21" s="712" t="s">
        <v>17</v>
      </c>
      <c r="W21" s="713">
        <f>J21</f>
        <v>100</v>
      </c>
      <c r="X21" s="1532"/>
      <c r="Y21" s="3330"/>
      <c r="Z21" s="1533" t="str">
        <f>Q21</f>
        <v>基础设施水平</v>
      </c>
      <c r="AA21" s="1530">
        <f t="shared" ref="AA21" si="8">D21/F21</f>
        <v>1</v>
      </c>
      <c r="AB21" s="1530">
        <f t="shared" ref="AB21" si="9">D21/H21</f>
        <v>1</v>
      </c>
      <c r="AC21" s="1530">
        <f t="shared" ref="AC21" si="10">D21/J21</f>
        <v>1</v>
      </c>
    </row>
    <row r="22" spans="1:29" ht="15">
      <c r="A22" s="387"/>
      <c r="B22" s="1288"/>
      <c r="C22" s="2079" t="s">
        <v>3076</v>
      </c>
      <c r="D22" s="407"/>
      <c r="E22" s="2079" t="s">
        <v>3076</v>
      </c>
      <c r="F22" s="407"/>
      <c r="G22" s="2079" t="s">
        <v>3076</v>
      </c>
      <c r="H22" s="407"/>
      <c r="I22" s="2079" t="s">
        <v>3076</v>
      </c>
      <c r="J22" s="407"/>
      <c r="K22" s="2083"/>
      <c r="L22" s="2932"/>
      <c r="M22" s="2926"/>
      <c r="N22" s="2926"/>
      <c r="O22" s="2926"/>
      <c r="P22" s="3337"/>
      <c r="Q22" s="1529"/>
      <c r="R22" s="712"/>
      <c r="S22" s="713"/>
      <c r="T22" s="712"/>
      <c r="U22" s="713"/>
      <c r="V22" s="712"/>
      <c r="W22" s="713"/>
      <c r="X22" s="1532"/>
      <c r="Y22" s="3330"/>
      <c r="Z22" s="1533"/>
      <c r="AA22" s="1530">
        <v>1</v>
      </c>
      <c r="AB22" s="1530">
        <v>1</v>
      </c>
      <c r="AC22" s="1530">
        <v>1</v>
      </c>
    </row>
    <row r="23" spans="1:29" ht="78" customHeight="1">
      <c r="A23" s="387"/>
      <c r="B23" s="410" t="s">
        <v>1946</v>
      </c>
      <c r="C23" s="2078" t="str">
        <f>估价对象房地状况!C9</f>
        <v>估价对象周边有盆景园、太原汾河景区等自然景观、更有菊花坪、凉亭等人文景观、环境状况较好</v>
      </c>
      <c r="D23" s="409">
        <v>100</v>
      </c>
      <c r="E23" s="413"/>
      <c r="F23" s="409">
        <f>SUMIF(84:84,E24,85:85)-SUMIF(84:84,C24,85:85)+100</f>
        <v>100</v>
      </c>
      <c r="G23" s="411"/>
      <c r="H23" s="409">
        <f>SUMIF(84:84,G24,85:85)-SUMIF(84:84,C24,85:85)+100</f>
        <v>100</v>
      </c>
      <c r="I23" s="411"/>
      <c r="J23" s="409">
        <f>SUMIF(84:84,I24,85:85)-SUMIF(84:84,C24,85:85)+100</f>
        <v>100</v>
      </c>
      <c r="K23" s="404">
        <v>3</v>
      </c>
      <c r="L23" s="2932"/>
      <c r="M23" s="2926"/>
      <c r="N23" s="2926"/>
      <c r="O23" s="2926"/>
      <c r="P23" s="3337"/>
      <c r="Q23" s="1529" t="str">
        <f>B23</f>
        <v>自然及人文环境</v>
      </c>
      <c r="R23" s="712" t="s">
        <v>21</v>
      </c>
      <c r="S23" s="713">
        <f>F23</f>
        <v>100</v>
      </c>
      <c r="T23" s="712" t="s">
        <v>21</v>
      </c>
      <c r="U23" s="713">
        <f>H23</f>
        <v>100</v>
      </c>
      <c r="V23" s="712" t="s">
        <v>21</v>
      </c>
      <c r="W23" s="713">
        <f>J23</f>
        <v>100</v>
      </c>
      <c r="X23" s="1532"/>
      <c r="Y23" s="3330"/>
      <c r="Z23" s="1533" t="str">
        <f>Q23</f>
        <v>自然及人文环境</v>
      </c>
      <c r="AA23" s="1530">
        <f>D23/F23</f>
        <v>1</v>
      </c>
      <c r="AB23" s="1530">
        <f>D23/H23</f>
        <v>1</v>
      </c>
      <c r="AC23" s="1530">
        <f>D23/J23</f>
        <v>1</v>
      </c>
    </row>
    <row r="24" spans="1:29" ht="15">
      <c r="A24" s="387"/>
      <c r="B24" s="415"/>
      <c r="C24" s="406" t="s">
        <v>3084</v>
      </c>
      <c r="D24" s="407"/>
      <c r="E24" s="406" t="s">
        <v>3084</v>
      </c>
      <c r="F24" s="407"/>
      <c r="G24" s="406" t="s">
        <v>3084</v>
      </c>
      <c r="H24" s="407"/>
      <c r="I24" s="406" t="s">
        <v>3084</v>
      </c>
      <c r="J24" s="407"/>
      <c r="K24" s="2077"/>
      <c r="L24" s="2932"/>
      <c r="M24" s="2926"/>
      <c r="N24" s="2926"/>
      <c r="O24" s="2926"/>
      <c r="P24" s="3337"/>
      <c r="Q24" s="1529"/>
      <c r="R24" s="712"/>
      <c r="S24" s="713"/>
      <c r="T24" s="712"/>
      <c r="U24" s="713"/>
      <c r="V24" s="712"/>
      <c r="W24" s="713"/>
      <c r="X24" s="1532"/>
      <c r="Y24" s="3330"/>
      <c r="Z24" s="1533"/>
      <c r="AA24" s="1530">
        <v>1</v>
      </c>
      <c r="AB24" s="1530">
        <v>1</v>
      </c>
      <c r="AC24" s="1530">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32"/>
      <c r="M25" s="2926"/>
      <c r="N25" s="2926"/>
      <c r="O25" s="2926"/>
      <c r="P25" s="3337"/>
      <c r="Q25" s="1529" t="str">
        <f t="shared" ref="Q25:Q46" si="11">B25</f>
        <v>楼层-1</v>
      </c>
      <c r="R25" s="712" t="s">
        <v>21</v>
      </c>
      <c r="S25" s="713">
        <f t="shared" ref="S25:S46" si="12">F25</f>
        <v>100</v>
      </c>
      <c r="T25" s="712" t="s">
        <v>21</v>
      </c>
      <c r="U25" s="713">
        <f t="shared" ref="U25:U46" si="13">H25</f>
        <v>100</v>
      </c>
      <c r="V25" s="712" t="s">
        <v>21</v>
      </c>
      <c r="W25" s="713">
        <f t="shared" ref="W25:W46" si="14">J25</f>
        <v>100</v>
      </c>
      <c r="X25" s="1532"/>
      <c r="Y25" s="3330"/>
      <c r="Z25" s="1533" t="str">
        <f>Q25</f>
        <v>楼层-1</v>
      </c>
      <c r="AA25" s="1530">
        <f t="shared" ref="AA25:AA46" si="15">D25/F25</f>
        <v>1</v>
      </c>
      <c r="AB25" s="1530">
        <f t="shared" ref="AB25:AB46" si="16">D25/H25</f>
        <v>1</v>
      </c>
      <c r="AC25" s="1530">
        <f t="shared" ref="AC25:AC46" si="17">D25/J25</f>
        <v>1</v>
      </c>
    </row>
    <row r="26" spans="1:29" ht="15">
      <c r="A26" s="387"/>
      <c r="B26" s="381" t="s">
        <v>2382</v>
      </c>
      <c r="C26" s="419"/>
      <c r="D26" s="394">
        <v>100</v>
      </c>
      <c r="E26" s="2084"/>
      <c r="F26" s="394">
        <f>SUMIF(88:88,E26,89:89)-SUMIF(88:88,C26,89:89)+100</f>
        <v>100</v>
      </c>
      <c r="G26" s="2085"/>
      <c r="H26" s="394">
        <f>SUMIF(88:88,G26,89:89)-SUMIF(88:88,C26,89:89)+100</f>
        <v>100</v>
      </c>
      <c r="I26" s="2085"/>
      <c r="J26" s="394">
        <f>SUMIF(88:88,I26,89:89)-SUMIF(88:88,C26,89:89)+100</f>
        <v>100</v>
      </c>
      <c r="K26" s="385"/>
      <c r="L26" s="2932"/>
      <c r="M26" s="2926"/>
      <c r="N26" s="2926"/>
      <c r="O26" s="2926"/>
      <c r="P26" s="3337"/>
      <c r="Q26" s="1529" t="str">
        <f t="shared" si="11"/>
        <v>朝向</v>
      </c>
      <c r="R26" s="712" t="s">
        <v>21</v>
      </c>
      <c r="S26" s="713">
        <f t="shared" si="12"/>
        <v>100</v>
      </c>
      <c r="T26" s="712" t="s">
        <v>21</v>
      </c>
      <c r="U26" s="713">
        <f t="shared" si="13"/>
        <v>100</v>
      </c>
      <c r="V26" s="712" t="s">
        <v>21</v>
      </c>
      <c r="W26" s="713">
        <f t="shared" si="14"/>
        <v>100</v>
      </c>
      <c r="X26" s="1532"/>
      <c r="Y26" s="3330"/>
      <c r="Z26" s="1533" t="str">
        <f>Q26</f>
        <v>朝向</v>
      </c>
      <c r="AA26" s="1530">
        <f t="shared" si="15"/>
        <v>1</v>
      </c>
      <c r="AB26" s="1530">
        <f t="shared" si="16"/>
        <v>1</v>
      </c>
      <c r="AC26" s="1530">
        <f t="shared" si="17"/>
        <v>1</v>
      </c>
    </row>
    <row r="27" spans="1:29" s="113" customFormat="1" ht="15">
      <c r="A27" s="390"/>
      <c r="B27" s="3047" t="s">
        <v>3091</v>
      </c>
      <c r="C27" s="3048" t="s">
        <v>3080</v>
      </c>
      <c r="D27" s="421">
        <v>100</v>
      </c>
      <c r="E27" s="3048" t="s">
        <v>3081</v>
      </c>
      <c r="F27" s="421">
        <f>SUMIF(90:90,E27,91:91)-SUMIF(90:90,C27,91:91)+100</f>
        <v>95</v>
      </c>
      <c r="G27" s="3048" t="s">
        <v>3081</v>
      </c>
      <c r="H27" s="421">
        <f>SUMIF(90:90,G27,91:91)-SUMIF(90:90,C27,91:91)+100</f>
        <v>95</v>
      </c>
      <c r="I27" s="3048" t="s">
        <v>3081</v>
      </c>
      <c r="J27" s="421">
        <f>SUMIF(90:90,I27,91:91)-SUMIF(90:90,C27,91:91)+100</f>
        <v>95</v>
      </c>
      <c r="K27" s="2072"/>
      <c r="L27" s="2927"/>
      <c r="M27" s="2928"/>
      <c r="N27" s="2928"/>
      <c r="O27" s="2928"/>
      <c r="P27" s="3337"/>
      <c r="Q27" s="1520" t="str">
        <f t="shared" si="11"/>
        <v>楼层</v>
      </c>
      <c r="R27" s="708" t="s">
        <v>21</v>
      </c>
      <c r="S27" s="709">
        <f t="shared" si="12"/>
        <v>95</v>
      </c>
      <c r="T27" s="708" t="s">
        <v>21</v>
      </c>
      <c r="U27" s="709">
        <f t="shared" si="13"/>
        <v>95</v>
      </c>
      <c r="V27" s="708" t="s">
        <v>21</v>
      </c>
      <c r="W27" s="709">
        <f t="shared" si="14"/>
        <v>95</v>
      </c>
      <c r="X27" s="710"/>
      <c r="Y27" s="3330"/>
      <c r="Z27" s="55" t="str">
        <f>Q27</f>
        <v>楼层</v>
      </c>
      <c r="AA27" s="1530">
        <f t="shared" si="15"/>
        <v>1.0526315789473684</v>
      </c>
      <c r="AB27" s="1530">
        <f t="shared" si="16"/>
        <v>1.0526315789473684</v>
      </c>
      <c r="AC27" s="1530">
        <f t="shared" si="17"/>
        <v>1.0526315789473684</v>
      </c>
    </row>
    <row r="28" spans="1:29" ht="15">
      <c r="A28" s="387"/>
      <c r="B28" s="1290">
        <v>111</v>
      </c>
      <c r="C28" s="393"/>
      <c r="D28" s="394">
        <v>100</v>
      </c>
      <c r="E28" s="393"/>
      <c r="F28" s="394">
        <f>SUMIF(92:92,E28,93:93)-SUMIF(92:92,C28,93:93)+100</f>
        <v>100</v>
      </c>
      <c r="G28" s="2086"/>
      <c r="H28" s="394">
        <f>SUMIF(92:92,G28,93:93)-SUMIF(92:92,C28,93:93)+100</f>
        <v>100</v>
      </c>
      <c r="I28" s="393"/>
      <c r="J28" s="394">
        <f>SUMIF(92:92,I28,93:93)-SUMIF(92:92,C28,93:93)+100</f>
        <v>100</v>
      </c>
      <c r="K28" s="2072"/>
      <c r="L28" s="2932"/>
      <c r="M28" s="2926"/>
      <c r="N28" s="2926"/>
      <c r="O28" s="2926"/>
      <c r="P28" s="3337"/>
      <c r="Q28" s="1529">
        <f t="shared" si="11"/>
        <v>111</v>
      </c>
      <c r="R28" s="712" t="s">
        <v>21</v>
      </c>
      <c r="S28" s="713">
        <f t="shared" si="12"/>
        <v>100</v>
      </c>
      <c r="T28" s="712" t="s">
        <v>21</v>
      </c>
      <c r="U28" s="713">
        <f t="shared" si="13"/>
        <v>100</v>
      </c>
      <c r="V28" s="712" t="s">
        <v>21</v>
      </c>
      <c r="W28" s="713">
        <f t="shared" si="14"/>
        <v>100</v>
      </c>
      <c r="X28" s="1532"/>
      <c r="Y28" s="3330"/>
      <c r="Z28" s="1533">
        <f t="shared" ref="Z28:Z46" si="18">Q28</f>
        <v>111</v>
      </c>
      <c r="AA28" s="1530">
        <f t="shared" si="15"/>
        <v>1</v>
      </c>
      <c r="AB28" s="1530">
        <f t="shared" si="16"/>
        <v>1</v>
      </c>
      <c r="AC28" s="1530">
        <f t="shared" si="17"/>
        <v>1</v>
      </c>
    </row>
    <row r="29" spans="1:29" ht="15">
      <c r="A29" s="387"/>
      <c r="B29" s="1290">
        <v>111</v>
      </c>
      <c r="C29" s="393"/>
      <c r="D29" s="394">
        <v>100</v>
      </c>
      <c r="E29" s="393"/>
      <c r="F29" s="394">
        <f>SUMIF(94:94,E29,95:95)-SUMIF(94:94,C29,95:95)+100</f>
        <v>100</v>
      </c>
      <c r="G29" s="2086"/>
      <c r="H29" s="394">
        <f>SUMIF(94:94,G29,95:95)-SUMIF(94:94,C29,95:95)+100</f>
        <v>100</v>
      </c>
      <c r="I29" s="393"/>
      <c r="J29" s="394">
        <f>SUMIF(94:94,I29,95:95)-SUMIF(94:94,C29,95:95)+100</f>
        <v>100</v>
      </c>
      <c r="K29" s="2072"/>
      <c r="L29" s="2932"/>
      <c r="M29" s="2926"/>
      <c r="N29" s="2926"/>
      <c r="O29" s="2926"/>
      <c r="P29" s="3337"/>
      <c r="Q29" s="1529">
        <f t="shared" si="11"/>
        <v>111</v>
      </c>
      <c r="R29" s="712" t="s">
        <v>21</v>
      </c>
      <c r="S29" s="713">
        <f t="shared" si="12"/>
        <v>100</v>
      </c>
      <c r="T29" s="712" t="s">
        <v>21</v>
      </c>
      <c r="U29" s="713">
        <f t="shared" si="13"/>
        <v>100</v>
      </c>
      <c r="V29" s="712" t="s">
        <v>21</v>
      </c>
      <c r="W29" s="713">
        <f t="shared" si="14"/>
        <v>100</v>
      </c>
      <c r="X29" s="1532"/>
      <c r="Y29" s="3330"/>
      <c r="Z29" s="1533">
        <f t="shared" si="18"/>
        <v>111</v>
      </c>
      <c r="AA29" s="1530">
        <f t="shared" si="15"/>
        <v>1</v>
      </c>
      <c r="AB29" s="1530">
        <f t="shared" si="16"/>
        <v>1</v>
      </c>
      <c r="AC29" s="1530">
        <f t="shared" si="17"/>
        <v>1</v>
      </c>
    </row>
    <row r="30" spans="1:29" ht="15">
      <c r="A30" s="387"/>
      <c r="B30" s="1290">
        <v>111</v>
      </c>
      <c r="C30" s="393"/>
      <c r="D30" s="394">
        <v>100</v>
      </c>
      <c r="E30" s="393"/>
      <c r="F30" s="394">
        <f>SUMIF(96:96,E30,97:97)-SUMIF(96:96,C30,97:97)+100</f>
        <v>100</v>
      </c>
      <c r="G30" s="2086"/>
      <c r="H30" s="394">
        <f>SUMIF(96:96,G30,97:97)-SUMIF(96:96,C30,97:97)+100</f>
        <v>100</v>
      </c>
      <c r="I30" s="393"/>
      <c r="J30" s="394">
        <f>SUMIF(96:96,I30,97:97)-SUMIF(96:96,C30,97:97)+100</f>
        <v>100</v>
      </c>
      <c r="K30" s="2072"/>
      <c r="L30" s="2932"/>
      <c r="M30" s="2926"/>
      <c r="N30" s="2926"/>
      <c r="O30" s="2926"/>
      <c r="P30" s="3337"/>
      <c r="Q30" s="1529">
        <f t="shared" si="11"/>
        <v>111</v>
      </c>
      <c r="R30" s="712" t="s">
        <v>21</v>
      </c>
      <c r="S30" s="713">
        <f t="shared" si="12"/>
        <v>100</v>
      </c>
      <c r="T30" s="712" t="s">
        <v>21</v>
      </c>
      <c r="U30" s="713">
        <f t="shared" si="13"/>
        <v>100</v>
      </c>
      <c r="V30" s="712" t="s">
        <v>21</v>
      </c>
      <c r="W30" s="713">
        <f t="shared" si="14"/>
        <v>100</v>
      </c>
      <c r="X30" s="1532"/>
      <c r="Y30" s="3330"/>
      <c r="Z30" s="1533">
        <f t="shared" si="18"/>
        <v>111</v>
      </c>
      <c r="AA30" s="1530">
        <f t="shared" si="15"/>
        <v>1</v>
      </c>
      <c r="AB30" s="1530">
        <f t="shared" si="16"/>
        <v>1</v>
      </c>
      <c r="AC30" s="1530">
        <f t="shared" si="17"/>
        <v>1</v>
      </c>
    </row>
    <row r="31" spans="1:29" ht="15.75" thickBot="1">
      <c r="A31" s="395"/>
      <c r="B31" s="1290">
        <v>111</v>
      </c>
      <c r="C31" s="396"/>
      <c r="D31" s="397">
        <v>100</v>
      </c>
      <c r="E31" s="396"/>
      <c r="F31" s="397">
        <f>SUMIF(98:98,E31,99:99)-SUMIF(98:98,C31,99:99)+100</f>
        <v>100</v>
      </c>
      <c r="G31" s="2087"/>
      <c r="H31" s="397">
        <f>SUMIF(98:98,G31,99:99)-SUMIF(98:98,C31,99:99)+100</f>
        <v>100</v>
      </c>
      <c r="I31" s="396"/>
      <c r="J31" s="397">
        <f>SUMIF(98:98,I31,99:99)-SUMIF(98:98,C31,99:99)+100</f>
        <v>100</v>
      </c>
      <c r="K31" s="2072"/>
      <c r="L31" s="2932"/>
      <c r="M31" s="2926"/>
      <c r="N31" s="2926"/>
      <c r="O31" s="2926"/>
      <c r="P31" s="3337"/>
      <c r="Q31" s="1529">
        <f t="shared" si="11"/>
        <v>111</v>
      </c>
      <c r="R31" s="712" t="s">
        <v>21</v>
      </c>
      <c r="S31" s="713">
        <f t="shared" si="12"/>
        <v>100</v>
      </c>
      <c r="T31" s="712" t="s">
        <v>21</v>
      </c>
      <c r="U31" s="713">
        <f t="shared" si="13"/>
        <v>100</v>
      </c>
      <c r="V31" s="712" t="s">
        <v>21</v>
      </c>
      <c r="W31" s="713">
        <f t="shared" si="14"/>
        <v>100</v>
      </c>
      <c r="X31" s="1532"/>
      <c r="Y31" s="3330"/>
      <c r="Z31" s="1533">
        <f t="shared" si="18"/>
        <v>111</v>
      </c>
      <c r="AA31" s="1530">
        <f t="shared" si="15"/>
        <v>1</v>
      </c>
      <c r="AB31" s="1530">
        <f t="shared" si="16"/>
        <v>1</v>
      </c>
      <c r="AC31" s="1530">
        <f t="shared" si="17"/>
        <v>1</v>
      </c>
    </row>
    <row r="32" spans="1:29" ht="15">
      <c r="A32" s="399" t="s">
        <v>2383</v>
      </c>
      <c r="B32" s="67" t="s">
        <v>2384</v>
      </c>
      <c r="C32" s="2088" t="s">
        <v>3086</v>
      </c>
      <c r="D32" s="426">
        <v>100</v>
      </c>
      <c r="E32" s="2088" t="s">
        <v>3086</v>
      </c>
      <c r="F32" s="420">
        <f>SUMIF(100:100,E32,101:101)-SUMIF(100:100,C32,101:101)+100</f>
        <v>100</v>
      </c>
      <c r="G32" s="2088" t="s">
        <v>3086</v>
      </c>
      <c r="H32" s="426">
        <f>SUMIF(100:100,G32,101:101)-SUMIF(100:100,C32,101:101)+100</f>
        <v>100</v>
      </c>
      <c r="I32" s="2088" t="s">
        <v>3086</v>
      </c>
      <c r="J32" s="394">
        <f>SUMIF(100:100,I32,101:101)-SUMIF(100:100,C32,101:101)+100</f>
        <v>100</v>
      </c>
      <c r="K32" s="385">
        <v>5</v>
      </c>
      <c r="L32" s="2932"/>
      <c r="M32" s="2926"/>
      <c r="N32" s="2926"/>
      <c r="O32" s="2926"/>
      <c r="P32" s="3331" t="s">
        <v>2385</v>
      </c>
      <c r="Q32" s="1529" t="str">
        <f t="shared" si="11"/>
        <v>建筑类型</v>
      </c>
      <c r="R32" s="712" t="s">
        <v>21</v>
      </c>
      <c r="S32" s="713">
        <f t="shared" si="12"/>
        <v>100</v>
      </c>
      <c r="T32" s="712" t="s">
        <v>21</v>
      </c>
      <c r="U32" s="713">
        <f t="shared" si="13"/>
        <v>100</v>
      </c>
      <c r="V32" s="712" t="s">
        <v>21</v>
      </c>
      <c r="W32" s="713">
        <f t="shared" si="14"/>
        <v>100</v>
      </c>
      <c r="X32" s="1532"/>
      <c r="Y32" s="3334" t="s">
        <v>2385</v>
      </c>
      <c r="Z32" s="1533" t="str">
        <f t="shared" si="18"/>
        <v>建筑类型</v>
      </c>
      <c r="AA32" s="1530">
        <f t="shared" si="15"/>
        <v>1</v>
      </c>
      <c r="AB32" s="1530">
        <f t="shared" si="16"/>
        <v>1</v>
      </c>
      <c r="AC32" s="1530">
        <f t="shared" si="17"/>
        <v>1</v>
      </c>
    </row>
    <row r="33" spans="1:29" s="430" customFormat="1" ht="15">
      <c r="A33" s="427"/>
      <c r="B33" s="381" t="s">
        <v>2386</v>
      </c>
      <c r="C33" s="428">
        <f>'数据-基础表'!I13</f>
        <v>0</v>
      </c>
      <c r="D33" s="132">
        <v>100</v>
      </c>
      <c r="E33" s="389">
        <v>82</v>
      </c>
      <c r="F33" s="384">
        <f>LOOKUP(E33,103:103,104:104)-LOOKUP(C33,103:103,104:104)+100</f>
        <v>100</v>
      </c>
      <c r="G33" s="388">
        <v>90</v>
      </c>
      <c r="H33" s="132">
        <f>LOOKUP(G33,103:103,104:104)-LOOKUP(C33,103:103,104:104)+100</f>
        <v>100</v>
      </c>
      <c r="I33" s="389">
        <v>80</v>
      </c>
      <c r="J33" s="132">
        <f>LOOKUP(I33,103:103,104:104)-LOOKUP(C33,103:103,104:104)+100</f>
        <v>100</v>
      </c>
      <c r="K33" s="2072"/>
      <c r="L33" s="2931"/>
      <c r="M33" s="2933"/>
      <c r="N33" s="2933"/>
      <c r="O33" s="2933"/>
      <c r="P33" s="3332"/>
      <c r="Q33" s="714" t="str">
        <f t="shared" si="11"/>
        <v>项目建筑规模</v>
      </c>
      <c r="R33" s="715" t="s">
        <v>21</v>
      </c>
      <c r="S33" s="716">
        <f t="shared" si="12"/>
        <v>100</v>
      </c>
      <c r="T33" s="715" t="s">
        <v>21</v>
      </c>
      <c r="U33" s="716">
        <f t="shared" si="13"/>
        <v>100</v>
      </c>
      <c r="V33" s="715" t="s">
        <v>21</v>
      </c>
      <c r="W33" s="716">
        <f t="shared" si="14"/>
        <v>100</v>
      </c>
      <c r="X33" s="717"/>
      <c r="Y33" s="3334"/>
      <c r="Z33" s="718" t="str">
        <f t="shared" si="18"/>
        <v>项目建筑规模</v>
      </c>
      <c r="AA33" s="1530">
        <f t="shared" si="15"/>
        <v>1</v>
      </c>
      <c r="AB33" s="1530">
        <f t="shared" si="16"/>
        <v>1</v>
      </c>
      <c r="AC33" s="1530">
        <f t="shared" si="17"/>
        <v>1</v>
      </c>
    </row>
    <row r="34" spans="1:29" ht="15">
      <c r="A34" s="431"/>
      <c r="B34" s="381" t="s">
        <v>2387</v>
      </c>
      <c r="C34" s="2089" t="s">
        <v>3064</v>
      </c>
      <c r="D34" s="394">
        <v>100</v>
      </c>
      <c r="E34" s="2089" t="s">
        <v>3064</v>
      </c>
      <c r="F34" s="420">
        <f>SUMIF(105:105,E34,106:106)-SUMIF(105:105,C34,106:106)+100</f>
        <v>100</v>
      </c>
      <c r="G34" s="2089" t="s">
        <v>3064</v>
      </c>
      <c r="H34" s="394">
        <f>SUMIF(105:105,G34,106:106)-SUMIF(105:105,C34,106:106)+100</f>
        <v>100</v>
      </c>
      <c r="I34" s="2089" t="s">
        <v>3064</v>
      </c>
      <c r="J34" s="394">
        <f>SUMIF(105:105,I34,106:106)-SUMIF(105:105,C34,106:106)+100</f>
        <v>100</v>
      </c>
      <c r="K34" s="385">
        <v>2</v>
      </c>
      <c r="L34" s="2932"/>
      <c r="M34" s="2926"/>
      <c r="N34" s="2926"/>
      <c r="O34" s="2926"/>
      <c r="P34" s="3332"/>
      <c r="Q34" s="1529" t="str">
        <f t="shared" si="11"/>
        <v>建筑结构</v>
      </c>
      <c r="R34" s="712" t="s">
        <v>21</v>
      </c>
      <c r="S34" s="713">
        <f t="shared" si="12"/>
        <v>100</v>
      </c>
      <c r="T34" s="712" t="s">
        <v>21</v>
      </c>
      <c r="U34" s="713">
        <f t="shared" si="13"/>
        <v>100</v>
      </c>
      <c r="V34" s="712" t="s">
        <v>21</v>
      </c>
      <c r="W34" s="713">
        <f t="shared" si="14"/>
        <v>100</v>
      </c>
      <c r="X34" s="1532"/>
      <c r="Y34" s="3334"/>
      <c r="Z34" s="1533" t="str">
        <f t="shared" si="18"/>
        <v>建筑结构</v>
      </c>
      <c r="AA34" s="1530">
        <f t="shared" si="15"/>
        <v>1</v>
      </c>
      <c r="AB34" s="1530">
        <f t="shared" si="16"/>
        <v>1</v>
      </c>
      <c r="AC34" s="1530">
        <f t="shared" si="17"/>
        <v>1</v>
      </c>
    </row>
    <row r="35" spans="1:29" ht="15">
      <c r="A35" s="431"/>
      <c r="B35" s="381" t="s">
        <v>2388</v>
      </c>
      <c r="C35" s="2084" t="s">
        <v>3087</v>
      </c>
      <c r="D35" s="394">
        <v>100</v>
      </c>
      <c r="E35" s="2084" t="s">
        <v>3087</v>
      </c>
      <c r="F35" s="420">
        <f>SUMIF(107:107,E35,108:108)-SUMIF(107:107,C35,108:108)+100</f>
        <v>100</v>
      </c>
      <c r="G35" s="2084" t="s">
        <v>3087</v>
      </c>
      <c r="H35" s="394">
        <f>SUMIF(107:107,G35,108:108)-SUMIF(107:107,C35,108:108)+100</f>
        <v>100</v>
      </c>
      <c r="I35" s="2084" t="s">
        <v>3087</v>
      </c>
      <c r="J35" s="394">
        <f>SUMIF(107:107,I35,108:108)-SUMIF(107:107,C35,108:108)+100</f>
        <v>100</v>
      </c>
      <c r="K35" s="385">
        <v>2</v>
      </c>
      <c r="L35" s="2932"/>
      <c r="M35" s="2926"/>
      <c r="N35" s="2926"/>
      <c r="O35" s="2926"/>
      <c r="P35" s="3332"/>
      <c r="Q35" s="1529" t="str">
        <f t="shared" si="11"/>
        <v>建筑品质</v>
      </c>
      <c r="R35" s="712" t="s">
        <v>21</v>
      </c>
      <c r="S35" s="713">
        <f t="shared" si="12"/>
        <v>100</v>
      </c>
      <c r="T35" s="712" t="s">
        <v>21</v>
      </c>
      <c r="U35" s="713">
        <f t="shared" si="13"/>
        <v>100</v>
      </c>
      <c r="V35" s="712" t="s">
        <v>21</v>
      </c>
      <c r="W35" s="713">
        <f t="shared" si="14"/>
        <v>100</v>
      </c>
      <c r="X35" s="1532"/>
      <c r="Y35" s="3334"/>
      <c r="Z35" s="1533" t="str">
        <f t="shared" si="18"/>
        <v>建筑品质</v>
      </c>
      <c r="AA35" s="1530">
        <f t="shared" si="15"/>
        <v>1</v>
      </c>
      <c r="AB35" s="1530">
        <f t="shared" si="16"/>
        <v>1</v>
      </c>
      <c r="AC35" s="1530">
        <f t="shared" si="17"/>
        <v>1</v>
      </c>
    </row>
    <row r="36" spans="1:29" ht="15">
      <c r="A36" s="431"/>
      <c r="B36" s="381" t="s">
        <v>2389</v>
      </c>
      <c r="C36" s="2084" t="s">
        <v>3088</v>
      </c>
      <c r="D36" s="394">
        <v>100</v>
      </c>
      <c r="E36" s="2084" t="s">
        <v>3088</v>
      </c>
      <c r="F36" s="420">
        <f>SUMIF(109:109,E36,110:110)-SUMIF(109:109,C36,110:110)+100</f>
        <v>100</v>
      </c>
      <c r="G36" s="2084" t="s">
        <v>3088</v>
      </c>
      <c r="H36" s="394">
        <f>SUMIF(109:109,G36,110:110)-SUMIF(109:109,C36,110:110)+100</f>
        <v>100</v>
      </c>
      <c r="I36" s="2084" t="s">
        <v>3088</v>
      </c>
      <c r="J36" s="394">
        <f>SUMIF(109:109,I36,110:110)-SUMIF(109:109,C36,110:110)+100</f>
        <v>100</v>
      </c>
      <c r="K36" s="385">
        <v>2</v>
      </c>
      <c r="L36" s="2932"/>
      <c r="M36" s="2926"/>
      <c r="N36" s="2926"/>
      <c r="O36" s="2926"/>
      <c r="P36" s="3332"/>
      <c r="Q36" s="1529" t="str">
        <f t="shared" si="11"/>
        <v>公共部分装修</v>
      </c>
      <c r="R36" s="712" t="s">
        <v>21</v>
      </c>
      <c r="S36" s="713">
        <f t="shared" si="12"/>
        <v>100</v>
      </c>
      <c r="T36" s="712" t="s">
        <v>21</v>
      </c>
      <c r="U36" s="713">
        <f t="shared" si="13"/>
        <v>100</v>
      </c>
      <c r="V36" s="712" t="s">
        <v>21</v>
      </c>
      <c r="W36" s="713">
        <f t="shared" si="14"/>
        <v>100</v>
      </c>
      <c r="X36" s="1532"/>
      <c r="Y36" s="3334"/>
      <c r="Z36" s="1533" t="str">
        <f t="shared" si="18"/>
        <v>公共部分装修</v>
      </c>
      <c r="AA36" s="1530">
        <f t="shared" si="15"/>
        <v>1</v>
      </c>
      <c r="AB36" s="1530">
        <f t="shared" si="16"/>
        <v>1</v>
      </c>
      <c r="AC36" s="1530">
        <f t="shared" si="17"/>
        <v>1</v>
      </c>
    </row>
    <row r="37" spans="1:29" s="113" customFormat="1" ht="15">
      <c r="A37" s="432"/>
      <c r="B37" s="381" t="s">
        <v>2390</v>
      </c>
      <c r="C37" s="433">
        <f>'数据-取费表'!N6</f>
        <v>0.71699999999999997</v>
      </c>
      <c r="D37" s="132">
        <v>100</v>
      </c>
      <c r="E37" s="433">
        <f>C37</f>
        <v>0.71699999999999997</v>
      </c>
      <c r="F37" s="384">
        <f>LOOKUP(E37,112:112,113:113)-LOOKUP(C37,112:112,113:113)+100</f>
        <v>100</v>
      </c>
      <c r="G37" s="433">
        <f>E37</f>
        <v>0.71699999999999997</v>
      </c>
      <c r="H37" s="132">
        <f>LOOKUP(G37,112:112,113:113)-LOOKUP(C37,112:112,113:113)+100</f>
        <v>100</v>
      </c>
      <c r="I37" s="433">
        <f>G37</f>
        <v>0.71699999999999997</v>
      </c>
      <c r="J37" s="132">
        <f>LOOKUP(I37,112:112,113:113)-LOOKUP(C37,112:112,113:113)+100</f>
        <v>100</v>
      </c>
      <c r="K37" s="385">
        <v>1</v>
      </c>
      <c r="L37" s="2927"/>
      <c r="M37" s="2928"/>
      <c r="N37" s="2928"/>
      <c r="O37" s="2928"/>
      <c r="P37" s="3332"/>
      <c r="Q37" s="1520" t="str">
        <f t="shared" si="11"/>
        <v>成新度</v>
      </c>
      <c r="R37" s="708" t="s">
        <v>21</v>
      </c>
      <c r="S37" s="709">
        <f t="shared" si="12"/>
        <v>100</v>
      </c>
      <c r="T37" s="708" t="s">
        <v>21</v>
      </c>
      <c r="U37" s="709">
        <f t="shared" si="13"/>
        <v>100</v>
      </c>
      <c r="V37" s="708" t="s">
        <v>21</v>
      </c>
      <c r="W37" s="709">
        <f t="shared" si="14"/>
        <v>100</v>
      </c>
      <c r="X37" s="710"/>
      <c r="Y37" s="3334"/>
      <c r="Z37" s="55" t="str">
        <f t="shared" si="18"/>
        <v>成新度</v>
      </c>
      <c r="AA37" s="711">
        <f t="shared" si="15"/>
        <v>1</v>
      </c>
      <c r="AB37" s="711">
        <f t="shared" si="16"/>
        <v>1</v>
      </c>
      <c r="AC37" s="711">
        <f t="shared" si="17"/>
        <v>1</v>
      </c>
    </row>
    <row r="38" spans="1:29" ht="15">
      <c r="A38" s="431"/>
      <c r="B38" s="381" t="s">
        <v>2391</v>
      </c>
      <c r="C38" s="2084" t="s">
        <v>3089</v>
      </c>
      <c r="D38" s="394">
        <v>100</v>
      </c>
      <c r="E38" s="2084" t="s">
        <v>3089</v>
      </c>
      <c r="F38" s="420">
        <f>SUMIF(114:114,E38,115:115)-SUMIF(114:114,C38,115:115)+100</f>
        <v>100</v>
      </c>
      <c r="G38" s="2084" t="s">
        <v>3089</v>
      </c>
      <c r="H38" s="394">
        <f>SUMIF(114:114,G38,115:115)-SUMIF(114:114,C38,115:115)+100</f>
        <v>100</v>
      </c>
      <c r="I38" s="2084" t="s">
        <v>3089</v>
      </c>
      <c r="J38" s="394">
        <f>SUMIF(114:114,I38,115:115)-SUMIF(114:114,C38,115:115)+100</f>
        <v>100</v>
      </c>
      <c r="K38" s="385">
        <v>2</v>
      </c>
      <c r="L38" s="2932"/>
      <c r="M38" s="2926"/>
      <c r="N38" s="2926"/>
      <c r="O38" s="2926"/>
      <c r="P38" s="3332" t="s">
        <v>2385</v>
      </c>
      <c r="Q38" s="1529" t="str">
        <f t="shared" si="11"/>
        <v>物业管理</v>
      </c>
      <c r="R38" s="712" t="s">
        <v>21</v>
      </c>
      <c r="S38" s="713">
        <f t="shared" si="12"/>
        <v>100</v>
      </c>
      <c r="T38" s="712" t="s">
        <v>21</v>
      </c>
      <c r="U38" s="713">
        <f t="shared" si="13"/>
        <v>100</v>
      </c>
      <c r="V38" s="712" t="s">
        <v>21</v>
      </c>
      <c r="W38" s="713">
        <f t="shared" si="14"/>
        <v>100</v>
      </c>
      <c r="X38" s="1532"/>
      <c r="Y38" s="3334" t="s">
        <v>2385</v>
      </c>
      <c r="Z38" s="1533" t="str">
        <f t="shared" si="18"/>
        <v>物业管理</v>
      </c>
      <c r="AA38" s="1530">
        <f t="shared" si="15"/>
        <v>1</v>
      </c>
      <c r="AB38" s="1530">
        <f t="shared" si="16"/>
        <v>1</v>
      </c>
      <c r="AC38" s="1530">
        <f t="shared" si="17"/>
        <v>1</v>
      </c>
    </row>
    <row r="39" spans="1:29" ht="15">
      <c r="A39" s="431"/>
      <c r="B39" s="381" t="s">
        <v>2392</v>
      </c>
      <c r="C39" s="2084" t="s">
        <v>3076</v>
      </c>
      <c r="D39" s="394">
        <v>100</v>
      </c>
      <c r="E39" s="2084" t="s">
        <v>3076</v>
      </c>
      <c r="F39" s="420">
        <f>SUMIF(116:116,E39,117:117)-SUMIF(116:116,C39,117:117)+100</f>
        <v>100</v>
      </c>
      <c r="G39" s="2084" t="s">
        <v>3076</v>
      </c>
      <c r="H39" s="394">
        <f>SUMIF(116:116,G39,117:117)-SUMIF(116:116,C39,117:117)+100</f>
        <v>100</v>
      </c>
      <c r="I39" s="2084" t="s">
        <v>3076</v>
      </c>
      <c r="J39" s="394">
        <f>SUMIF(116:116,I39,117:117)-SUMIF(116:116,C39,117:117)+100</f>
        <v>100</v>
      </c>
      <c r="K39" s="385">
        <v>1</v>
      </c>
      <c r="L39" s="2932"/>
      <c r="M39" s="2926"/>
      <c r="N39" s="2926"/>
      <c r="O39" s="2926"/>
      <c r="P39" s="3332"/>
      <c r="Q39" s="1529" t="str">
        <f t="shared" si="11"/>
        <v>市政基础设施</v>
      </c>
      <c r="R39" s="712" t="s">
        <v>21</v>
      </c>
      <c r="S39" s="713">
        <f t="shared" si="12"/>
        <v>100</v>
      </c>
      <c r="T39" s="712" t="s">
        <v>21</v>
      </c>
      <c r="U39" s="713">
        <f t="shared" si="13"/>
        <v>100</v>
      </c>
      <c r="V39" s="712" t="s">
        <v>21</v>
      </c>
      <c r="W39" s="713">
        <f t="shared" si="14"/>
        <v>100</v>
      </c>
      <c r="X39" s="1532"/>
      <c r="Y39" s="3334"/>
      <c r="Z39" s="1533" t="str">
        <f t="shared" si="18"/>
        <v>市政基础设施</v>
      </c>
      <c r="AA39" s="1530">
        <f t="shared" si="15"/>
        <v>1</v>
      </c>
      <c r="AB39" s="1530">
        <f t="shared" si="16"/>
        <v>1</v>
      </c>
      <c r="AC39" s="1530">
        <f t="shared" si="17"/>
        <v>1</v>
      </c>
    </row>
    <row r="40" spans="1:29" ht="15">
      <c r="A40" s="431"/>
      <c r="B40" s="381" t="s">
        <v>2393</v>
      </c>
      <c r="C40" s="2084"/>
      <c r="D40" s="394">
        <v>100</v>
      </c>
      <c r="E40" s="2084"/>
      <c r="F40" s="420">
        <f>SUMIF(118:118,E40,119:119)-SUMIF(118:118,C40,119:119)+100</f>
        <v>100</v>
      </c>
      <c r="G40" s="2084"/>
      <c r="H40" s="394">
        <f>SUMIF(118:118,G40,119:119)-SUMIF(118:118,C40,119:119)+100</f>
        <v>100</v>
      </c>
      <c r="I40" s="2084"/>
      <c r="J40" s="394">
        <f>SUMIF(118:118,I40,119:119)-SUMIF(118:118,C40,119:119)+100</f>
        <v>100</v>
      </c>
      <c r="K40" s="385"/>
      <c r="L40" s="2932"/>
      <c r="M40" s="2926"/>
      <c r="N40" s="2926"/>
      <c r="O40" s="2926"/>
      <c r="P40" s="3332"/>
      <c r="Q40" s="1529" t="str">
        <f t="shared" si="11"/>
        <v>房型</v>
      </c>
      <c r="R40" s="712" t="s">
        <v>21</v>
      </c>
      <c r="S40" s="713">
        <f t="shared" si="12"/>
        <v>100</v>
      </c>
      <c r="T40" s="712" t="s">
        <v>21</v>
      </c>
      <c r="U40" s="713">
        <f t="shared" si="13"/>
        <v>100</v>
      </c>
      <c r="V40" s="712" t="s">
        <v>21</v>
      </c>
      <c r="W40" s="713">
        <f t="shared" si="14"/>
        <v>100</v>
      </c>
      <c r="X40" s="1532"/>
      <c r="Y40" s="3334"/>
      <c r="Z40" s="1533" t="str">
        <f t="shared" si="18"/>
        <v>房型</v>
      </c>
      <c r="AA40" s="1530">
        <f t="shared" si="15"/>
        <v>1</v>
      </c>
      <c r="AB40" s="1530">
        <f t="shared" si="16"/>
        <v>1</v>
      </c>
      <c r="AC40" s="1530">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2"/>
      <c r="L41" s="2931"/>
      <c r="M41" s="2933"/>
      <c r="N41" s="2933"/>
      <c r="O41" s="2933"/>
      <c r="P41" s="3332"/>
      <c r="Q41" s="714" t="str">
        <f t="shared" si="11"/>
        <v>单套/主力户型建筑面积</v>
      </c>
      <c r="R41" s="715" t="s">
        <v>21</v>
      </c>
      <c r="S41" s="716">
        <f t="shared" si="12"/>
        <v>100</v>
      </c>
      <c r="T41" s="715" t="s">
        <v>21</v>
      </c>
      <c r="U41" s="716">
        <f t="shared" si="13"/>
        <v>100</v>
      </c>
      <c r="V41" s="715" t="s">
        <v>21</v>
      </c>
      <c r="W41" s="716">
        <f t="shared" si="14"/>
        <v>100</v>
      </c>
      <c r="X41" s="717"/>
      <c r="Y41" s="3334"/>
      <c r="Z41" s="718" t="str">
        <f t="shared" si="18"/>
        <v>单套/主力户型建筑面积</v>
      </c>
      <c r="AA41" s="1530">
        <f t="shared" si="15"/>
        <v>1</v>
      </c>
      <c r="AB41" s="1530">
        <f t="shared" si="16"/>
        <v>1</v>
      </c>
      <c r="AC41" s="1530">
        <f t="shared" si="17"/>
        <v>1</v>
      </c>
    </row>
    <row r="42" spans="1:29" ht="15">
      <c r="A42" s="431"/>
      <c r="B42" s="381" t="s">
        <v>2395</v>
      </c>
      <c r="C42" s="2084" t="s">
        <v>3090</v>
      </c>
      <c r="D42" s="394">
        <v>100</v>
      </c>
      <c r="E42" s="2084" t="s">
        <v>3088</v>
      </c>
      <c r="F42" s="420">
        <f>SUMIF(122:122,E42,123:123)-SUMIF(122:122,C42,123:123)+100</f>
        <v>106</v>
      </c>
      <c r="G42" s="2084" t="s">
        <v>3088</v>
      </c>
      <c r="H42" s="394">
        <f>SUMIF(122:122,G42,123:123)-SUMIF(122:122,C42,123:123)+100</f>
        <v>106</v>
      </c>
      <c r="I42" s="2084" t="s">
        <v>3088</v>
      </c>
      <c r="J42" s="394">
        <f>SUMIF(122:122,I42,123:123)-SUMIF(122:122,C42,123:123)+100</f>
        <v>106</v>
      </c>
      <c r="K42" s="385">
        <v>2</v>
      </c>
      <c r="L42" s="2932"/>
      <c r="M42" s="2926"/>
      <c r="N42" s="2926"/>
      <c r="O42" s="2926"/>
      <c r="P42" s="3332"/>
      <c r="Q42" s="1529" t="str">
        <f t="shared" si="11"/>
        <v>内部装修</v>
      </c>
      <c r="R42" s="712" t="s">
        <v>21</v>
      </c>
      <c r="S42" s="713">
        <f t="shared" si="12"/>
        <v>106</v>
      </c>
      <c r="T42" s="712" t="s">
        <v>21</v>
      </c>
      <c r="U42" s="713">
        <f t="shared" si="13"/>
        <v>106</v>
      </c>
      <c r="V42" s="712" t="s">
        <v>21</v>
      </c>
      <c r="W42" s="713">
        <f t="shared" si="14"/>
        <v>106</v>
      </c>
      <c r="X42" s="1532"/>
      <c r="Y42" s="3334"/>
      <c r="Z42" s="1533" t="str">
        <f t="shared" si="18"/>
        <v>内部装修</v>
      </c>
      <c r="AA42" s="1530">
        <f t="shared" si="15"/>
        <v>0.94339622641509435</v>
      </c>
      <c r="AB42" s="1530">
        <f t="shared" si="16"/>
        <v>0.94339622641509435</v>
      </c>
      <c r="AC42" s="1530">
        <f t="shared" si="17"/>
        <v>0.94339622641509435</v>
      </c>
    </row>
    <row r="43" spans="1:29" ht="15">
      <c r="A43" s="431"/>
      <c r="B43" s="381" t="s">
        <v>2396</v>
      </c>
      <c r="C43" s="2084" t="s">
        <v>3085</v>
      </c>
      <c r="D43" s="394">
        <v>100</v>
      </c>
      <c r="E43" s="2084" t="s">
        <v>3085</v>
      </c>
      <c r="F43" s="420">
        <f>SUMIF(124:124,E43,125:125)-SUMIF(124:124,C43,125:125)+100</f>
        <v>100</v>
      </c>
      <c r="G43" s="2084" t="s">
        <v>3085</v>
      </c>
      <c r="H43" s="394">
        <f>SUMIF(124:124,G43,125:125)-SUMIF(124:124,C43,125:125)+100</f>
        <v>100</v>
      </c>
      <c r="I43" s="2084" t="s">
        <v>3085</v>
      </c>
      <c r="J43" s="394">
        <f>SUMIF(124:124,I43,125:125)-SUMIF(124:124,C43,125:125)+100</f>
        <v>100</v>
      </c>
      <c r="K43" s="385">
        <v>2</v>
      </c>
      <c r="L43" s="2932"/>
      <c r="M43" s="2926"/>
      <c r="N43" s="2926"/>
      <c r="O43" s="2926"/>
      <c r="P43" s="3332"/>
      <c r="Q43" s="1529" t="str">
        <f t="shared" si="11"/>
        <v>内部装修维护情况</v>
      </c>
      <c r="R43" s="712" t="s">
        <v>21</v>
      </c>
      <c r="S43" s="713">
        <f t="shared" si="12"/>
        <v>100</v>
      </c>
      <c r="T43" s="712" t="s">
        <v>21</v>
      </c>
      <c r="U43" s="713">
        <f t="shared" si="13"/>
        <v>100</v>
      </c>
      <c r="V43" s="712" t="s">
        <v>21</v>
      </c>
      <c r="W43" s="713">
        <f t="shared" si="14"/>
        <v>100</v>
      </c>
      <c r="X43" s="1532"/>
      <c r="Y43" s="3334"/>
      <c r="Z43" s="1533" t="str">
        <f t="shared" si="18"/>
        <v>内部装修维护情况</v>
      </c>
      <c r="AA43" s="1530">
        <f t="shared" si="15"/>
        <v>1</v>
      </c>
      <c r="AB43" s="1530">
        <f t="shared" si="16"/>
        <v>1</v>
      </c>
      <c r="AC43" s="1530">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27"/>
      <c r="M44" s="2928"/>
      <c r="N44" s="2928"/>
      <c r="O44" s="2928"/>
      <c r="P44" s="3332"/>
      <c r="Q44" s="1520">
        <f t="shared" si="11"/>
        <v>111</v>
      </c>
      <c r="R44" s="708" t="s">
        <v>21</v>
      </c>
      <c r="S44" s="709">
        <f t="shared" si="12"/>
        <v>100</v>
      </c>
      <c r="T44" s="708" t="s">
        <v>21</v>
      </c>
      <c r="U44" s="709">
        <f t="shared" si="13"/>
        <v>100</v>
      </c>
      <c r="V44" s="708" t="s">
        <v>21</v>
      </c>
      <c r="W44" s="709">
        <f t="shared" si="14"/>
        <v>100</v>
      </c>
      <c r="X44" s="710"/>
      <c r="Y44" s="3334"/>
      <c r="Z44" s="55">
        <f t="shared" si="18"/>
        <v>111</v>
      </c>
      <c r="AA44" s="711">
        <f t="shared" si="15"/>
        <v>1</v>
      </c>
      <c r="AB44" s="711">
        <f t="shared" si="16"/>
        <v>1</v>
      </c>
      <c r="AC44" s="711">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32"/>
      <c r="M45" s="2926"/>
      <c r="N45" s="2926"/>
      <c r="O45" s="2926"/>
      <c r="P45" s="3332"/>
      <c r="Q45" s="1529">
        <f t="shared" si="11"/>
        <v>111</v>
      </c>
      <c r="R45" s="712" t="s">
        <v>21</v>
      </c>
      <c r="S45" s="713">
        <f t="shared" si="12"/>
        <v>100</v>
      </c>
      <c r="T45" s="712" t="s">
        <v>21</v>
      </c>
      <c r="U45" s="713">
        <f t="shared" si="13"/>
        <v>100</v>
      </c>
      <c r="V45" s="712" t="s">
        <v>21</v>
      </c>
      <c r="W45" s="713">
        <f t="shared" si="14"/>
        <v>100</v>
      </c>
      <c r="X45" s="1532"/>
      <c r="Y45" s="3334"/>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32"/>
      <c r="M46" s="2926"/>
      <c r="N46" s="2926"/>
      <c r="O46" s="2926"/>
      <c r="P46" s="3333"/>
      <c r="Q46" s="1529">
        <f t="shared" si="11"/>
        <v>111</v>
      </c>
      <c r="R46" s="712" t="s">
        <v>20</v>
      </c>
      <c r="S46" s="713">
        <f t="shared" si="12"/>
        <v>100</v>
      </c>
      <c r="T46" s="712" t="s">
        <v>20</v>
      </c>
      <c r="U46" s="713">
        <f t="shared" si="13"/>
        <v>100</v>
      </c>
      <c r="V46" s="712" t="s">
        <v>20</v>
      </c>
      <c r="W46" s="713">
        <f t="shared" si="14"/>
        <v>100</v>
      </c>
      <c r="X46" s="1532"/>
      <c r="Y46" s="3335"/>
      <c r="Z46" s="1533">
        <f t="shared" si="18"/>
        <v>111</v>
      </c>
      <c r="AA46" s="1530">
        <f t="shared" si="15"/>
        <v>1</v>
      </c>
      <c r="AB46" s="1530">
        <f t="shared" si="16"/>
        <v>1</v>
      </c>
      <c r="AC46" s="1530">
        <f t="shared" si="17"/>
        <v>1</v>
      </c>
    </row>
    <row r="47" spans="1:29" ht="15">
      <c r="A47" s="438" t="s">
        <v>2397</v>
      </c>
      <c r="B47" s="439"/>
      <c r="C47" s="1311" t="s">
        <v>19</v>
      </c>
      <c r="D47" s="1312"/>
      <c r="E47" s="1313">
        <f>ROUND(C50*11647,0)</f>
        <v>11065</v>
      </c>
      <c r="F47" s="1314"/>
      <c r="G47" s="1313">
        <f>ROUND(C50*10312,0)</f>
        <v>9796</v>
      </c>
      <c r="H47" s="1316"/>
      <c r="I47" s="1313">
        <f>ROUND(C50*11625,0)</f>
        <v>11044</v>
      </c>
      <c r="J47" s="1316"/>
      <c r="K47" s="2090"/>
      <c r="L47" s="2934"/>
      <c r="M47" s="2935"/>
      <c r="N47" s="2926"/>
      <c r="O47" s="2935"/>
      <c r="P47" s="3327" t="str">
        <f>A47</f>
        <v>成交单价（元/平方米）</v>
      </c>
      <c r="Q47" s="3327"/>
      <c r="R47" s="3328">
        <f>E47</f>
        <v>11065</v>
      </c>
      <c r="S47" s="3328"/>
      <c r="T47" s="3328">
        <f>G47</f>
        <v>9796</v>
      </c>
      <c r="U47" s="3328"/>
      <c r="V47" s="3328">
        <f>I47</f>
        <v>11044</v>
      </c>
      <c r="W47" s="3328"/>
      <c r="X47" s="697"/>
      <c r="Y47" s="719"/>
      <c r="Z47" s="697"/>
      <c r="AA47" s="697"/>
      <c r="AB47" s="697"/>
      <c r="AC47" s="697"/>
    </row>
    <row r="48" spans="1:29" ht="15.75" thickBot="1">
      <c r="A48" s="445" t="s">
        <v>2398</v>
      </c>
      <c r="B48" s="446"/>
      <c r="C48" s="1317">
        <f>R49</f>
        <v>10561</v>
      </c>
      <c r="D48" s="2528" t="s">
        <v>2876</v>
      </c>
      <c r="E48" s="1318">
        <f>R48</f>
        <v>10988</v>
      </c>
      <c r="F48" s="2529"/>
      <c r="G48" s="1317">
        <f>T48</f>
        <v>9728</v>
      </c>
      <c r="H48" s="2529"/>
      <c r="I48" s="1318">
        <f>V48</f>
        <v>10967</v>
      </c>
      <c r="J48" s="2529"/>
      <c r="K48" s="2530">
        <f>F48+H48+J48</f>
        <v>0</v>
      </c>
      <c r="L48" s="2934"/>
      <c r="M48" s="2935"/>
      <c r="N48" s="2935"/>
      <c r="O48" s="2935"/>
      <c r="P48" s="3327" t="str">
        <f>A48</f>
        <v>比较价值（元/平方米）</v>
      </c>
      <c r="Q48" s="3327"/>
      <c r="R48" s="3328">
        <f>IF(F1="售价",ROUND(PRODUCT(R47,AA7:AA46),0),ROUND(PRODUCT(R47,AA7:AA46),1))</f>
        <v>10988</v>
      </c>
      <c r="S48" s="3328"/>
      <c r="T48" s="3328">
        <f>IF(F1="售价",ROUND(PRODUCT(T47,AB7:AB46),0),ROUND(PRODUCT(T47,AB7:AB46),1))</f>
        <v>9728</v>
      </c>
      <c r="U48" s="3328"/>
      <c r="V48" s="3328">
        <f>IF(F1="售价",ROUND(PRODUCT(V47,AC7:AC46),0),ROUND(PRODUCT(V47,AC7:AC46),1))</f>
        <v>10967</v>
      </c>
      <c r="W48" s="3328"/>
      <c r="X48" s="697"/>
      <c r="Y48" s="697"/>
      <c r="Z48" s="697"/>
      <c r="AA48" s="697"/>
      <c r="AB48" s="697"/>
      <c r="AC48" s="697"/>
    </row>
    <row r="49" spans="1:29" ht="15.75" thickBot="1">
      <c r="A49" s="449" t="s">
        <v>2399</v>
      </c>
      <c r="B49" s="450"/>
      <c r="C49" s="1319">
        <f>R49</f>
        <v>10561</v>
      </c>
      <c r="D49" s="1320"/>
      <c r="E49" s="1320"/>
      <c r="F49" s="1320"/>
      <c r="G49" s="1320"/>
      <c r="H49" s="1320"/>
      <c r="I49" s="1320"/>
      <c r="J49" s="1320"/>
      <c r="K49" s="2091"/>
      <c r="L49" s="2934"/>
      <c r="M49" s="2935"/>
      <c r="N49" s="2935"/>
      <c r="O49" s="2935"/>
      <c r="P49" s="3324" t="str">
        <f>A49</f>
        <v>估价对象XX用房的比较价值（楼面单价，元/平方米）</v>
      </c>
      <c r="Q49" s="3325"/>
      <c r="R49" s="3326">
        <f>IF(F1="售价",ROUND(IF(D48="简单平均",AVERAGE(R48:V48),R48*F48+T48*H48+V48*J48),0),ROUND(IF(D48="简单平均",AVERAGE(R48:V48),R48*F48+T48*H48+V48*J48),1))</f>
        <v>10561</v>
      </c>
      <c r="S49" s="3326"/>
      <c r="T49" s="3326"/>
      <c r="U49" s="3326"/>
      <c r="V49" s="3326"/>
      <c r="W49" s="3326"/>
      <c r="X49" s="697"/>
      <c r="Y49" s="697"/>
      <c r="Z49" s="697"/>
      <c r="AA49" s="697"/>
      <c r="AB49" s="697"/>
      <c r="AC49" s="697"/>
    </row>
    <row r="50" spans="1:29">
      <c r="A50" s="2935"/>
      <c r="B50" s="2935"/>
      <c r="C50" s="3046">
        <v>0.95</v>
      </c>
      <c r="D50" s="2935"/>
      <c r="E50" s="2935"/>
      <c r="F50" s="2935"/>
      <c r="G50" s="2939"/>
      <c r="H50" s="2935"/>
      <c r="I50" s="2935"/>
      <c r="J50" s="2935"/>
      <c r="K50" s="2940"/>
      <c r="L50" s="2936"/>
      <c r="M50" s="2935"/>
      <c r="N50" s="2935"/>
      <c r="O50" s="2935"/>
    </row>
    <row r="51" spans="1:29">
      <c r="A51" s="2935"/>
      <c r="B51" s="2935"/>
      <c r="C51" s="2935"/>
      <c r="D51" s="2935"/>
      <c r="E51" s="2935"/>
      <c r="F51" s="2935"/>
      <c r="G51" s="2935"/>
      <c r="H51" s="2935"/>
      <c r="I51" s="2935"/>
      <c r="J51" s="2935"/>
      <c r="K51" s="2940"/>
      <c r="L51" s="2936"/>
      <c r="M51" s="2935"/>
      <c r="N51" s="2935"/>
      <c r="O51" s="2935"/>
    </row>
    <row r="52" spans="1:29" ht="13.5" customHeight="1">
      <c r="A52" s="2935"/>
      <c r="B52" s="2935"/>
      <c r="C52" s="454" t="s">
        <v>2400</v>
      </c>
      <c r="D52" s="455"/>
      <c r="E52" s="456">
        <f>IF(E47&lt;E48,E48/E47-1,E47/E48-1)</f>
        <v>7.0076447033127209E-3</v>
      </c>
      <c r="F52" s="457" t="str">
        <f>IF(OR(E52&gt;=0.3,E52&lt;=-0.3),"超过30%","")</f>
        <v/>
      </c>
      <c r="G52" s="456">
        <f>IF(G47&lt;G48,G48/G47-1,G47/G48-1)</f>
        <v>6.990131578947345E-3</v>
      </c>
      <c r="H52" s="457" t="str">
        <f>IF(OR(G52&gt;=0.3,G52&lt;=-0.3),"超过30%","")</f>
        <v/>
      </c>
      <c r="I52" s="456">
        <f>IF(I47&lt;I48,I48/I47-1,I47/I48-1)</f>
        <v>7.0210631895686326E-3</v>
      </c>
      <c r="J52" s="457" t="str">
        <f>IF(OR(I52&gt;=0.3,I52&lt;=-0.3),"超过30%","")</f>
        <v/>
      </c>
      <c r="K52" s="2940"/>
      <c r="L52" s="2936"/>
      <c r="M52" s="2935"/>
      <c r="N52" s="2935"/>
      <c r="O52" s="2935"/>
    </row>
    <row r="53" spans="1:29" ht="13.5" customHeight="1">
      <c r="A53" s="2935"/>
      <c r="B53" s="2935"/>
      <c r="C53" s="454" t="s">
        <v>2401</v>
      </c>
      <c r="D53" s="458"/>
      <c r="E53" s="456">
        <f>IF(E48&lt;G48,G48/E48-1,E48/G48-1)</f>
        <v>0.12952302631578938</v>
      </c>
      <c r="F53" s="457" t="str">
        <f>IF(OR(E53&gt;=0.2,E53&lt;=-0.2),"超过20%","")</f>
        <v/>
      </c>
      <c r="G53" s="456">
        <f>IF(G48&lt;I48,I48/G48-1,G48/I48-1)</f>
        <v>0.12736430921052633</v>
      </c>
      <c r="H53" s="457" t="str">
        <f>IF(OR(G53&gt;=0.2,G53&lt;=-0.2),"超过20%","")</f>
        <v/>
      </c>
      <c r="I53" s="456">
        <f>IF(I48&lt;E48,E48/I48-1,I48/E48-1)</f>
        <v>1.9148354153368796E-3</v>
      </c>
      <c r="J53" s="457" t="str">
        <f>IF(OR(I53&gt;=0.2,I53&lt;=-0.2),"超过20%","")</f>
        <v/>
      </c>
      <c r="K53" s="2940"/>
      <c r="L53" s="2936"/>
      <c r="M53" s="2935"/>
      <c r="N53" s="2935"/>
      <c r="O53" s="2935"/>
    </row>
    <row r="54" spans="1:29" s="459" customFormat="1" ht="13.5" customHeight="1">
      <c r="A54" s="2938"/>
      <c r="B54" s="2938"/>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43"/>
      <c r="L54" s="2937"/>
      <c r="M54" s="2938"/>
      <c r="N54" s="2938"/>
      <c r="O54" s="2938"/>
      <c r="P54" s="2093"/>
    </row>
    <row r="55" spans="1:29" s="459" customFormat="1">
      <c r="A55" s="2938"/>
      <c r="B55" s="2941"/>
      <c r="C55" s="2942"/>
      <c r="D55" s="2938"/>
      <c r="E55" s="2938"/>
      <c r="F55" s="2938"/>
      <c r="G55" s="2938"/>
      <c r="H55" s="2938"/>
      <c r="I55" s="2938"/>
      <c r="J55" s="2938"/>
      <c r="K55" s="2943"/>
      <c r="L55" s="2937"/>
      <c r="M55" s="2938"/>
      <c r="N55" s="2938"/>
      <c r="O55" s="2938"/>
      <c r="P55" s="2093"/>
    </row>
    <row r="56" spans="1:29">
      <c r="A56" s="2935"/>
      <c r="B56" s="2941"/>
      <c r="C56" s="2942"/>
      <c r="D56" s="2935"/>
      <c r="E56" s="2935"/>
      <c r="F56" s="2935"/>
      <c r="G56" s="2935"/>
      <c r="H56" s="2935"/>
      <c r="I56" s="2935"/>
      <c r="J56" s="2935"/>
      <c r="K56" s="2940"/>
      <c r="L56" s="2936"/>
      <c r="M56" s="2935"/>
      <c r="N56" s="2935"/>
      <c r="O56" s="2935"/>
    </row>
    <row r="57" spans="1:29" ht="21.75" thickBot="1">
      <c r="A57" s="701" t="s">
        <v>2403</v>
      </c>
      <c r="B57" s="697"/>
      <c r="C57" s="702"/>
      <c r="D57" s="702"/>
      <c r="E57" s="702"/>
      <c r="F57" s="703"/>
      <c r="G57" s="703"/>
      <c r="H57" s="702"/>
      <c r="I57" s="702"/>
      <c r="J57" s="702"/>
      <c r="K57" s="1069"/>
      <c r="L57" s="1070"/>
      <c r="M57" s="1068"/>
      <c r="N57" s="1068"/>
      <c r="O57" s="1068"/>
      <c r="P57" s="2094"/>
      <c r="Q57" s="461"/>
    </row>
    <row r="58" spans="1:29" s="465" customFormat="1" ht="15">
      <c r="A58" s="462" t="s">
        <v>2404</v>
      </c>
      <c r="B58" s="463"/>
      <c r="C58" s="1343" t="str">
        <f>YEAR(C7)&amp;"-"&amp;MONTH(C7)</f>
        <v>2021-5</v>
      </c>
      <c r="D58" s="1342">
        <f>EDATE(C58,-1)</f>
        <v>44287</v>
      </c>
      <c r="E58" s="1342">
        <f>EDATE(D58,-1)</f>
        <v>44256</v>
      </c>
      <c r="F58" s="1342">
        <f t="shared" ref="F58:O58" si="19">EDATE(E58,-1)</f>
        <v>44228</v>
      </c>
      <c r="G58" s="1342">
        <f t="shared" si="19"/>
        <v>44197</v>
      </c>
      <c r="H58" s="1342">
        <f t="shared" si="19"/>
        <v>44166</v>
      </c>
      <c r="I58" s="1342">
        <f t="shared" si="19"/>
        <v>44136</v>
      </c>
      <c r="J58" s="1342">
        <f t="shared" si="19"/>
        <v>44105</v>
      </c>
      <c r="K58" s="1342">
        <f t="shared" si="19"/>
        <v>44075</v>
      </c>
      <c r="L58" s="1342">
        <f t="shared" si="19"/>
        <v>44044</v>
      </c>
      <c r="M58" s="1342">
        <f t="shared" si="19"/>
        <v>44013</v>
      </c>
      <c r="N58" s="1342">
        <f t="shared" si="19"/>
        <v>43983</v>
      </c>
      <c r="O58" s="1342">
        <f t="shared" si="19"/>
        <v>43952</v>
      </c>
      <c r="P58" s="1338"/>
    </row>
    <row r="59" spans="1:29" s="113" customFormat="1" ht="15">
      <c r="A59" s="466"/>
      <c r="B59" s="2095"/>
      <c r="C59" s="1340">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096"/>
    </row>
    <row r="60" spans="1:29" s="113" customFormat="1" ht="15.75" thickBot="1">
      <c r="A60" s="472" t="s">
        <v>2405</v>
      </c>
      <c r="B60" s="473"/>
      <c r="C60" s="474"/>
      <c r="D60" s="475"/>
      <c r="E60" s="475"/>
      <c r="F60" s="475"/>
      <c r="G60" s="475"/>
      <c r="H60" s="475"/>
      <c r="I60" s="475"/>
      <c r="J60" s="475"/>
      <c r="K60" s="475"/>
      <c r="L60" s="475"/>
      <c r="M60" s="476"/>
      <c r="N60" s="475"/>
      <c r="O60" s="476"/>
      <c r="P60" s="2096"/>
      <c r="Q60" s="461"/>
    </row>
    <row r="61" spans="1:29" s="113" customFormat="1" ht="15">
      <c r="A61" s="478" t="s">
        <v>2406</v>
      </c>
      <c r="B61" s="467"/>
      <c r="C61" s="479" t="s">
        <v>2407</v>
      </c>
      <c r="D61" s="480"/>
      <c r="E61" s="480"/>
      <c r="F61" s="480"/>
      <c r="G61" s="480"/>
      <c r="H61" s="480"/>
      <c r="I61" s="480"/>
      <c r="J61" s="480"/>
      <c r="K61" s="480"/>
      <c r="L61" s="481"/>
      <c r="M61" s="482"/>
      <c r="N61" s="1060"/>
      <c r="O61" s="1060"/>
      <c r="P61" s="2097"/>
      <c r="Q61" s="461"/>
    </row>
    <row r="62" spans="1:29" s="113" customFormat="1" ht="15.75" thickBot="1">
      <c r="A62" s="478"/>
      <c r="B62" s="467"/>
      <c r="C62" s="468">
        <v>100</v>
      </c>
      <c r="D62" s="469"/>
      <c r="E62" s="469"/>
      <c r="F62" s="469"/>
      <c r="G62" s="469"/>
      <c r="H62" s="469"/>
      <c r="I62" s="469"/>
      <c r="J62" s="469"/>
      <c r="K62" s="469"/>
      <c r="L62" s="469"/>
      <c r="M62" s="471"/>
      <c r="N62" s="1060"/>
      <c r="O62" s="1060"/>
      <c r="P62" s="2096"/>
      <c r="Q62" s="461"/>
    </row>
    <row r="63" spans="1:29">
      <c r="A63" s="484" t="s">
        <v>2408</v>
      </c>
      <c r="B63" s="485" t="s">
        <v>2374</v>
      </c>
      <c r="C63" s="486" t="str">
        <f>C9</f>
        <v>住宅</v>
      </c>
      <c r="D63" s="487"/>
      <c r="E63" s="487"/>
      <c r="F63" s="487"/>
      <c r="G63" s="487"/>
      <c r="H63" s="487"/>
      <c r="I63" s="487"/>
      <c r="J63" s="487"/>
      <c r="K63" s="488"/>
      <c r="L63" s="489"/>
      <c r="M63" s="490"/>
      <c r="N63" s="1061"/>
      <c r="O63" s="1061"/>
      <c r="P63" s="2098"/>
      <c r="Q63" s="461"/>
    </row>
    <row r="64" spans="1:29" ht="15.75" thickBot="1">
      <c r="A64" s="491"/>
      <c r="B64" s="492"/>
      <c r="C64" s="493">
        <v>100</v>
      </c>
      <c r="D64" s="493"/>
      <c r="E64" s="493"/>
      <c r="F64" s="493"/>
      <c r="G64" s="493"/>
      <c r="H64" s="493"/>
      <c r="I64" s="493"/>
      <c r="J64" s="493"/>
      <c r="K64" s="493"/>
      <c r="L64" s="493"/>
      <c r="M64" s="494"/>
      <c r="N64" s="1062"/>
      <c r="O64" s="1062"/>
      <c r="P64" s="209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1"/>
      <c r="O65" s="1061"/>
      <c r="P65" s="2098"/>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2"/>
      <c r="O66" s="1062"/>
      <c r="P66" s="2098"/>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2"/>
      <c r="O67" s="1062"/>
      <c r="P67" s="2098"/>
      <c r="Q67" s="461"/>
    </row>
    <row r="68" spans="1:17" ht="15">
      <c r="A68" s="491"/>
      <c r="B68" s="505"/>
      <c r="C68" s="506">
        <v>0</v>
      </c>
      <c r="D68" s="506">
        <v>1</v>
      </c>
      <c r="E68" s="506">
        <v>2</v>
      </c>
      <c r="F68" s="506">
        <v>3</v>
      </c>
      <c r="G68" s="506">
        <v>4</v>
      </c>
      <c r="H68" s="506">
        <v>5</v>
      </c>
      <c r="I68" s="506"/>
      <c r="J68" s="506"/>
      <c r="K68" s="507"/>
      <c r="L68" s="508"/>
      <c r="M68" s="509"/>
      <c r="N68" s="1061"/>
      <c r="O68" s="1061"/>
      <c r="P68" s="2098"/>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2"/>
      <c r="O69" s="1062"/>
      <c r="P69" s="2098"/>
      <c r="Q69" s="461"/>
    </row>
    <row r="70" spans="1:17" s="430" customFormat="1" ht="15.75" thickTop="1">
      <c r="A70" s="510"/>
      <c r="B70" s="495">
        <f>B12</f>
        <v>111</v>
      </c>
      <c r="C70" s="511"/>
      <c r="D70" s="511"/>
      <c r="E70" s="511"/>
      <c r="F70" s="511"/>
      <c r="G70" s="511"/>
      <c r="H70" s="512"/>
      <c r="I70" s="512"/>
      <c r="J70" s="512"/>
      <c r="K70" s="512"/>
      <c r="L70" s="513"/>
      <c r="M70" s="514"/>
      <c r="N70" s="1063"/>
      <c r="O70" s="1063"/>
      <c r="P70" s="2099"/>
      <c r="Q70" s="516"/>
    </row>
    <row r="71" spans="1:17" s="430" customFormat="1" ht="15.75" thickBot="1">
      <c r="A71" s="510"/>
      <c r="B71" s="500"/>
      <c r="C71" s="517"/>
      <c r="D71" s="493"/>
      <c r="E71" s="493"/>
      <c r="F71" s="493"/>
      <c r="G71" s="493"/>
      <c r="H71" s="493"/>
      <c r="I71" s="493"/>
      <c r="J71" s="493"/>
      <c r="K71" s="493"/>
      <c r="L71" s="493"/>
      <c r="M71" s="494"/>
      <c r="N71" s="1062"/>
      <c r="O71" s="1062"/>
      <c r="P71" s="2099"/>
      <c r="Q71" s="516"/>
    </row>
    <row r="72" spans="1:17" s="430" customFormat="1" ht="15.75" thickTop="1">
      <c r="A72" s="510"/>
      <c r="B72" s="495">
        <f>B13</f>
        <v>111</v>
      </c>
      <c r="C72" s="511"/>
      <c r="D72" s="511"/>
      <c r="E72" s="511"/>
      <c r="F72" s="511"/>
      <c r="G72" s="511"/>
      <c r="H72" s="512"/>
      <c r="I72" s="512"/>
      <c r="J72" s="512"/>
      <c r="K72" s="512"/>
      <c r="L72" s="513"/>
      <c r="M72" s="514"/>
      <c r="N72" s="1063"/>
      <c r="O72" s="1063"/>
      <c r="P72" s="2100"/>
      <c r="Q72" s="518"/>
    </row>
    <row r="73" spans="1:17" s="430" customFormat="1" ht="15.75" thickBot="1">
      <c r="A73" s="510"/>
      <c r="B73" s="500"/>
      <c r="C73" s="517"/>
      <c r="D73" s="517"/>
      <c r="E73" s="517"/>
      <c r="F73" s="517"/>
      <c r="G73" s="517"/>
      <c r="H73" s="519"/>
      <c r="I73" s="519"/>
      <c r="J73" s="519"/>
      <c r="K73" s="519"/>
      <c r="L73" s="519"/>
      <c r="M73" s="520"/>
      <c r="N73" s="1063"/>
      <c r="O73" s="1063"/>
      <c r="P73" s="2099"/>
      <c r="Q73" s="516"/>
    </row>
    <row r="74" spans="1:17" s="430" customFormat="1" ht="15.75" thickTop="1">
      <c r="A74" s="510"/>
      <c r="B74" s="503">
        <f>B14</f>
        <v>111</v>
      </c>
      <c r="C74" s="511"/>
      <c r="D74" s="511"/>
      <c r="E74" s="511"/>
      <c r="F74" s="511"/>
      <c r="G74" s="480"/>
      <c r="H74" s="521"/>
      <c r="I74" s="521"/>
      <c r="J74" s="521"/>
      <c r="K74" s="521"/>
      <c r="L74" s="522"/>
      <c r="M74" s="523"/>
      <c r="N74" s="1063"/>
      <c r="O74" s="1063"/>
      <c r="P74" s="2101"/>
      <c r="Q74" s="516"/>
    </row>
    <row r="75" spans="1:17" s="430" customFormat="1" ht="15.75" thickBot="1">
      <c r="A75" s="525"/>
      <c r="B75" s="526"/>
      <c r="C75" s="527"/>
      <c r="D75" s="527"/>
      <c r="E75" s="527"/>
      <c r="F75" s="527"/>
      <c r="G75" s="527"/>
      <c r="H75" s="528"/>
      <c r="I75" s="528"/>
      <c r="J75" s="528"/>
      <c r="K75" s="528"/>
      <c r="L75" s="528"/>
      <c r="M75" s="529"/>
      <c r="N75" s="1063"/>
      <c r="O75" s="1063"/>
      <c r="P75" s="209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1"/>
      <c r="O76" s="1061"/>
      <c r="P76" s="2102"/>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2"/>
      <c r="O77" s="1062"/>
      <c r="P77" s="209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1"/>
      <c r="O78" s="1061"/>
      <c r="P78" s="2098"/>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2"/>
      <c r="O79" s="1062"/>
      <c r="P79" s="209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1"/>
      <c r="O80" s="1061"/>
      <c r="P80" s="209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2"/>
      <c r="O81" s="1062"/>
      <c r="P81" s="2098"/>
      <c r="Q81" s="461"/>
    </row>
    <row r="82" spans="1:17" ht="15.75" thickTop="1">
      <c r="A82" s="491"/>
      <c r="B82" s="503" t="s">
        <v>1945</v>
      </c>
      <c r="C82" s="496" t="s">
        <v>2424</v>
      </c>
      <c r="D82" s="496" t="s">
        <v>2425</v>
      </c>
      <c r="E82" s="496" t="s">
        <v>2426</v>
      </c>
      <c r="F82" s="496" t="s">
        <v>2427</v>
      </c>
      <c r="G82" s="496" t="s">
        <v>2428</v>
      </c>
      <c r="H82" s="496"/>
      <c r="I82" s="496"/>
      <c r="J82" s="496"/>
      <c r="K82" s="496"/>
      <c r="L82" s="496"/>
      <c r="M82" s="1286"/>
      <c r="N82" s="1062"/>
      <c r="O82" s="1062"/>
      <c r="P82" s="2098"/>
      <c r="Q82" s="461"/>
    </row>
    <row r="83" spans="1:17" ht="15.75" thickBot="1">
      <c r="A83" s="491"/>
      <c r="B83" s="503"/>
      <c r="C83" s="615">
        <v>100</v>
      </c>
      <c r="D83" s="615">
        <f>C83-$K21</f>
        <v>99</v>
      </c>
      <c r="E83" s="615">
        <f t="shared" ref="E83:G83" si="25">D83-$K21</f>
        <v>98</v>
      </c>
      <c r="F83" s="615">
        <f t="shared" si="25"/>
        <v>97</v>
      </c>
      <c r="G83" s="615">
        <f t="shared" si="25"/>
        <v>96</v>
      </c>
      <c r="H83" s="615"/>
      <c r="I83" s="615"/>
      <c r="J83" s="615"/>
      <c r="K83" s="615"/>
      <c r="L83" s="615"/>
      <c r="M83" s="409"/>
      <c r="N83" s="1062"/>
      <c r="O83" s="1062"/>
      <c r="P83" s="209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1"/>
      <c r="O84" s="1061"/>
      <c r="P84" s="2098"/>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2"/>
      <c r="O85" s="1062"/>
      <c r="P85" s="2098"/>
      <c r="Q85" s="461"/>
    </row>
    <row r="86" spans="1:17" s="113" customFormat="1" ht="15.75" thickTop="1">
      <c r="A86" s="536"/>
      <c r="B86" s="495" t="s">
        <v>2430</v>
      </c>
      <c r="C86" s="3043"/>
      <c r="D86" s="3043"/>
      <c r="E86" s="3043"/>
      <c r="F86" s="511"/>
      <c r="G86" s="511"/>
      <c r="H86" s="511"/>
      <c r="I86" s="511"/>
      <c r="J86" s="511"/>
      <c r="K86" s="511"/>
      <c r="L86" s="537"/>
      <c r="M86" s="538"/>
      <c r="N86" s="1060"/>
      <c r="O86" s="1060"/>
      <c r="P86" s="2098"/>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2"/>
      <c r="O87" s="1062"/>
      <c r="P87" s="2098"/>
      <c r="Q87" s="461"/>
    </row>
    <row r="88" spans="1:17" s="113" customFormat="1" ht="15.75" thickTop="1">
      <c r="A88" s="536"/>
      <c r="B88" s="495" t="s">
        <v>2431</v>
      </c>
      <c r="C88" s="511"/>
      <c r="D88" s="511"/>
      <c r="E88" s="511"/>
      <c r="F88" s="2103"/>
      <c r="G88" s="511"/>
      <c r="H88" s="511"/>
      <c r="I88" s="511"/>
      <c r="J88" s="511"/>
      <c r="K88" s="511"/>
      <c r="L88" s="511"/>
      <c r="M88" s="538"/>
      <c r="N88" s="1060"/>
      <c r="O88" s="1060"/>
      <c r="P88" s="2098"/>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2"/>
      <c r="O89" s="1062"/>
      <c r="P89" s="2098"/>
      <c r="Q89" s="461"/>
    </row>
    <row r="90" spans="1:17" s="430" customFormat="1" ht="15.75" thickTop="1">
      <c r="A90" s="510"/>
      <c r="B90" s="495" t="str">
        <f>B27</f>
        <v>楼层</v>
      </c>
      <c r="C90" s="3043" t="s">
        <v>3079</v>
      </c>
      <c r="D90" s="3043" t="s">
        <v>3080</v>
      </c>
      <c r="E90" s="3043" t="s">
        <v>3081</v>
      </c>
      <c r="F90" s="511"/>
      <c r="G90" s="511"/>
      <c r="H90" s="512"/>
      <c r="I90" s="512"/>
      <c r="J90" s="512"/>
      <c r="K90" s="512"/>
      <c r="L90" s="513"/>
      <c r="M90" s="514"/>
      <c r="N90" s="1063"/>
      <c r="O90" s="1063"/>
      <c r="P90" s="2099"/>
      <c r="Q90" s="516"/>
    </row>
    <row r="91" spans="1:17" s="430" customFormat="1" ht="15.75" thickBot="1">
      <c r="A91" s="510"/>
      <c r="B91" s="500"/>
      <c r="C91" s="517">
        <v>100</v>
      </c>
      <c r="D91" s="517">
        <f>C91-5</f>
        <v>95</v>
      </c>
      <c r="E91" s="517">
        <f>D91-5</f>
        <v>90</v>
      </c>
      <c r="F91" s="517"/>
      <c r="G91" s="517"/>
      <c r="H91" s="519"/>
      <c r="I91" s="519"/>
      <c r="J91" s="519"/>
      <c r="K91" s="519"/>
      <c r="L91" s="519"/>
      <c r="M91" s="520"/>
      <c r="N91" s="1063"/>
      <c r="O91" s="1063"/>
      <c r="P91" s="2099"/>
      <c r="Q91" s="516"/>
    </row>
    <row r="92" spans="1:17" ht="15.75" thickTop="1">
      <c r="A92" s="491"/>
      <c r="B92" s="495">
        <f>B28</f>
        <v>111</v>
      </c>
      <c r="C92" s="511"/>
      <c r="D92" s="511"/>
      <c r="E92" s="511"/>
      <c r="F92" s="511"/>
      <c r="G92" s="540"/>
      <c r="H92" s="540"/>
      <c r="I92" s="540"/>
      <c r="J92" s="540"/>
      <c r="K92" s="541"/>
      <c r="L92" s="542"/>
      <c r="M92" s="543"/>
      <c r="N92" s="1061"/>
      <c r="O92" s="1061"/>
      <c r="P92" s="2098"/>
      <c r="Q92" s="461"/>
    </row>
    <row r="93" spans="1:17" ht="15.75" thickBot="1">
      <c r="A93" s="491"/>
      <c r="B93" s="500"/>
      <c r="C93" s="517"/>
      <c r="D93" s="493"/>
      <c r="E93" s="493"/>
      <c r="F93" s="493"/>
      <c r="G93" s="493"/>
      <c r="H93" s="493"/>
      <c r="I93" s="493"/>
      <c r="J93" s="493"/>
      <c r="K93" s="493"/>
      <c r="L93" s="493"/>
      <c r="M93" s="494"/>
      <c r="N93" s="1062"/>
      <c r="O93" s="1062"/>
      <c r="P93" s="2098"/>
      <c r="Q93" s="461"/>
    </row>
    <row r="94" spans="1:17" ht="15.75" thickTop="1">
      <c r="A94" s="491"/>
      <c r="B94" s="495">
        <f>B29</f>
        <v>111</v>
      </c>
      <c r="C94" s="511"/>
      <c r="D94" s="511"/>
      <c r="E94" s="511"/>
      <c r="F94" s="511"/>
      <c r="G94" s="540"/>
      <c r="H94" s="540"/>
      <c r="I94" s="540"/>
      <c r="J94" s="540"/>
      <c r="K94" s="541"/>
      <c r="L94" s="542"/>
      <c r="M94" s="543"/>
      <c r="N94" s="1061"/>
      <c r="O94" s="1061"/>
      <c r="P94" s="2098"/>
      <c r="Q94" s="461"/>
    </row>
    <row r="95" spans="1:17" ht="15.75" thickBot="1">
      <c r="A95" s="491"/>
      <c r="B95" s="500"/>
      <c r="C95" s="517"/>
      <c r="D95" s="517"/>
      <c r="E95" s="517"/>
      <c r="F95" s="517"/>
      <c r="G95" s="493"/>
      <c r="H95" s="493"/>
      <c r="I95" s="493"/>
      <c r="J95" s="493"/>
      <c r="K95" s="493"/>
      <c r="L95" s="493"/>
      <c r="M95" s="494"/>
      <c r="N95" s="1062"/>
      <c r="O95" s="1062"/>
      <c r="P95" s="2098"/>
      <c r="Q95" s="461"/>
    </row>
    <row r="96" spans="1:17" ht="15.75" thickTop="1">
      <c r="A96" s="491"/>
      <c r="B96" s="495">
        <f>B30</f>
        <v>111</v>
      </c>
      <c r="C96" s="511"/>
      <c r="D96" s="511"/>
      <c r="E96" s="511"/>
      <c r="F96" s="511"/>
      <c r="G96" s="540"/>
      <c r="H96" s="540"/>
      <c r="I96" s="540"/>
      <c r="J96" s="540"/>
      <c r="K96" s="541"/>
      <c r="L96" s="542"/>
      <c r="M96" s="543"/>
      <c r="N96" s="1061"/>
      <c r="O96" s="1061"/>
      <c r="P96" s="2098"/>
      <c r="Q96" s="461"/>
    </row>
    <row r="97" spans="1:17" ht="15.75" thickBot="1">
      <c r="A97" s="491"/>
      <c r="B97" s="500"/>
      <c r="C97" s="527"/>
      <c r="D97" s="527"/>
      <c r="E97" s="527"/>
      <c r="F97" s="527"/>
      <c r="G97" s="493"/>
      <c r="H97" s="493"/>
      <c r="I97" s="493"/>
      <c r="J97" s="493"/>
      <c r="K97" s="493"/>
      <c r="L97" s="493"/>
      <c r="M97" s="494"/>
      <c r="N97" s="1062"/>
      <c r="O97" s="1062"/>
      <c r="P97" s="2098"/>
      <c r="Q97" s="461"/>
    </row>
    <row r="98" spans="1:17" ht="15.75" thickTop="1">
      <c r="A98" s="491"/>
      <c r="B98" s="503">
        <f>B31</f>
        <v>111</v>
      </c>
      <c r="C98" s="544"/>
      <c r="D98" s="544"/>
      <c r="E98" s="544"/>
      <c r="F98" s="544"/>
      <c r="G98" s="544"/>
      <c r="H98" s="544"/>
      <c r="I98" s="544"/>
      <c r="J98" s="544"/>
      <c r="K98" s="545"/>
      <c r="L98" s="546"/>
      <c r="M98" s="547"/>
      <c r="N98" s="1061"/>
      <c r="O98" s="1061"/>
      <c r="P98" s="2098"/>
      <c r="Q98" s="461"/>
    </row>
    <row r="99" spans="1:17" ht="15.75" thickBot="1">
      <c r="A99" s="2104"/>
      <c r="B99" s="526"/>
      <c r="C99" s="548"/>
      <c r="D99" s="548"/>
      <c r="E99" s="548"/>
      <c r="F99" s="548"/>
      <c r="G99" s="548"/>
      <c r="H99" s="548"/>
      <c r="I99" s="548"/>
      <c r="J99" s="548"/>
      <c r="K99" s="548"/>
      <c r="L99" s="548"/>
      <c r="M99" s="549"/>
      <c r="N99" s="1062"/>
      <c r="O99" s="1062"/>
      <c r="P99" s="2098"/>
      <c r="Q99" s="461"/>
    </row>
    <row r="100" spans="1:17">
      <c r="A100" s="484" t="s">
        <v>2383</v>
      </c>
      <c r="B100" s="485" t="s">
        <v>2432</v>
      </c>
      <c r="C100" s="3054" t="s">
        <v>3103</v>
      </c>
      <c r="D100" s="3054" t="s">
        <v>3102</v>
      </c>
      <c r="E100" s="3054" t="s">
        <v>3101</v>
      </c>
      <c r="F100" s="3054" t="s">
        <v>3099</v>
      </c>
      <c r="G100" s="487"/>
      <c r="H100" s="487"/>
      <c r="I100" s="487"/>
      <c r="J100" s="487"/>
      <c r="K100" s="488"/>
      <c r="L100" s="489"/>
      <c r="M100" s="490"/>
      <c r="N100" s="1061"/>
      <c r="O100" s="1061"/>
      <c r="P100" s="2098"/>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2"/>
      <c r="O101" s="1062"/>
      <c r="P101" s="2098"/>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0"/>
      <c r="O102" s="1060"/>
      <c r="P102" s="2098"/>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3"/>
      <c r="O103" s="1063"/>
      <c r="P103" s="2099"/>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2"/>
      <c r="O104" s="1062"/>
      <c r="P104" s="2099"/>
      <c r="Q104" s="516"/>
    </row>
    <row r="105" spans="1:17" ht="15" thickTop="1">
      <c r="A105" s="556"/>
      <c r="B105" s="495" t="s">
        <v>2434</v>
      </c>
      <c r="C105" s="3043" t="s">
        <v>3068</v>
      </c>
      <c r="D105" s="511"/>
      <c r="E105" s="540"/>
      <c r="F105" s="540"/>
      <c r="G105" s="540"/>
      <c r="H105" s="540"/>
      <c r="I105" s="540"/>
      <c r="J105" s="540"/>
      <c r="K105" s="541"/>
      <c r="L105" s="542"/>
      <c r="M105" s="543"/>
      <c r="N105" s="1061"/>
      <c r="O105" s="1061"/>
      <c r="P105" s="2098"/>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2"/>
      <c r="O106" s="1062"/>
      <c r="P106" s="2098"/>
      <c r="Q106" s="461"/>
    </row>
    <row r="107" spans="1:17" ht="15" thickTop="1">
      <c r="A107" s="556"/>
      <c r="B107" s="495" t="s">
        <v>2435</v>
      </c>
      <c r="C107" s="3044" t="s">
        <v>3069</v>
      </c>
      <c r="D107" s="3044" t="s">
        <v>3070</v>
      </c>
      <c r="E107" s="540"/>
      <c r="F107" s="540"/>
      <c r="G107" s="540"/>
      <c r="H107" s="540"/>
      <c r="I107" s="540"/>
      <c r="J107" s="540"/>
      <c r="K107" s="541"/>
      <c r="L107" s="542"/>
      <c r="M107" s="543"/>
      <c r="N107" s="1061"/>
      <c r="O107" s="1061"/>
      <c r="P107" s="2098"/>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2"/>
      <c r="O108" s="1062"/>
      <c r="P108" s="2098"/>
      <c r="Q108" s="461"/>
    </row>
    <row r="109" spans="1:17" ht="15" thickTop="1">
      <c r="A109" s="556"/>
      <c r="B109" s="495" t="s">
        <v>2436</v>
      </c>
      <c r="C109" s="3043" t="s">
        <v>3071</v>
      </c>
      <c r="D109" s="3043" t="s">
        <v>3072</v>
      </c>
      <c r="E109" s="3043" t="s">
        <v>3073</v>
      </c>
      <c r="F109" s="3044" t="s">
        <v>3074</v>
      </c>
      <c r="G109" s="540"/>
      <c r="H109" s="540"/>
      <c r="I109" s="540"/>
      <c r="J109" s="540"/>
      <c r="K109" s="541"/>
      <c r="L109" s="542"/>
      <c r="M109" s="543"/>
      <c r="N109" s="1061"/>
      <c r="O109" s="1061"/>
      <c r="P109" s="2098"/>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2"/>
      <c r="O110" s="1062"/>
      <c r="P110" s="209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9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99"/>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3"/>
      <c r="O113" s="1063"/>
      <c r="P113" s="2099"/>
      <c r="Q113" s="516"/>
    </row>
    <row r="114" spans="1:17" ht="15" thickTop="1">
      <c r="A114" s="556"/>
      <c r="B114" s="495" t="s">
        <v>2437</v>
      </c>
      <c r="C114" s="3043" t="s">
        <v>3075</v>
      </c>
      <c r="D114" s="511"/>
      <c r="E114" s="540"/>
      <c r="F114" s="540"/>
      <c r="G114" s="540"/>
      <c r="H114" s="540"/>
      <c r="I114" s="540"/>
      <c r="J114" s="540"/>
      <c r="K114" s="541"/>
      <c r="L114" s="542"/>
      <c r="M114" s="543"/>
      <c r="N114" s="1061"/>
      <c r="O114" s="1061"/>
      <c r="P114" s="2098"/>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2"/>
      <c r="O115" s="1062"/>
      <c r="P115" s="2098"/>
      <c r="Q115" s="461"/>
    </row>
    <row r="116" spans="1:17" ht="15" thickTop="1">
      <c r="A116" s="556"/>
      <c r="B116" s="495" t="s">
        <v>2438</v>
      </c>
      <c r="C116" s="3043" t="s">
        <v>3077</v>
      </c>
      <c r="D116" s="511"/>
      <c r="E116" s="511"/>
      <c r="F116" s="511"/>
      <c r="G116" s="511"/>
      <c r="H116" s="540"/>
      <c r="I116" s="540"/>
      <c r="J116" s="540"/>
      <c r="K116" s="541"/>
      <c r="L116" s="542"/>
      <c r="M116" s="543"/>
      <c r="N116" s="1061"/>
      <c r="O116" s="1061"/>
      <c r="P116" s="2098"/>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2"/>
      <c r="O117" s="1062"/>
      <c r="P117" s="2098"/>
      <c r="Q117" s="461"/>
    </row>
    <row r="118" spans="1:17" ht="15" thickTop="1">
      <c r="A118" s="556"/>
      <c r="B118" s="495" t="s">
        <v>2439</v>
      </c>
      <c r="C118" s="540"/>
      <c r="D118" s="540"/>
      <c r="E118" s="540"/>
      <c r="F118" s="540"/>
      <c r="G118" s="540"/>
      <c r="H118" s="540"/>
      <c r="I118" s="540"/>
      <c r="J118" s="540"/>
      <c r="K118" s="541"/>
      <c r="L118" s="542"/>
      <c r="M118" s="543"/>
      <c r="N118" s="1061"/>
      <c r="O118" s="1061"/>
      <c r="P118" s="2098"/>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2"/>
      <c r="O119" s="1062"/>
      <c r="P119" s="2098"/>
      <c r="Q119" s="461"/>
    </row>
    <row r="120" spans="1:17" s="430" customFormat="1" ht="28.5" thickTop="1">
      <c r="A120" s="550"/>
      <c r="B120" s="495" t="s">
        <v>2394</v>
      </c>
      <c r="C120" s="511"/>
      <c r="D120" s="511"/>
      <c r="E120" s="511"/>
      <c r="F120" s="511"/>
      <c r="G120" s="511"/>
      <c r="H120" s="511"/>
      <c r="I120" s="511"/>
      <c r="J120" s="511"/>
      <c r="K120" s="511"/>
      <c r="L120" s="537"/>
      <c r="M120" s="538"/>
      <c r="N120" s="1063"/>
      <c r="O120" s="1063"/>
      <c r="P120" s="2099"/>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99"/>
      <c r="Q121" s="516"/>
    </row>
    <row r="122" spans="1:17" ht="15" thickTop="1">
      <c r="A122" s="556"/>
      <c r="B122" s="495" t="s">
        <v>2440</v>
      </c>
      <c r="C122" s="3043" t="s">
        <v>3071</v>
      </c>
      <c r="D122" s="3043" t="s">
        <v>3072</v>
      </c>
      <c r="E122" s="3043" t="s">
        <v>3073</v>
      </c>
      <c r="F122" s="3044" t="s">
        <v>3074</v>
      </c>
      <c r="G122" s="540"/>
      <c r="H122" s="540"/>
      <c r="I122" s="540"/>
      <c r="J122" s="540"/>
      <c r="K122" s="541"/>
      <c r="L122" s="542"/>
      <c r="M122" s="543"/>
      <c r="N122" s="1061"/>
      <c r="O122" s="1061"/>
      <c r="P122" s="2098"/>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2"/>
      <c r="O123" s="1062"/>
      <c r="P123" s="209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1"/>
      <c r="O124" s="1061"/>
      <c r="P124" s="209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2"/>
      <c r="O125" s="1062"/>
      <c r="P125" s="2098"/>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99"/>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99"/>
      <c r="Q127" s="516"/>
    </row>
    <row r="128" spans="1:17" ht="15" thickTop="1">
      <c r="A128" s="556"/>
      <c r="B128" s="495">
        <f>B45</f>
        <v>111</v>
      </c>
      <c r="C128" s="511"/>
      <c r="D128" s="511"/>
      <c r="E128" s="511"/>
      <c r="F128" s="511"/>
      <c r="G128" s="540"/>
      <c r="H128" s="540"/>
      <c r="I128" s="540"/>
      <c r="J128" s="540"/>
      <c r="K128" s="541"/>
      <c r="L128" s="542"/>
      <c r="M128" s="543"/>
      <c r="N128" s="1061"/>
      <c r="O128" s="1061"/>
      <c r="P128" s="2098"/>
      <c r="Q128" s="461"/>
    </row>
    <row r="129" spans="1:17" ht="15.75" thickBot="1">
      <c r="A129" s="491"/>
      <c r="B129" s="500"/>
      <c r="C129" s="517"/>
      <c r="D129" s="517"/>
      <c r="E129" s="517"/>
      <c r="F129" s="517"/>
      <c r="G129" s="493"/>
      <c r="H129" s="493"/>
      <c r="I129" s="493"/>
      <c r="J129" s="493"/>
      <c r="K129" s="493"/>
      <c r="L129" s="493"/>
      <c r="M129" s="494"/>
      <c r="N129" s="1062"/>
      <c r="O129" s="1062"/>
      <c r="P129" s="2098"/>
      <c r="Q129" s="461"/>
    </row>
    <row r="130" spans="1:17" ht="15" thickTop="1">
      <c r="A130" s="556"/>
      <c r="B130" s="503">
        <f>B46</f>
        <v>111</v>
      </c>
      <c r="C130" s="511"/>
      <c r="D130" s="511"/>
      <c r="E130" s="511"/>
      <c r="F130" s="511"/>
      <c r="G130" s="544"/>
      <c r="H130" s="544"/>
      <c r="I130" s="544"/>
      <c r="J130" s="544"/>
      <c r="K130" s="480"/>
      <c r="L130" s="481"/>
      <c r="M130" s="547"/>
      <c r="N130" s="1061"/>
      <c r="O130" s="1061"/>
      <c r="P130" s="2098"/>
      <c r="Q130" s="461"/>
    </row>
    <row r="131" spans="1:17" ht="15.75" thickBot="1">
      <c r="A131" s="2104"/>
      <c r="B131" s="526"/>
      <c r="C131" s="527"/>
      <c r="D131" s="527"/>
      <c r="E131" s="527"/>
      <c r="F131" s="527"/>
      <c r="G131" s="548"/>
      <c r="H131" s="548"/>
      <c r="I131" s="548"/>
      <c r="J131" s="548"/>
      <c r="K131" s="548"/>
      <c r="L131" s="548"/>
      <c r="M131" s="549"/>
      <c r="N131" s="1062"/>
      <c r="O131" s="1062"/>
      <c r="P131" s="2098"/>
      <c r="Q131" s="461"/>
    </row>
    <row r="136" spans="1:17" ht="15" thickBot="1">
      <c r="B136" s="2105" t="s">
        <v>2442</v>
      </c>
    </row>
    <row r="137" spans="1:17" ht="15">
      <c r="B137" s="2106" t="s">
        <v>2443</v>
      </c>
      <c r="C137" s="2107"/>
      <c r="D137" s="2107"/>
      <c r="E137" s="2107"/>
      <c r="F137" s="2107"/>
      <c r="G137" s="2108"/>
      <c r="H137" s="2109"/>
      <c r="I137" s="2110" t="s">
        <v>2444</v>
      </c>
      <c r="J137" s="2107"/>
      <c r="K137" s="2111"/>
    </row>
    <row r="138" spans="1:17" ht="15">
      <c r="B138" s="2112"/>
      <c r="C138" s="142" t="s">
        <v>2445</v>
      </c>
      <c r="D138" s="142" t="s">
        <v>2446</v>
      </c>
      <c r="E138" s="2113" t="s">
        <v>2447</v>
      </c>
      <c r="F138" s="2114" t="s">
        <v>2448</v>
      </c>
      <c r="G138" s="142" t="s">
        <v>2446</v>
      </c>
      <c r="H138" s="143" t="s">
        <v>2447</v>
      </c>
      <c r="I138" s="2115"/>
      <c r="J138" s="142" t="s">
        <v>2449</v>
      </c>
      <c r="K138" s="143" t="s">
        <v>2450</v>
      </c>
    </row>
    <row r="139" spans="1:17" ht="15">
      <c r="B139" s="996">
        <v>6</v>
      </c>
      <c r="C139" s="997">
        <v>96</v>
      </c>
      <c r="D139" s="2116" t="s">
        <v>2451</v>
      </c>
      <c r="E139" s="998">
        <v>100</v>
      </c>
      <c r="F139" s="999">
        <v>102.5</v>
      </c>
      <c r="G139" s="2116" t="s">
        <v>2451</v>
      </c>
      <c r="H139" s="1000">
        <v>105</v>
      </c>
      <c r="I139" s="2117" t="s">
        <v>2452</v>
      </c>
      <c r="J139" s="997">
        <v>20</v>
      </c>
      <c r="K139" s="1001">
        <f>C145/(J139-2)</f>
        <v>4.0555555555555553E-3</v>
      </c>
    </row>
    <row r="140" spans="1:17" ht="15">
      <c r="B140" s="1002">
        <v>5</v>
      </c>
      <c r="C140" s="1003">
        <v>100</v>
      </c>
      <c r="D140" s="1003"/>
      <c r="E140" s="1004"/>
      <c r="F140" s="1005">
        <v>102</v>
      </c>
      <c r="G140" s="1003"/>
      <c r="H140" s="1006"/>
      <c r="I140" s="2118" t="s">
        <v>2453</v>
      </c>
      <c r="J140" s="277">
        <f>ROUNDUP((J139-1)/2,0)</f>
        <v>10</v>
      </c>
      <c r="K140" s="1007">
        <v>100</v>
      </c>
    </row>
    <row r="141" spans="1:17" ht="15">
      <c r="B141" s="1002">
        <v>4</v>
      </c>
      <c r="C141" s="1003">
        <v>102</v>
      </c>
      <c r="D141" s="1003"/>
      <c r="E141" s="1004"/>
      <c r="F141" s="1005">
        <v>101.5</v>
      </c>
      <c r="G141" s="1003"/>
      <c r="H141" s="1006"/>
      <c r="I141" s="2118" t="s">
        <v>2454</v>
      </c>
      <c r="J141" s="277">
        <v>1</v>
      </c>
      <c r="K141" s="1008">
        <f>ROUND(100+(J141-J140)*K139*100,1)</f>
        <v>96.4</v>
      </c>
    </row>
    <row r="142" spans="1:17" ht="15">
      <c r="B142" s="1002">
        <v>3</v>
      </c>
      <c r="C142" s="1003">
        <v>103</v>
      </c>
      <c r="D142" s="1003"/>
      <c r="E142" s="1004"/>
      <c r="F142" s="1005">
        <v>101</v>
      </c>
      <c r="G142" s="1003"/>
      <c r="H142" s="1006"/>
      <c r="I142" s="2118" t="s">
        <v>2455</v>
      </c>
      <c r="J142" s="277">
        <f>J139</f>
        <v>20</v>
      </c>
      <c r="K142" s="1009">
        <v>95</v>
      </c>
    </row>
    <row r="143" spans="1:17" ht="15">
      <c r="B143" s="1002">
        <v>2</v>
      </c>
      <c r="C143" s="1003">
        <v>100</v>
      </c>
      <c r="D143" s="1003"/>
      <c r="E143" s="1004"/>
      <c r="F143" s="1005">
        <v>100.5</v>
      </c>
      <c r="G143" s="1003"/>
      <c r="H143" s="1006"/>
      <c r="I143" s="2118" t="s">
        <v>2456</v>
      </c>
      <c r="J143" s="1003">
        <v>15</v>
      </c>
      <c r="K143" s="1008">
        <f>ROUND(100+(J143-J140)*K139*100,1)</f>
        <v>102</v>
      </c>
    </row>
    <row r="144" spans="1:17" ht="15">
      <c r="B144" s="1002">
        <v>1</v>
      </c>
      <c r="C144" s="1003">
        <v>98</v>
      </c>
      <c r="D144" s="2119" t="s">
        <v>2457</v>
      </c>
      <c r="E144" s="1004">
        <v>102</v>
      </c>
      <c r="F144" s="1010">
        <v>100</v>
      </c>
      <c r="G144" s="2119" t="s">
        <v>2457</v>
      </c>
      <c r="H144" s="1006">
        <v>105</v>
      </c>
      <c r="I144" s="2118" t="s">
        <v>2456</v>
      </c>
      <c r="J144" s="1003">
        <v>18</v>
      </c>
      <c r="K144" s="1008">
        <f>ROUND(100+(J144-J140)*K139*100,1)</f>
        <v>103.2</v>
      </c>
    </row>
    <row r="145" spans="2:11" ht="15.75" thickBot="1">
      <c r="B145" s="2120" t="s">
        <v>2458</v>
      </c>
      <c r="C145" s="1011">
        <f>ROUND(MAX(C139:C144)/MIN(C139:C144)-1,3)</f>
        <v>7.2999999999999995E-2</v>
      </c>
      <c r="D145" s="1012"/>
      <c r="E145" s="1012"/>
      <c r="F145" s="2121" t="s">
        <v>2459</v>
      </c>
      <c r="G145" s="2122"/>
      <c r="H145" s="2123"/>
      <c r="I145" s="2124" t="s">
        <v>2456</v>
      </c>
      <c r="J145" s="1013">
        <v>8</v>
      </c>
      <c r="K145" s="1014">
        <f>ROUND(100+(J145-J140)*K139*100,1)</f>
        <v>99.2</v>
      </c>
    </row>
    <row r="147" spans="2:11">
      <c r="B147" s="2105" t="s">
        <v>2460</v>
      </c>
    </row>
    <row r="148" spans="2:11">
      <c r="B148" s="210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K65" sqref="K65"/>
    </sheetView>
  </sheetViews>
  <sheetFormatPr defaultColWidth="9" defaultRowHeight="14.25"/>
  <cols>
    <col min="1" max="1" width="10.5" style="363" customWidth="1"/>
    <col min="2" max="2" width="15.75" style="363" customWidth="1"/>
    <col min="3" max="3" width="18.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3" t="s">
        <v>2506</v>
      </c>
      <c r="C1" s="1387" t="s">
        <v>2350</v>
      </c>
      <c r="D1" s="1388" t="s">
        <v>3110</v>
      </c>
      <c r="E1" s="1397"/>
      <c r="F1" s="2058" t="s">
        <v>3112</v>
      </c>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f>IF(C2="——",ROUND(C50*D3/10000,0),ROUND(C50*D3/10000,0)-D2)</f>
        <v>0</v>
      </c>
      <c r="C2" s="2060" t="s">
        <v>70</v>
      </c>
      <c r="D2" s="1270" t="e">
        <f ca="1">SUMIF(INDIRECT("'"&amp;F2&amp;"'"&amp;"!A:A"),"承租人权益价值",INDIRECT("'"&amp;F2&amp;"'"&amp;"!c:c"))</f>
        <v>#REF!</v>
      </c>
      <c r="E2" s="2061" t="s">
        <v>2148</v>
      </c>
      <c r="F2" s="2062"/>
      <c r="G2" s="1036"/>
      <c r="H2" s="1036"/>
      <c r="I2" s="1036"/>
      <c r="J2" s="1036"/>
      <c r="K2" s="1036"/>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f>IF(C2="——",C50,ROUND(B2*10000/D3,0))</f>
        <v>43332</v>
      </c>
      <c r="C3" s="360" t="s">
        <v>2464</v>
      </c>
      <c r="D3" s="359">
        <f>IF(D1="",'数据-汇总表'!E3,SUMIF('数据-汇总表'!$C19:$C33,D1,'数据-汇总表'!$E19:$E33))</f>
        <v>0</v>
      </c>
      <c r="E3" s="2130"/>
      <c r="F3" s="1037"/>
      <c r="G3" s="1036"/>
      <c r="H3" s="1036"/>
      <c r="I3" s="1036"/>
      <c r="J3" s="1036"/>
      <c r="K3" s="1038"/>
      <c r="L3" s="2944"/>
      <c r="M3" s="2945"/>
      <c r="N3" s="2945"/>
      <c r="O3" s="2945"/>
      <c r="P3" s="706"/>
      <c r="Q3" s="706"/>
      <c r="R3" s="706"/>
      <c r="S3" s="706"/>
      <c r="T3" s="706"/>
      <c r="U3" s="706"/>
      <c r="V3" s="706"/>
      <c r="W3" s="706"/>
      <c r="X3" s="706"/>
      <c r="Y3" s="706"/>
      <c r="Z3" s="706"/>
      <c r="AA3" s="706"/>
      <c r="AB3" s="706"/>
      <c r="AC3" s="707"/>
    </row>
    <row r="4" spans="1:29" ht="15">
      <c r="A4" s="361" t="s">
        <v>2465</v>
      </c>
      <c r="B4" s="362"/>
      <c r="C4" s="3310" t="s">
        <v>2466</v>
      </c>
      <c r="D4" s="3311"/>
      <c r="E4" s="3312" t="s">
        <v>2467</v>
      </c>
      <c r="F4" s="3313"/>
      <c r="G4" s="3310" t="s">
        <v>2468</v>
      </c>
      <c r="H4" s="3311"/>
      <c r="I4" s="3310" t="s">
        <v>2469</v>
      </c>
      <c r="J4" s="3311"/>
      <c r="K4" s="567" t="s">
        <v>2470</v>
      </c>
      <c r="L4" s="2925"/>
      <c r="M4" s="2926"/>
      <c r="N4" s="2926"/>
      <c r="O4" s="2926"/>
      <c r="P4" s="3345" t="s">
        <v>2471</v>
      </c>
      <c r="Q4" s="3346"/>
      <c r="R4" s="3339" t="s">
        <v>2467</v>
      </c>
      <c r="S4" s="3340"/>
      <c r="T4" s="3339" t="s">
        <v>2468</v>
      </c>
      <c r="U4" s="3340"/>
      <c r="V4" s="3349" t="s">
        <v>2469</v>
      </c>
      <c r="W4" s="3349"/>
      <c r="X4" s="2134"/>
      <c r="Y4" s="3339" t="s">
        <v>2471</v>
      </c>
      <c r="Z4" s="3340"/>
      <c r="AA4" s="3338" t="s">
        <v>2467</v>
      </c>
      <c r="AB4" s="3338" t="s">
        <v>2468</v>
      </c>
      <c r="AC4" s="3342" t="s">
        <v>2469</v>
      </c>
    </row>
    <row r="5" spans="1:29" ht="15">
      <c r="A5" s="364"/>
      <c r="B5" s="365"/>
      <c r="C5" s="3341" t="s">
        <v>3115</v>
      </c>
      <c r="D5" s="3304"/>
      <c r="E5" s="3341" t="s">
        <v>3115</v>
      </c>
      <c r="F5" s="3304"/>
      <c r="G5" s="3341" t="s">
        <v>3115</v>
      </c>
      <c r="H5" s="3304"/>
      <c r="I5" s="3341" t="s">
        <v>3115</v>
      </c>
      <c r="J5" s="3304"/>
      <c r="K5" s="567"/>
      <c r="L5" s="2925"/>
      <c r="M5" s="2926"/>
      <c r="N5" s="2926"/>
      <c r="O5" s="2926"/>
      <c r="P5" s="3347"/>
      <c r="Q5" s="3317"/>
      <c r="R5" s="3299"/>
      <c r="S5" s="3300"/>
      <c r="T5" s="3299"/>
      <c r="U5" s="3300"/>
      <c r="V5" s="3322"/>
      <c r="W5" s="3322"/>
      <c r="X5" s="1532"/>
      <c r="Y5" s="3299"/>
      <c r="Z5" s="3300"/>
      <c r="AA5" s="3293"/>
      <c r="AB5" s="3293"/>
      <c r="AC5" s="3343"/>
    </row>
    <row r="6" spans="1:29" ht="15.75" thickBot="1">
      <c r="A6" s="366"/>
      <c r="B6" s="367"/>
      <c r="C6" s="3305" t="s">
        <v>2366</v>
      </c>
      <c r="D6" s="3306"/>
      <c r="E6" s="3307" t="s">
        <v>2366</v>
      </c>
      <c r="F6" s="3308"/>
      <c r="G6" s="3305" t="s">
        <v>2366</v>
      </c>
      <c r="H6" s="3306"/>
      <c r="I6" s="3305" t="s">
        <v>2366</v>
      </c>
      <c r="J6" s="3306"/>
      <c r="K6" s="567" t="s">
        <v>2367</v>
      </c>
      <c r="L6" s="2925"/>
      <c r="M6" s="2926"/>
      <c r="N6" s="2926"/>
      <c r="O6" s="2926"/>
      <c r="P6" s="3348"/>
      <c r="Q6" s="3319"/>
      <c r="R6" s="3299"/>
      <c r="S6" s="3300"/>
      <c r="T6" s="3320"/>
      <c r="U6" s="3321"/>
      <c r="V6" s="3322"/>
      <c r="W6" s="3322"/>
      <c r="X6" s="1532"/>
      <c r="Y6" s="3320"/>
      <c r="Z6" s="3321"/>
      <c r="AA6" s="3294"/>
      <c r="AB6" s="3294"/>
      <c r="AC6" s="3344"/>
    </row>
    <row r="7" spans="1:29" s="113" customFormat="1" ht="15.75" thickBot="1">
      <c r="A7" s="368" t="s">
        <v>2368</v>
      </c>
      <c r="B7" s="369"/>
      <c r="C7" s="370">
        <f>'数据-取费表'!B2</f>
        <v>44336</v>
      </c>
      <c r="D7" s="371">
        <v>100</v>
      </c>
      <c r="E7" s="372">
        <v>44317</v>
      </c>
      <c r="F7" s="373">
        <f>SUMIF(59:59,YEAR(E7)&amp;"-"&amp;MONTH(E7),60:60)</f>
        <v>100</v>
      </c>
      <c r="G7" s="372">
        <v>44317</v>
      </c>
      <c r="H7" s="371">
        <f>SUMIF(59:59,YEAR(G7)&amp;"-"&amp;MONTH(G7),60:60)</f>
        <v>100</v>
      </c>
      <c r="I7" s="372">
        <v>44317</v>
      </c>
      <c r="J7" s="371">
        <f>SUMIF(59:59,YEAR(I7)&amp;"-"&amp;MONTH(I7),60:60)</f>
        <v>100</v>
      </c>
      <c r="K7" s="568"/>
      <c r="L7" s="2927"/>
      <c r="M7" s="2928"/>
      <c r="N7" s="2928"/>
      <c r="O7" s="2928"/>
      <c r="P7" s="3350" t="s">
        <v>2369</v>
      </c>
      <c r="Q7" s="3323"/>
      <c r="R7" s="708" t="s">
        <v>17</v>
      </c>
      <c r="S7" s="709">
        <f t="shared" ref="S7:S15" si="0">F7</f>
        <v>100</v>
      </c>
      <c r="T7" s="708" t="s">
        <v>17</v>
      </c>
      <c r="U7" s="709">
        <f t="shared" ref="U7:U15" si="1">H7</f>
        <v>100</v>
      </c>
      <c r="V7" s="708" t="s">
        <v>17</v>
      </c>
      <c r="W7" s="709">
        <f t="shared" ref="W7:W15" si="2">J7</f>
        <v>100</v>
      </c>
      <c r="X7" s="710"/>
      <c r="Y7" s="3295" t="s">
        <v>2369</v>
      </c>
      <c r="Z7" s="3296"/>
      <c r="AA7" s="711">
        <f>D7/F7</f>
        <v>1</v>
      </c>
      <c r="AB7" s="711">
        <f>D7/H7</f>
        <v>1</v>
      </c>
      <c r="AC7" s="2135">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27"/>
      <c r="M8" s="2928"/>
      <c r="N8" s="2928"/>
      <c r="O8" s="2928"/>
      <c r="P8" s="3350" t="s">
        <v>2372</v>
      </c>
      <c r="Q8" s="3296"/>
      <c r="R8" s="708" t="s">
        <v>17</v>
      </c>
      <c r="S8" s="709">
        <f t="shared" si="0"/>
        <v>100</v>
      </c>
      <c r="T8" s="708" t="s">
        <v>17</v>
      </c>
      <c r="U8" s="709">
        <f t="shared" si="1"/>
        <v>100</v>
      </c>
      <c r="V8" s="708" t="s">
        <v>17</v>
      </c>
      <c r="W8" s="709">
        <f t="shared" si="2"/>
        <v>100</v>
      </c>
      <c r="X8" s="710"/>
      <c r="Y8" s="3295" t="s">
        <v>2372</v>
      </c>
      <c r="Z8" s="3296"/>
      <c r="AA8" s="711">
        <f t="shared" ref="AA8:AA47" si="3">D8/F8</f>
        <v>1</v>
      </c>
      <c r="AB8" s="711">
        <f t="shared" ref="AB8:AB47" si="4">D8/H8</f>
        <v>1</v>
      </c>
      <c r="AC8" s="2135">
        <f t="shared" ref="AC8:AC47" si="5">D8/J8</f>
        <v>1</v>
      </c>
    </row>
    <row r="9" spans="1:29" s="113" customFormat="1">
      <c r="A9" s="375" t="s">
        <v>2373</v>
      </c>
      <c r="B9" s="67" t="s">
        <v>2374</v>
      </c>
      <c r="C9" s="3045" t="s">
        <v>3116</v>
      </c>
      <c r="D9" s="131">
        <v>100</v>
      </c>
      <c r="E9" s="379" t="s">
        <v>27</v>
      </c>
      <c r="F9" s="131">
        <f>SUMIF(64:64,E9,65:65)-SUMIF(64:64,C9,65:65)+100</f>
        <v>100</v>
      </c>
      <c r="G9" s="379" t="s">
        <v>27</v>
      </c>
      <c r="H9" s="131">
        <f>SUMIF(64:64,G9,65:65)-SUMIF(64:64,C9,65:65)+100</f>
        <v>100</v>
      </c>
      <c r="I9" s="379" t="s">
        <v>27</v>
      </c>
      <c r="J9" s="131">
        <f>SUMIF(64:64,I9,65:65)-SUMIF(64:64,C9,65:65)+100</f>
        <v>100</v>
      </c>
      <c r="K9" s="568"/>
      <c r="L9" s="2927"/>
      <c r="M9" s="2928"/>
      <c r="N9" s="2928"/>
      <c r="O9" s="2928"/>
      <c r="P9" s="3309" t="s">
        <v>2375</v>
      </c>
      <c r="Q9" s="1520" t="str">
        <f t="shared" ref="Q9:Q15" si="6">B9</f>
        <v>用途</v>
      </c>
      <c r="R9" s="708" t="s">
        <v>17</v>
      </c>
      <c r="S9" s="709">
        <f t="shared" si="0"/>
        <v>100</v>
      </c>
      <c r="T9" s="708" t="s">
        <v>17</v>
      </c>
      <c r="U9" s="709">
        <f t="shared" si="1"/>
        <v>100</v>
      </c>
      <c r="V9" s="708" t="s">
        <v>17</v>
      </c>
      <c r="W9" s="709">
        <f t="shared" si="2"/>
        <v>100</v>
      </c>
      <c r="X9" s="710"/>
      <c r="Y9" s="3260" t="s">
        <v>2376</v>
      </c>
      <c r="Z9" s="55" t="str">
        <f t="shared" ref="Z9:Z15" si="7">Q9</f>
        <v>用途</v>
      </c>
      <c r="AA9" s="711">
        <f t="shared" si="3"/>
        <v>1</v>
      </c>
      <c r="AB9" s="711">
        <f t="shared" si="4"/>
        <v>1</v>
      </c>
      <c r="AC9" s="2135">
        <f t="shared" si="5"/>
        <v>1</v>
      </c>
    </row>
    <row r="10" spans="1:29" s="386" customFormat="1" ht="27">
      <c r="A10" s="380"/>
      <c r="B10" s="381" t="s">
        <v>2377</v>
      </c>
      <c r="C10" s="382" t="s">
        <v>3117</v>
      </c>
      <c r="D10" s="132">
        <v>100</v>
      </c>
      <c r="E10" s="382" t="s">
        <v>3117</v>
      </c>
      <c r="F10" s="132">
        <f>SUMIF(66:66,E10,67:67)-SUMIF(66:66,C10,67:67)+100</f>
        <v>100</v>
      </c>
      <c r="G10" s="382" t="s">
        <v>3117</v>
      </c>
      <c r="H10" s="132">
        <f>SUMIF(66:66,G10,67:67)-SUMIF(66:66,C10,67:67)+100</f>
        <v>100</v>
      </c>
      <c r="I10" s="382" t="s">
        <v>3117</v>
      </c>
      <c r="J10" s="132">
        <f>SUMIF(66:66,I10,67:67)-SUMIF(66:66,C10,67:67)+100</f>
        <v>100</v>
      </c>
      <c r="K10" s="569">
        <v>1</v>
      </c>
      <c r="L10" s="2929"/>
      <c r="M10" s="2930"/>
      <c r="N10" s="2930"/>
      <c r="O10" s="2930"/>
      <c r="P10" s="3309"/>
      <c r="Q10" s="1520" t="str">
        <f t="shared" si="6"/>
        <v>土地使用年限（年）</v>
      </c>
      <c r="R10" s="708" t="s">
        <v>17</v>
      </c>
      <c r="S10" s="709">
        <f t="shared" si="0"/>
        <v>100</v>
      </c>
      <c r="T10" s="708" t="s">
        <v>17</v>
      </c>
      <c r="U10" s="709">
        <f t="shared" si="1"/>
        <v>100</v>
      </c>
      <c r="V10" s="708" t="s">
        <v>17</v>
      </c>
      <c r="W10" s="709">
        <f t="shared" si="2"/>
        <v>100</v>
      </c>
      <c r="X10" s="710"/>
      <c r="Y10" s="3260"/>
      <c r="Z10" s="55" t="str">
        <f t="shared" si="7"/>
        <v>土地使用年限（年）</v>
      </c>
      <c r="AA10" s="711">
        <f t="shared" si="3"/>
        <v>1</v>
      </c>
      <c r="AB10" s="711">
        <f t="shared" si="4"/>
        <v>1</v>
      </c>
      <c r="AC10" s="2135">
        <f t="shared" si="5"/>
        <v>1</v>
      </c>
    </row>
    <row r="11" spans="1:29" ht="15">
      <c r="A11" s="387"/>
      <c r="B11" s="381" t="s">
        <v>2378</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31"/>
      <c r="M11" s="2926"/>
      <c r="N11" s="2926"/>
      <c r="O11" s="2926"/>
      <c r="P11" s="3309"/>
      <c r="Q11" s="1520" t="str">
        <f t="shared" si="6"/>
        <v>容积率</v>
      </c>
      <c r="R11" s="708" t="s">
        <v>17</v>
      </c>
      <c r="S11" s="709">
        <f t="shared" si="0"/>
        <v>100</v>
      </c>
      <c r="T11" s="708" t="s">
        <v>17</v>
      </c>
      <c r="U11" s="709">
        <f t="shared" si="1"/>
        <v>100</v>
      </c>
      <c r="V11" s="708" t="s">
        <v>17</v>
      </c>
      <c r="W11" s="709">
        <f t="shared" si="2"/>
        <v>100</v>
      </c>
      <c r="X11" s="710"/>
      <c r="Y11" s="3260"/>
      <c r="Z11" s="55" t="str">
        <f t="shared" si="7"/>
        <v>容积率</v>
      </c>
      <c r="AA11" s="711">
        <f t="shared" si="3"/>
        <v>1</v>
      </c>
      <c r="AB11" s="711">
        <f t="shared" si="4"/>
        <v>1</v>
      </c>
      <c r="AC11" s="2135">
        <f t="shared" si="5"/>
        <v>1</v>
      </c>
    </row>
    <row r="12" spans="1:29" s="113" customFormat="1" ht="15">
      <c r="A12" s="390"/>
      <c r="B12" s="2071">
        <v>111</v>
      </c>
      <c r="C12" s="391"/>
      <c r="D12" s="392">
        <v>100</v>
      </c>
      <c r="E12" s="391"/>
      <c r="F12" s="132">
        <f>SUMIF(71:71,E12,72:72)-SUMIF(71:71,C12,72:72)+100</f>
        <v>100</v>
      </c>
      <c r="G12" s="2136"/>
      <c r="H12" s="132">
        <f>SUMIF(71:71,G12,72:72)-SUMIF(71:71,C12,72:72)+100</f>
        <v>100</v>
      </c>
      <c r="I12" s="391"/>
      <c r="J12" s="132">
        <f>SUMIF(71:71,I12,72:72)-SUMIF(71:71,C12,72:72)+100</f>
        <v>100</v>
      </c>
      <c r="K12" s="570"/>
      <c r="L12" s="2927"/>
      <c r="M12" s="2928"/>
      <c r="N12" s="2928"/>
      <c r="O12" s="2928"/>
      <c r="P12" s="3309"/>
      <c r="Q12" s="1520">
        <f t="shared" si="6"/>
        <v>111</v>
      </c>
      <c r="R12" s="708" t="s">
        <v>17</v>
      </c>
      <c r="S12" s="709">
        <f t="shared" si="0"/>
        <v>100</v>
      </c>
      <c r="T12" s="708" t="s">
        <v>17</v>
      </c>
      <c r="U12" s="709">
        <f t="shared" si="1"/>
        <v>100</v>
      </c>
      <c r="V12" s="708" t="s">
        <v>17</v>
      </c>
      <c r="W12" s="709">
        <f t="shared" si="2"/>
        <v>100</v>
      </c>
      <c r="X12" s="710"/>
      <c r="Y12" s="3260"/>
      <c r="Z12" s="55">
        <f t="shared" si="7"/>
        <v>111</v>
      </c>
      <c r="AA12" s="711">
        <f>D12/F12</f>
        <v>1</v>
      </c>
      <c r="AB12" s="711">
        <f>D12/H12</f>
        <v>1</v>
      </c>
      <c r="AC12" s="2135">
        <f>D12/J12</f>
        <v>1</v>
      </c>
    </row>
    <row r="13" spans="1:29" ht="15">
      <c r="A13" s="387"/>
      <c r="B13" s="2071">
        <v>111</v>
      </c>
      <c r="C13" s="393"/>
      <c r="D13" s="394">
        <v>100</v>
      </c>
      <c r="E13" s="391"/>
      <c r="F13" s="132">
        <f>SUMIF(73:73,E13,74:74)-SUMIF(73:73,C13,74:74)+100</f>
        <v>100</v>
      </c>
      <c r="G13" s="2136"/>
      <c r="H13" s="394">
        <f>SUMIF(73:73,G13,74:74)-SUMIF(73:73,C13,74:74)+100</f>
        <v>100</v>
      </c>
      <c r="I13" s="391"/>
      <c r="J13" s="394">
        <f>SUMIF(73:73,I13,74:74)-SUMIF(73:73,C13,74:74)+100</f>
        <v>100</v>
      </c>
      <c r="K13" s="570"/>
      <c r="L13" s="2932"/>
      <c r="M13" s="2926"/>
      <c r="N13" s="2926"/>
      <c r="O13" s="2926"/>
      <c r="P13" s="3309"/>
      <c r="Q13" s="1520">
        <f t="shared" si="6"/>
        <v>111</v>
      </c>
      <c r="R13" s="708" t="s">
        <v>17</v>
      </c>
      <c r="S13" s="709">
        <f t="shared" si="0"/>
        <v>100</v>
      </c>
      <c r="T13" s="708" t="s">
        <v>17</v>
      </c>
      <c r="U13" s="709">
        <f t="shared" si="1"/>
        <v>100</v>
      </c>
      <c r="V13" s="708" t="s">
        <v>17</v>
      </c>
      <c r="W13" s="709">
        <f t="shared" si="2"/>
        <v>100</v>
      </c>
      <c r="X13" s="710"/>
      <c r="Y13" s="3260"/>
      <c r="Z13" s="55">
        <f t="shared" si="7"/>
        <v>111</v>
      </c>
      <c r="AA13" s="711">
        <f t="shared" si="3"/>
        <v>1</v>
      </c>
      <c r="AB13" s="711">
        <f t="shared" si="4"/>
        <v>1</v>
      </c>
      <c r="AC13" s="2135">
        <f t="shared" si="5"/>
        <v>1</v>
      </c>
    </row>
    <row r="14" spans="1:29" ht="15.75" thickBot="1">
      <c r="A14" s="395"/>
      <c r="B14" s="2073">
        <v>111</v>
      </c>
      <c r="C14" s="396"/>
      <c r="D14" s="397">
        <v>100</v>
      </c>
      <c r="E14" s="583"/>
      <c r="F14" s="397">
        <f>SUMIF(75:75,E14,76:76)-SUMIF(75:75,C14,76:76)+100</f>
        <v>100</v>
      </c>
      <c r="G14" s="2136"/>
      <c r="H14" s="397">
        <f>SUMIF(75:75,G14,76:76)-SUMIF(75:75,C14,76:76)+100</f>
        <v>100</v>
      </c>
      <c r="I14" s="391"/>
      <c r="J14" s="397">
        <f>SUMIF(75:75,I14,76:76)-SUMIF(75:75,C14,76:76)+100</f>
        <v>100</v>
      </c>
      <c r="K14" s="570"/>
      <c r="L14" s="2932"/>
      <c r="M14" s="2926"/>
      <c r="N14" s="2926"/>
      <c r="O14" s="2926"/>
      <c r="P14" s="3309"/>
      <c r="Q14" s="1520">
        <f t="shared" si="6"/>
        <v>111</v>
      </c>
      <c r="R14" s="708" t="s">
        <v>17</v>
      </c>
      <c r="S14" s="709">
        <f t="shared" si="0"/>
        <v>100</v>
      </c>
      <c r="T14" s="708" t="s">
        <v>17</v>
      </c>
      <c r="U14" s="709">
        <f t="shared" si="1"/>
        <v>100</v>
      </c>
      <c r="V14" s="708" t="s">
        <v>17</v>
      </c>
      <c r="W14" s="709">
        <f t="shared" si="2"/>
        <v>100</v>
      </c>
      <c r="X14" s="710"/>
      <c r="Y14" s="3260"/>
      <c r="Z14" s="55">
        <f t="shared" si="7"/>
        <v>111</v>
      </c>
      <c r="AA14" s="711">
        <f t="shared" si="3"/>
        <v>1</v>
      </c>
      <c r="AB14" s="711">
        <f t="shared" si="4"/>
        <v>1</v>
      </c>
      <c r="AC14" s="2135">
        <f t="shared" si="5"/>
        <v>1</v>
      </c>
    </row>
    <row r="15" spans="1:29" ht="76.5" customHeight="1">
      <c r="A15" s="399" t="s">
        <v>2379</v>
      </c>
      <c r="B15" s="584" t="s">
        <v>2507</v>
      </c>
      <c r="C15" s="2137">
        <f>估价对象房地状况!C5</f>
        <v>0</v>
      </c>
      <c r="D15" s="400">
        <v>100</v>
      </c>
      <c r="E15" s="403"/>
      <c r="F15" s="400">
        <f>SUMIF(77:77,E16,78:78)-SUMIF(77:77,C16,78:78)+100</f>
        <v>100</v>
      </c>
      <c r="G15" s="401"/>
      <c r="H15" s="400">
        <f>SUMIF(77:77,G16,78:78)-SUMIF(77:77,C16,78:78)+100</f>
        <v>100</v>
      </c>
      <c r="I15" s="401"/>
      <c r="J15" s="400">
        <f>SUMIF(77:77,I16,78:78)-SUMIF(77:77,C16,78:78)+100</f>
        <v>100</v>
      </c>
      <c r="K15" s="571">
        <v>3</v>
      </c>
      <c r="L15" s="2932"/>
      <c r="M15" s="2926"/>
      <c r="N15" s="2926"/>
      <c r="O15" s="2926"/>
      <c r="P15" s="3336" t="s">
        <v>2380</v>
      </c>
      <c r="Q15" s="1529" t="str">
        <f t="shared" si="6"/>
        <v>办公集聚程度</v>
      </c>
      <c r="R15" s="712" t="s">
        <v>17</v>
      </c>
      <c r="S15" s="713">
        <f t="shared" si="0"/>
        <v>100</v>
      </c>
      <c r="T15" s="712" t="s">
        <v>17</v>
      </c>
      <c r="U15" s="713">
        <f t="shared" si="1"/>
        <v>100</v>
      </c>
      <c r="V15" s="712" t="s">
        <v>17</v>
      </c>
      <c r="W15" s="713">
        <f t="shared" si="2"/>
        <v>100</v>
      </c>
      <c r="X15" s="1532"/>
      <c r="Y15" s="3329" t="s">
        <v>2380</v>
      </c>
      <c r="Z15" s="1533" t="str">
        <f t="shared" si="7"/>
        <v>办公集聚程度</v>
      </c>
      <c r="AA15" s="1530">
        <f t="shared" si="3"/>
        <v>1</v>
      </c>
      <c r="AB15" s="1530">
        <f t="shared" si="4"/>
        <v>1</v>
      </c>
      <c r="AC15" s="2138">
        <f t="shared" si="5"/>
        <v>1</v>
      </c>
    </row>
    <row r="16" spans="1:29" ht="15">
      <c r="A16" s="387"/>
      <c r="B16" s="585"/>
      <c r="C16" s="2082" t="s">
        <v>3085</v>
      </c>
      <c r="D16" s="407"/>
      <c r="E16" s="2082" t="s">
        <v>3085</v>
      </c>
      <c r="F16" s="407"/>
      <c r="G16" s="2082" t="s">
        <v>3085</v>
      </c>
      <c r="H16" s="409"/>
      <c r="I16" s="2082" t="s">
        <v>3085</v>
      </c>
      <c r="J16" s="407"/>
      <c r="K16" s="572"/>
      <c r="L16" s="2932"/>
      <c r="M16" s="2926"/>
      <c r="N16" s="2926"/>
      <c r="O16" s="2926"/>
      <c r="P16" s="3337"/>
      <c r="Q16" s="1529"/>
      <c r="R16" s="712"/>
      <c r="S16" s="713"/>
      <c r="T16" s="712"/>
      <c r="U16" s="713"/>
      <c r="V16" s="712"/>
      <c r="W16" s="713"/>
      <c r="X16" s="1532"/>
      <c r="Y16" s="3330"/>
      <c r="Z16" s="1533"/>
      <c r="AA16" s="1530">
        <v>1</v>
      </c>
      <c r="AB16" s="1530">
        <v>1</v>
      </c>
      <c r="AC16" s="2138">
        <v>1</v>
      </c>
    </row>
    <row r="17" spans="1:29" ht="85.5">
      <c r="A17" s="387"/>
      <c r="B17" s="586" t="s">
        <v>1944</v>
      </c>
      <c r="C17" s="2139" t="str">
        <f>估价对象房地状况!C6</f>
        <v>估价对象紧邻平阳路，有13、39、56、65、901等公交线路，项目有地面停车场，综合评价交通便捷度较好。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32"/>
      <c r="M17" s="2926"/>
      <c r="N17" s="2926"/>
      <c r="O17" s="2926"/>
      <c r="P17" s="3337"/>
      <c r="Q17" s="1529" t="str">
        <f>B17</f>
        <v>交通便捷度</v>
      </c>
      <c r="R17" s="712" t="s">
        <v>17</v>
      </c>
      <c r="S17" s="713">
        <f>F17</f>
        <v>100</v>
      </c>
      <c r="T17" s="712" t="s">
        <v>17</v>
      </c>
      <c r="U17" s="713">
        <f>H17</f>
        <v>100</v>
      </c>
      <c r="V17" s="712" t="s">
        <v>17</v>
      </c>
      <c r="W17" s="713">
        <f>J17</f>
        <v>100</v>
      </c>
      <c r="X17" s="1532"/>
      <c r="Y17" s="3330"/>
      <c r="Z17" s="1533" t="str">
        <f>Q17</f>
        <v>交通便捷度</v>
      </c>
      <c r="AA17" s="1530">
        <f t="shared" si="3"/>
        <v>1</v>
      </c>
      <c r="AB17" s="1530">
        <f t="shared" si="4"/>
        <v>1</v>
      </c>
      <c r="AC17" s="2138">
        <f t="shared" si="5"/>
        <v>1</v>
      </c>
    </row>
    <row r="18" spans="1:29" ht="15">
      <c r="A18" s="387"/>
      <c r="B18" s="587"/>
      <c r="C18" s="2140" t="s">
        <v>3085</v>
      </c>
      <c r="D18" s="409"/>
      <c r="E18" s="2140" t="s">
        <v>3085</v>
      </c>
      <c r="F18" s="409"/>
      <c r="G18" s="2140" t="s">
        <v>3085</v>
      </c>
      <c r="H18" s="407"/>
      <c r="I18" s="2140" t="s">
        <v>3085</v>
      </c>
      <c r="J18" s="407"/>
      <c r="K18" s="572"/>
      <c r="L18" s="2932"/>
      <c r="M18" s="2926"/>
      <c r="N18" s="2926"/>
      <c r="O18" s="2926"/>
      <c r="P18" s="3337"/>
      <c r="Q18" s="1529"/>
      <c r="R18" s="712"/>
      <c r="S18" s="713"/>
      <c r="T18" s="712"/>
      <c r="U18" s="713"/>
      <c r="V18" s="712"/>
      <c r="W18" s="713"/>
      <c r="X18" s="1532"/>
      <c r="Y18" s="3330"/>
      <c r="Z18" s="1533"/>
      <c r="AA18" s="1530">
        <v>1</v>
      </c>
      <c r="AB18" s="1530">
        <v>1</v>
      </c>
      <c r="AC18" s="2138">
        <v>1</v>
      </c>
    </row>
    <row r="19" spans="1:29" ht="28.5">
      <c r="A19" s="387"/>
      <c r="B19" s="586" t="s">
        <v>2508</v>
      </c>
      <c r="C19" s="213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32"/>
      <c r="M19" s="2926"/>
      <c r="N19" s="2926"/>
      <c r="O19" s="2926"/>
      <c r="P19" s="3337"/>
      <c r="Q19" s="1529" t="str">
        <f>B19</f>
        <v>公共配套设施</v>
      </c>
      <c r="R19" s="712" t="s">
        <v>17</v>
      </c>
      <c r="S19" s="713">
        <f>F19</f>
        <v>100</v>
      </c>
      <c r="T19" s="712" t="s">
        <v>17</v>
      </c>
      <c r="U19" s="713">
        <f>H19</f>
        <v>100</v>
      </c>
      <c r="V19" s="712" t="s">
        <v>17</v>
      </c>
      <c r="W19" s="713">
        <f>J19</f>
        <v>100</v>
      </c>
      <c r="X19" s="1532"/>
      <c r="Y19" s="3330"/>
      <c r="Z19" s="1533" t="str">
        <f>Q19</f>
        <v>公共配套设施</v>
      </c>
      <c r="AA19" s="1530">
        <f t="shared" si="3"/>
        <v>1</v>
      </c>
      <c r="AB19" s="1530">
        <f t="shared" si="4"/>
        <v>1</v>
      </c>
      <c r="AC19" s="2138">
        <f t="shared" si="5"/>
        <v>1</v>
      </c>
    </row>
    <row r="20" spans="1:29" ht="15">
      <c r="A20" s="387"/>
      <c r="B20" s="587"/>
      <c r="C20" s="2082" t="s">
        <v>3085</v>
      </c>
      <c r="D20" s="407"/>
      <c r="E20" s="2082" t="s">
        <v>3085</v>
      </c>
      <c r="F20" s="407"/>
      <c r="G20" s="2082" t="s">
        <v>3085</v>
      </c>
      <c r="H20" s="407"/>
      <c r="I20" s="2082" t="s">
        <v>3085</v>
      </c>
      <c r="J20" s="407"/>
      <c r="K20" s="572"/>
      <c r="L20" s="2932"/>
      <c r="M20" s="2926"/>
      <c r="N20" s="2926"/>
      <c r="O20" s="2926"/>
      <c r="P20" s="3337"/>
      <c r="Q20" s="1529"/>
      <c r="R20" s="712"/>
      <c r="S20" s="713"/>
      <c r="T20" s="712"/>
      <c r="U20" s="713"/>
      <c r="V20" s="712"/>
      <c r="W20" s="713"/>
      <c r="X20" s="1532"/>
      <c r="Y20" s="3330"/>
      <c r="Z20" s="1533"/>
      <c r="AA20" s="1530">
        <v>1</v>
      </c>
      <c r="AB20" s="1530">
        <v>1</v>
      </c>
      <c r="AC20" s="2138">
        <v>1</v>
      </c>
    </row>
    <row r="21" spans="1:29" ht="28.5">
      <c r="A21" s="387"/>
      <c r="B21" s="588" t="s">
        <v>2509</v>
      </c>
      <c r="C21" s="213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32"/>
      <c r="M21" s="2926"/>
      <c r="N21" s="2926"/>
      <c r="O21" s="2926"/>
      <c r="P21" s="3337"/>
      <c r="Q21" s="1529" t="str">
        <f>B21</f>
        <v>基础设施水平</v>
      </c>
      <c r="R21" s="712" t="s">
        <v>17</v>
      </c>
      <c r="S21" s="713">
        <f>F21</f>
        <v>100</v>
      </c>
      <c r="T21" s="712" t="s">
        <v>17</v>
      </c>
      <c r="U21" s="713">
        <f>H21</f>
        <v>100</v>
      </c>
      <c r="V21" s="712" t="s">
        <v>17</v>
      </c>
      <c r="W21" s="713">
        <f>J21</f>
        <v>100</v>
      </c>
      <c r="X21" s="1532"/>
      <c r="Y21" s="3330"/>
      <c r="Z21" s="1533" t="str">
        <f>Q21</f>
        <v>基础设施水平</v>
      </c>
      <c r="AA21" s="1530">
        <f t="shared" ref="AA21" si="8">D21/F21</f>
        <v>1</v>
      </c>
      <c r="AB21" s="1530">
        <f t="shared" ref="AB21" si="9">D21/H21</f>
        <v>1</v>
      </c>
      <c r="AC21" s="2138">
        <f t="shared" ref="AC21" si="10">D21/J21</f>
        <v>1</v>
      </c>
    </row>
    <row r="22" spans="1:29" ht="15">
      <c r="A22" s="387"/>
      <c r="B22" s="588"/>
      <c r="C22" s="2140" t="s">
        <v>3076</v>
      </c>
      <c r="D22" s="407"/>
      <c r="E22" s="2140" t="s">
        <v>3076</v>
      </c>
      <c r="F22" s="407"/>
      <c r="G22" s="2140" t="s">
        <v>3076</v>
      </c>
      <c r="H22" s="407"/>
      <c r="I22" s="2140" t="s">
        <v>3076</v>
      </c>
      <c r="J22" s="407"/>
      <c r="K22" s="1287"/>
      <c r="L22" s="2932"/>
      <c r="M22" s="2926"/>
      <c r="N22" s="2926"/>
      <c r="O22" s="2926"/>
      <c r="P22" s="3337"/>
      <c r="Q22" s="1529"/>
      <c r="R22" s="712"/>
      <c r="S22" s="713"/>
      <c r="T22" s="712"/>
      <c r="U22" s="713"/>
      <c r="V22" s="712"/>
      <c r="W22" s="713"/>
      <c r="X22" s="1532"/>
      <c r="Y22" s="3330"/>
      <c r="Z22" s="1533"/>
      <c r="AA22" s="1530">
        <v>1</v>
      </c>
      <c r="AB22" s="1530">
        <v>1</v>
      </c>
      <c r="AC22" s="2138">
        <v>1</v>
      </c>
    </row>
    <row r="23" spans="1:29" ht="71.25">
      <c r="A23" s="387"/>
      <c r="B23" s="586" t="s">
        <v>2510</v>
      </c>
      <c r="C23" s="2139" t="str">
        <f>估价对象房地状况!C9</f>
        <v>估价对象周边有盆景园、太原汾河景区等自然景观、更有菊花坪、凉亭等人文景观、环境状况较好</v>
      </c>
      <c r="D23" s="409">
        <v>100</v>
      </c>
      <c r="E23" s="413"/>
      <c r="F23" s="409">
        <f>SUMIF(85:85,E24,86:86)-SUMIF(85:85,C24,86:86)+100</f>
        <v>100</v>
      </c>
      <c r="G23" s="411"/>
      <c r="H23" s="409">
        <f>SUMIF(85:85,G24,86:86)-SUMIF(85:85,C24,86:86)+100</f>
        <v>100</v>
      </c>
      <c r="I23" s="411"/>
      <c r="J23" s="409">
        <f>SUMIF(85:85,I24,86:86)-SUMIF(85:85,C24,86:86)+100</f>
        <v>100</v>
      </c>
      <c r="K23" s="571">
        <v>3</v>
      </c>
      <c r="L23" s="2932"/>
      <c r="M23" s="2926"/>
      <c r="N23" s="2926"/>
      <c r="O23" s="2926"/>
      <c r="P23" s="3337"/>
      <c r="Q23" s="1529" t="str">
        <f>B23</f>
        <v>环境质量</v>
      </c>
      <c r="R23" s="712" t="s">
        <v>17</v>
      </c>
      <c r="S23" s="713">
        <f>F23</f>
        <v>100</v>
      </c>
      <c r="T23" s="712" t="s">
        <v>17</v>
      </c>
      <c r="U23" s="713">
        <f>H23</f>
        <v>100</v>
      </c>
      <c r="V23" s="712" t="s">
        <v>17</v>
      </c>
      <c r="W23" s="713">
        <f>J23</f>
        <v>100</v>
      </c>
      <c r="X23" s="1532"/>
      <c r="Y23" s="3330"/>
      <c r="Z23" s="1533" t="str">
        <f>Q23</f>
        <v>环境质量</v>
      </c>
      <c r="AA23" s="1530">
        <f t="shared" si="3"/>
        <v>1</v>
      </c>
      <c r="AB23" s="1530">
        <f t="shared" si="4"/>
        <v>1</v>
      </c>
      <c r="AC23" s="2138">
        <f t="shared" si="5"/>
        <v>1</v>
      </c>
    </row>
    <row r="24" spans="1:29" ht="15">
      <c r="A24" s="387"/>
      <c r="B24" s="588"/>
      <c r="C24" s="2082" t="s">
        <v>3084</v>
      </c>
      <c r="D24" s="407"/>
      <c r="E24" s="2082" t="s">
        <v>3084</v>
      </c>
      <c r="F24" s="407"/>
      <c r="G24" s="2082" t="s">
        <v>3084</v>
      </c>
      <c r="H24" s="407"/>
      <c r="I24" s="2082" t="s">
        <v>3084</v>
      </c>
      <c r="J24" s="407"/>
      <c r="K24" s="572"/>
      <c r="L24" s="2932"/>
      <c r="M24" s="2926"/>
      <c r="N24" s="2926"/>
      <c r="O24" s="2926"/>
      <c r="P24" s="3337"/>
      <c r="Q24" s="1529"/>
      <c r="R24" s="712"/>
      <c r="S24" s="713"/>
      <c r="T24" s="712"/>
      <c r="U24" s="713"/>
      <c r="V24" s="712"/>
      <c r="W24" s="713"/>
      <c r="X24" s="1532"/>
      <c r="Y24" s="3330"/>
      <c r="Z24" s="1533"/>
      <c r="AA24" s="1530">
        <v>1</v>
      </c>
      <c r="AB24" s="1530">
        <v>1</v>
      </c>
      <c r="AC24" s="2138">
        <v>1</v>
      </c>
    </row>
    <row r="25" spans="1:29" ht="27">
      <c r="A25" s="364"/>
      <c r="B25" s="586" t="s">
        <v>2511</v>
      </c>
      <c r="C25" s="2086"/>
      <c r="D25" s="394">
        <v>100</v>
      </c>
      <c r="E25" s="393"/>
      <c r="F25" s="394">
        <f>SUMIF(87:87,E26,88:88)-SUMIF(87:87,C26,88:88)+100</f>
        <v>100</v>
      </c>
      <c r="G25" s="2086"/>
      <c r="H25" s="394">
        <f>SUMIF(87:87,G26,88:88)-SUMIF(87:87,C26,88:88)+100</f>
        <v>100</v>
      </c>
      <c r="I25" s="393"/>
      <c r="J25" s="394">
        <f>SUMIF(87:87,I26,88:88)-SUMIF(87:87,C26,88:88)+100</f>
        <v>100</v>
      </c>
      <c r="K25" s="571">
        <v>1</v>
      </c>
      <c r="L25" s="2932"/>
      <c r="M25" s="2926"/>
      <c r="N25" s="2926"/>
      <c r="O25" s="2926"/>
      <c r="P25" s="3337"/>
      <c r="Q25" s="1529" t="str">
        <f>B25</f>
        <v>毗邻道路的类型与等级</v>
      </c>
      <c r="R25" s="712" t="s">
        <v>17</v>
      </c>
      <c r="S25" s="713">
        <f>F25</f>
        <v>100</v>
      </c>
      <c r="T25" s="712" t="s">
        <v>17</v>
      </c>
      <c r="U25" s="713">
        <f>H25</f>
        <v>100</v>
      </c>
      <c r="V25" s="712" t="s">
        <v>17</v>
      </c>
      <c r="W25" s="713">
        <f>J25</f>
        <v>100</v>
      </c>
      <c r="X25" s="1532"/>
      <c r="Y25" s="3330"/>
      <c r="Z25" s="1533" t="str">
        <f>Q25</f>
        <v>毗邻道路的类型与等级</v>
      </c>
      <c r="AA25" s="1530">
        <f t="shared" si="3"/>
        <v>1</v>
      </c>
      <c r="AB25" s="1530">
        <f t="shared" si="4"/>
        <v>1</v>
      </c>
      <c r="AC25" s="2138">
        <f t="shared" si="5"/>
        <v>1</v>
      </c>
    </row>
    <row r="26" spans="1:29" ht="15">
      <c r="A26" s="364"/>
      <c r="B26" s="587"/>
      <c r="C26" s="589" t="s">
        <v>3144</v>
      </c>
      <c r="D26" s="394"/>
      <c r="E26" s="589" t="s">
        <v>3144</v>
      </c>
      <c r="F26" s="394"/>
      <c r="G26" s="589" t="s">
        <v>3144</v>
      </c>
      <c r="H26" s="394"/>
      <c r="I26" s="589" t="s">
        <v>3144</v>
      </c>
      <c r="J26" s="394"/>
      <c r="K26" s="572"/>
      <c r="L26" s="2932"/>
      <c r="M26" s="2926"/>
      <c r="N26" s="2926"/>
      <c r="O26" s="2926"/>
      <c r="P26" s="3337"/>
      <c r="Q26" s="1529"/>
      <c r="R26" s="712"/>
      <c r="S26" s="713"/>
      <c r="T26" s="712"/>
      <c r="U26" s="713"/>
      <c r="V26" s="712"/>
      <c r="W26" s="713"/>
      <c r="X26" s="1532"/>
      <c r="Y26" s="3330"/>
      <c r="Z26" s="1533"/>
      <c r="AA26" s="1530">
        <v>1</v>
      </c>
      <c r="AB26" s="1530">
        <v>1</v>
      </c>
      <c r="AC26" s="2138">
        <v>1</v>
      </c>
    </row>
    <row r="27" spans="1:29" ht="15">
      <c r="A27" s="387"/>
      <c r="B27" s="587" t="s">
        <v>2479</v>
      </c>
      <c r="C27" s="589" t="s">
        <v>3145</v>
      </c>
      <c r="D27" s="394">
        <v>100</v>
      </c>
      <c r="E27" s="573" t="s">
        <v>3146</v>
      </c>
      <c r="F27" s="394">
        <f>SUMIF(89:89,E27,90:90)-SUMIF(89:89,C27,90:90)+100</f>
        <v>103</v>
      </c>
      <c r="G27" s="573" t="s">
        <v>3146</v>
      </c>
      <c r="H27" s="394">
        <f>SUMIF(89:89,G27,90:90)-SUMIF(89:89,C27,90:90)+100</f>
        <v>103</v>
      </c>
      <c r="I27" s="573" t="s">
        <v>3145</v>
      </c>
      <c r="J27" s="394">
        <f>SUMIF(89:89,I27,90:90)-SUMIF(89:89,C27,90:90)+100</f>
        <v>100</v>
      </c>
      <c r="K27" s="569">
        <v>3</v>
      </c>
      <c r="L27" s="2932"/>
      <c r="M27" s="2926"/>
      <c r="N27" s="2926"/>
      <c r="O27" s="2926"/>
      <c r="P27" s="3337"/>
      <c r="Q27" s="1529" t="str">
        <f t="shared" ref="Q27:Q47" si="11">B27</f>
        <v>楼层</v>
      </c>
      <c r="R27" s="712" t="s">
        <v>17</v>
      </c>
      <c r="S27" s="713">
        <f>F27</f>
        <v>103</v>
      </c>
      <c r="T27" s="712" t="s">
        <v>17</v>
      </c>
      <c r="U27" s="713">
        <f>H27</f>
        <v>103</v>
      </c>
      <c r="V27" s="712" t="s">
        <v>17</v>
      </c>
      <c r="W27" s="713">
        <f>J27</f>
        <v>100</v>
      </c>
      <c r="X27" s="1532"/>
      <c r="Y27" s="3330"/>
      <c r="Z27" s="1533" t="str">
        <f>Q27</f>
        <v>楼层</v>
      </c>
      <c r="AA27" s="1530">
        <f t="shared" si="3"/>
        <v>0.970873786407767</v>
      </c>
      <c r="AB27" s="1530">
        <f t="shared" si="4"/>
        <v>0.970873786407767</v>
      </c>
      <c r="AC27" s="2138">
        <f t="shared" si="5"/>
        <v>1</v>
      </c>
    </row>
    <row r="28" spans="1:29" s="113" customFormat="1" ht="15">
      <c r="A28" s="390"/>
      <c r="B28" s="586" t="s">
        <v>2512</v>
      </c>
      <c r="C28" s="2141" t="s">
        <v>3125</v>
      </c>
      <c r="D28" s="421">
        <v>100</v>
      </c>
      <c r="E28" s="2132" t="s">
        <v>3125</v>
      </c>
      <c r="F28" s="421">
        <f>SUMIF(91:91,E28,92:92)-SUMIF(91:91,C28,92:92)+100</f>
        <v>100</v>
      </c>
      <c r="G28" s="2141" t="s">
        <v>3125</v>
      </c>
      <c r="H28" s="421">
        <f>SUMIF(91:91,G28,92:92)-SUMIF(91:91,C28,92:92)+100</f>
        <v>100</v>
      </c>
      <c r="I28" s="2132" t="s">
        <v>3127</v>
      </c>
      <c r="J28" s="421">
        <f>SUMIF(91:91,I28,92:92)-SUMIF(91:91,C28,92:92)+100</f>
        <v>95</v>
      </c>
      <c r="K28" s="569">
        <v>5</v>
      </c>
      <c r="L28" s="2927"/>
      <c r="M28" s="2928"/>
      <c r="N28" s="2928"/>
      <c r="O28" s="2928"/>
      <c r="P28" s="3337"/>
      <c r="Q28" s="1520" t="str">
        <f t="shared" si="11"/>
        <v>朝向</v>
      </c>
      <c r="R28" s="708" t="s">
        <v>17</v>
      </c>
      <c r="S28" s="709">
        <f>F28</f>
        <v>100</v>
      </c>
      <c r="T28" s="708" t="s">
        <v>17</v>
      </c>
      <c r="U28" s="709">
        <f>H28</f>
        <v>100</v>
      </c>
      <c r="V28" s="708" t="s">
        <v>17</v>
      </c>
      <c r="W28" s="709">
        <f>J28</f>
        <v>95</v>
      </c>
      <c r="X28" s="710"/>
      <c r="Y28" s="3330"/>
      <c r="Z28" s="55" t="str">
        <f>Q28</f>
        <v>朝向</v>
      </c>
      <c r="AA28" s="1530">
        <f>D28/F28</f>
        <v>1</v>
      </c>
      <c r="AB28" s="1530">
        <f>D28/H28</f>
        <v>1</v>
      </c>
      <c r="AC28" s="2138">
        <f>D28/J28</f>
        <v>1.0526315789473684</v>
      </c>
    </row>
    <row r="29" spans="1:29" ht="15">
      <c r="A29" s="387"/>
      <c r="B29" s="2142">
        <v>111</v>
      </c>
      <c r="C29" s="2086"/>
      <c r="D29" s="394">
        <v>100</v>
      </c>
      <c r="E29" s="391"/>
      <c r="F29" s="394">
        <f>SUMIF(93:93,E29,94:94)-SUMIF(93:93,C29,94:94)+100</f>
        <v>100</v>
      </c>
      <c r="G29" s="2136"/>
      <c r="H29" s="394">
        <f>SUMIF(93:93,G29,94:94)-SUMIF(93:93,C29,94:94)+100</f>
        <v>100</v>
      </c>
      <c r="I29" s="391"/>
      <c r="J29" s="394">
        <f>SUMIF(93:93,I29,94:94)-SUMIF(93:93,C29,94:94)+100</f>
        <v>100</v>
      </c>
      <c r="K29" s="570"/>
      <c r="L29" s="2932"/>
      <c r="M29" s="2926"/>
      <c r="N29" s="2926"/>
      <c r="O29" s="2926"/>
      <c r="P29" s="3337"/>
      <c r="Q29" s="1529">
        <f t="shared" si="11"/>
        <v>111</v>
      </c>
      <c r="R29" s="712" t="s">
        <v>17</v>
      </c>
      <c r="S29" s="713">
        <f t="shared" ref="S29:S47" si="12">F29</f>
        <v>100</v>
      </c>
      <c r="T29" s="712" t="s">
        <v>17</v>
      </c>
      <c r="U29" s="713">
        <f t="shared" ref="U29:U47" si="13">H29</f>
        <v>100</v>
      </c>
      <c r="V29" s="712" t="s">
        <v>17</v>
      </c>
      <c r="W29" s="713">
        <f t="shared" ref="W29:W47" si="14">J29</f>
        <v>100</v>
      </c>
      <c r="X29" s="1532"/>
      <c r="Y29" s="3330"/>
      <c r="Z29" s="1533">
        <f t="shared" ref="Z29:Z47" si="15">Q29</f>
        <v>111</v>
      </c>
      <c r="AA29" s="1530">
        <f t="shared" si="3"/>
        <v>1</v>
      </c>
      <c r="AB29" s="1530">
        <f t="shared" si="4"/>
        <v>1</v>
      </c>
      <c r="AC29" s="2138">
        <f t="shared" si="5"/>
        <v>1</v>
      </c>
    </row>
    <row r="30" spans="1:29" ht="15">
      <c r="A30" s="387"/>
      <c r="B30" s="2142">
        <v>111</v>
      </c>
      <c r="C30" s="2086"/>
      <c r="D30" s="394">
        <v>100</v>
      </c>
      <c r="E30" s="391"/>
      <c r="F30" s="394">
        <f>SUMIF(95:95,E30,96:96)-SUMIF(95:95,C30,96:96)+100</f>
        <v>100</v>
      </c>
      <c r="G30" s="2136"/>
      <c r="H30" s="394">
        <f>SUMIF(95:95,G30,96:96)-SUMIF(95:95,C30,96:96)+100</f>
        <v>100</v>
      </c>
      <c r="I30" s="391"/>
      <c r="J30" s="394">
        <f>SUMIF(95:95,I30,96:96)-SUMIF(95:95,C30,96:96)+100</f>
        <v>100</v>
      </c>
      <c r="K30" s="570"/>
      <c r="L30" s="2932"/>
      <c r="M30" s="2926"/>
      <c r="N30" s="2926"/>
      <c r="O30" s="2926"/>
      <c r="P30" s="3337"/>
      <c r="Q30" s="1529">
        <f t="shared" si="11"/>
        <v>111</v>
      </c>
      <c r="R30" s="712" t="s">
        <v>17</v>
      </c>
      <c r="S30" s="713">
        <f t="shared" si="12"/>
        <v>100</v>
      </c>
      <c r="T30" s="712" t="s">
        <v>17</v>
      </c>
      <c r="U30" s="713">
        <f t="shared" si="13"/>
        <v>100</v>
      </c>
      <c r="V30" s="712" t="s">
        <v>17</v>
      </c>
      <c r="W30" s="713">
        <f t="shared" si="14"/>
        <v>100</v>
      </c>
      <c r="X30" s="1532"/>
      <c r="Y30" s="3330"/>
      <c r="Z30" s="1533">
        <f t="shared" si="15"/>
        <v>111</v>
      </c>
      <c r="AA30" s="1530">
        <f t="shared" si="3"/>
        <v>1</v>
      </c>
      <c r="AB30" s="1530">
        <f t="shared" si="4"/>
        <v>1</v>
      </c>
      <c r="AC30" s="2138">
        <f t="shared" si="5"/>
        <v>1</v>
      </c>
    </row>
    <row r="31" spans="1:29" ht="15">
      <c r="A31" s="387"/>
      <c r="B31" s="2142">
        <v>111</v>
      </c>
      <c r="C31" s="2086"/>
      <c r="D31" s="394">
        <v>100</v>
      </c>
      <c r="E31" s="391"/>
      <c r="F31" s="394">
        <f>SUMIF(97:97,E31,98:98)-SUMIF(97:97,C31,98:98)+100</f>
        <v>100</v>
      </c>
      <c r="G31" s="2136"/>
      <c r="H31" s="394">
        <f>SUMIF(97:97,G31,98:98)-SUMIF(97:97,C31,98:98)+100</f>
        <v>100</v>
      </c>
      <c r="I31" s="391"/>
      <c r="J31" s="394">
        <f>SUMIF(97:97,I31,98:98)-SUMIF(97:97,C31,98:98)+100</f>
        <v>100</v>
      </c>
      <c r="K31" s="570"/>
      <c r="L31" s="2932"/>
      <c r="M31" s="2926"/>
      <c r="N31" s="2926"/>
      <c r="O31" s="2926"/>
      <c r="P31" s="3337"/>
      <c r="Q31" s="1529">
        <f t="shared" si="11"/>
        <v>111</v>
      </c>
      <c r="R31" s="712" t="s">
        <v>17</v>
      </c>
      <c r="S31" s="713">
        <f t="shared" si="12"/>
        <v>100</v>
      </c>
      <c r="T31" s="712" t="s">
        <v>17</v>
      </c>
      <c r="U31" s="713">
        <f t="shared" si="13"/>
        <v>100</v>
      </c>
      <c r="V31" s="712" t="s">
        <v>17</v>
      </c>
      <c r="W31" s="713">
        <f t="shared" si="14"/>
        <v>100</v>
      </c>
      <c r="X31" s="1532"/>
      <c r="Y31" s="3330"/>
      <c r="Z31" s="1533">
        <f t="shared" si="15"/>
        <v>111</v>
      </c>
      <c r="AA31" s="1530">
        <f t="shared" si="3"/>
        <v>1</v>
      </c>
      <c r="AB31" s="1530">
        <f t="shared" si="4"/>
        <v>1</v>
      </c>
      <c r="AC31" s="2138">
        <f t="shared" si="5"/>
        <v>1</v>
      </c>
    </row>
    <row r="32" spans="1:29" ht="15.75" thickBot="1">
      <c r="A32" s="395"/>
      <c r="B32" s="590">
        <v>111</v>
      </c>
      <c r="C32" s="2087"/>
      <c r="D32" s="397">
        <v>100</v>
      </c>
      <c r="E32" s="583"/>
      <c r="F32" s="397">
        <f>SUMIF(99:99,E32,100:100)-SUMIF(99:99,C32,100:100)+100</f>
        <v>100</v>
      </c>
      <c r="G32" s="2136"/>
      <c r="H32" s="397">
        <f>SUMIF(99:99,G32,100:100)-SUMIF(99:99,C32,100:100)+100</f>
        <v>100</v>
      </c>
      <c r="I32" s="391"/>
      <c r="J32" s="397">
        <f>SUMIF(99:99,I32,100:100)-SUMIF(99:99,C32,100:100)+100</f>
        <v>100</v>
      </c>
      <c r="K32" s="570"/>
      <c r="L32" s="2932"/>
      <c r="M32" s="2926"/>
      <c r="N32" s="2926"/>
      <c r="O32" s="2926"/>
      <c r="P32" s="3337"/>
      <c r="Q32" s="1529">
        <f t="shared" si="11"/>
        <v>111</v>
      </c>
      <c r="R32" s="712" t="s">
        <v>17</v>
      </c>
      <c r="S32" s="713">
        <f t="shared" si="12"/>
        <v>100</v>
      </c>
      <c r="T32" s="712" t="s">
        <v>17</v>
      </c>
      <c r="U32" s="713">
        <f t="shared" si="13"/>
        <v>100</v>
      </c>
      <c r="V32" s="712" t="s">
        <v>17</v>
      </c>
      <c r="W32" s="713">
        <f t="shared" si="14"/>
        <v>100</v>
      </c>
      <c r="X32" s="1532"/>
      <c r="Y32" s="3330"/>
      <c r="Z32" s="1533">
        <f t="shared" si="15"/>
        <v>111</v>
      </c>
      <c r="AA32" s="1530">
        <f t="shared" si="3"/>
        <v>1</v>
      </c>
      <c r="AB32" s="1530">
        <f t="shared" si="4"/>
        <v>1</v>
      </c>
      <c r="AC32" s="2138">
        <f t="shared" si="5"/>
        <v>1</v>
      </c>
    </row>
    <row r="33" spans="1:29" ht="15">
      <c r="A33" s="399" t="s">
        <v>2383</v>
      </c>
      <c r="B33" s="67" t="s">
        <v>2513</v>
      </c>
      <c r="C33" s="2143" t="s">
        <v>3147</v>
      </c>
      <c r="D33" s="426">
        <v>100</v>
      </c>
      <c r="E33" s="2143" t="s">
        <v>3147</v>
      </c>
      <c r="F33" s="420">
        <f>SUMIF(101:101,E33,102:102)-SUMIF(101:101,C33,102:102)+100</f>
        <v>100</v>
      </c>
      <c r="G33" s="2143" t="s">
        <v>3147</v>
      </c>
      <c r="H33" s="394">
        <f>SUMIF(101:101,G33,102:102)-SUMIF(101:101,C33,102:102)+100</f>
        <v>100</v>
      </c>
      <c r="I33" s="2143" t="s">
        <v>3147</v>
      </c>
      <c r="J33" s="426">
        <f>SUMIF(101:101,I33,102:102)-SUMIF(101:101,C33,102:102)+100</f>
        <v>100</v>
      </c>
      <c r="K33" s="569">
        <v>2</v>
      </c>
      <c r="L33" s="2932"/>
      <c r="M33" s="2926"/>
      <c r="N33" s="2926"/>
      <c r="O33" s="2926"/>
      <c r="P33" s="3331" t="s">
        <v>2385</v>
      </c>
      <c r="Q33" s="1529" t="str">
        <f t="shared" si="11"/>
        <v>建筑类型</v>
      </c>
      <c r="R33" s="712" t="s">
        <v>17</v>
      </c>
      <c r="S33" s="713">
        <f t="shared" si="12"/>
        <v>100</v>
      </c>
      <c r="T33" s="712" t="s">
        <v>17</v>
      </c>
      <c r="U33" s="713">
        <f t="shared" si="13"/>
        <v>100</v>
      </c>
      <c r="V33" s="712" t="s">
        <v>17</v>
      </c>
      <c r="W33" s="713">
        <f t="shared" si="14"/>
        <v>100</v>
      </c>
      <c r="X33" s="1532"/>
      <c r="Y33" s="3334" t="s">
        <v>2385</v>
      </c>
      <c r="Z33" s="1533" t="str">
        <f t="shared" si="15"/>
        <v>建筑类型</v>
      </c>
      <c r="AA33" s="1530">
        <f t="shared" si="3"/>
        <v>1</v>
      </c>
      <c r="AB33" s="1530">
        <f t="shared" si="4"/>
        <v>1</v>
      </c>
      <c r="AC33" s="2138">
        <f t="shared" si="5"/>
        <v>1</v>
      </c>
    </row>
    <row r="34" spans="1:29" s="430" customFormat="1" ht="15">
      <c r="A34" s="427"/>
      <c r="B34" s="381" t="s">
        <v>2386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31"/>
      <c r="M34" s="2933"/>
      <c r="N34" s="2933"/>
      <c r="O34" s="2933"/>
      <c r="P34" s="3332"/>
      <c r="Q34" s="714" t="str">
        <f t="shared" si="11"/>
        <v>项目建筑规模</v>
      </c>
      <c r="R34" s="715" t="s">
        <v>17</v>
      </c>
      <c r="S34" s="716">
        <f t="shared" si="12"/>
        <v>100</v>
      </c>
      <c r="T34" s="715" t="s">
        <v>17</v>
      </c>
      <c r="U34" s="716">
        <f t="shared" si="13"/>
        <v>100</v>
      </c>
      <c r="V34" s="715" t="s">
        <v>17</v>
      </c>
      <c r="W34" s="716">
        <f t="shared" si="14"/>
        <v>100</v>
      </c>
      <c r="X34" s="717"/>
      <c r="Y34" s="3334"/>
      <c r="Z34" s="718" t="str">
        <f t="shared" si="15"/>
        <v>项目建筑规模</v>
      </c>
      <c r="AA34" s="1530">
        <f t="shared" si="3"/>
        <v>1</v>
      </c>
      <c r="AB34" s="1530">
        <f t="shared" si="4"/>
        <v>1</v>
      </c>
      <c r="AC34" s="2138">
        <f t="shared" si="5"/>
        <v>1</v>
      </c>
    </row>
    <row r="35" spans="1:29" ht="15">
      <c r="A35" s="431"/>
      <c r="B35" s="381" t="s">
        <v>2387</v>
      </c>
      <c r="C35" s="419" t="s">
        <v>3064</v>
      </c>
      <c r="D35" s="394">
        <v>100</v>
      </c>
      <c r="E35" s="419" t="s">
        <v>3064</v>
      </c>
      <c r="F35" s="420">
        <f>SUMIF(106:106,E35,107:107)-SUMIF(106:106,C35,107:107)+100</f>
        <v>100</v>
      </c>
      <c r="G35" s="419" t="s">
        <v>3064</v>
      </c>
      <c r="H35" s="394">
        <f>SUMIF(106:106,G35,107:107)-SUMIF(106:106,C35,107:107)+100</f>
        <v>100</v>
      </c>
      <c r="I35" s="419" t="s">
        <v>3064</v>
      </c>
      <c r="J35" s="394">
        <f>SUMIF(106:106,I35,107:107)-SUMIF(106:106,C35,107:107)+100</f>
        <v>100</v>
      </c>
      <c r="K35" s="569">
        <v>2</v>
      </c>
      <c r="L35" s="2932"/>
      <c r="M35" s="2926"/>
      <c r="N35" s="2926"/>
      <c r="O35" s="2926"/>
      <c r="P35" s="3332"/>
      <c r="Q35" s="1529" t="str">
        <f t="shared" si="11"/>
        <v>建筑结构</v>
      </c>
      <c r="R35" s="712" t="s">
        <v>17</v>
      </c>
      <c r="S35" s="713">
        <f t="shared" si="12"/>
        <v>100</v>
      </c>
      <c r="T35" s="712" t="s">
        <v>17</v>
      </c>
      <c r="U35" s="713">
        <f t="shared" si="13"/>
        <v>100</v>
      </c>
      <c r="V35" s="712" t="s">
        <v>17</v>
      </c>
      <c r="W35" s="713">
        <f t="shared" si="14"/>
        <v>100</v>
      </c>
      <c r="X35" s="1532"/>
      <c r="Y35" s="3334"/>
      <c r="Z35" s="1533" t="str">
        <f t="shared" si="15"/>
        <v>建筑结构</v>
      </c>
      <c r="AA35" s="1530">
        <f t="shared" si="3"/>
        <v>1</v>
      </c>
      <c r="AB35" s="1530">
        <f t="shared" si="4"/>
        <v>1</v>
      </c>
      <c r="AC35" s="2138">
        <f t="shared" si="5"/>
        <v>1</v>
      </c>
    </row>
    <row r="36" spans="1:29" ht="15">
      <c r="A36" s="431"/>
      <c r="B36" s="381" t="s">
        <v>2481</v>
      </c>
      <c r="C36" s="419" t="s">
        <v>3148</v>
      </c>
      <c r="D36" s="394">
        <v>100</v>
      </c>
      <c r="E36" s="419" t="s">
        <v>3148</v>
      </c>
      <c r="F36" s="420">
        <f>SUMIF(108:108,E36,109:109)-SUMIF(108:108,C36,109:109)+100</f>
        <v>100</v>
      </c>
      <c r="G36" s="419" t="s">
        <v>3148</v>
      </c>
      <c r="H36" s="394">
        <f>SUMIF(108:108,G36,109:109)-SUMIF(108:108,C36,109:109)+100</f>
        <v>100</v>
      </c>
      <c r="I36" s="419" t="s">
        <v>3148</v>
      </c>
      <c r="J36" s="394">
        <f>SUMIF(108:108,I36,109:109)-SUMIF(108:108,C36,109:109)+100</f>
        <v>100</v>
      </c>
      <c r="K36" s="569">
        <v>2</v>
      </c>
      <c r="L36" s="2932"/>
      <c r="M36" s="2926"/>
      <c r="N36" s="2926"/>
      <c r="O36" s="2926"/>
      <c r="P36" s="3332"/>
      <c r="Q36" s="1529" t="str">
        <f t="shared" si="11"/>
        <v>公共部分装修</v>
      </c>
      <c r="R36" s="712" t="s">
        <v>17</v>
      </c>
      <c r="S36" s="713">
        <f t="shared" si="12"/>
        <v>100</v>
      </c>
      <c r="T36" s="712" t="s">
        <v>17</v>
      </c>
      <c r="U36" s="713">
        <f t="shared" si="13"/>
        <v>100</v>
      </c>
      <c r="V36" s="712" t="s">
        <v>17</v>
      </c>
      <c r="W36" s="713">
        <f t="shared" si="14"/>
        <v>100</v>
      </c>
      <c r="X36" s="1532"/>
      <c r="Y36" s="3334"/>
      <c r="Z36" s="1533" t="str">
        <f t="shared" si="15"/>
        <v>公共部分装修</v>
      </c>
      <c r="AA36" s="1530">
        <f t="shared" si="3"/>
        <v>1</v>
      </c>
      <c r="AB36" s="1530">
        <f t="shared" si="4"/>
        <v>1</v>
      </c>
      <c r="AC36" s="2138">
        <f t="shared" si="5"/>
        <v>1</v>
      </c>
    </row>
    <row r="37" spans="1:29" ht="15">
      <c r="A37" s="431"/>
      <c r="B37" s="381" t="s">
        <v>2482</v>
      </c>
      <c r="C37" s="433">
        <f>'数据-取费表'!N6</f>
        <v>0.71699999999999997</v>
      </c>
      <c r="D37" s="394">
        <v>100</v>
      </c>
      <c r="E37" s="433">
        <f>C37</f>
        <v>0.71699999999999997</v>
      </c>
      <c r="F37" s="420">
        <f>LOOKUP(E37,111:111,112:112)-LOOKUP(C37,111:111,112:112)+100</f>
        <v>100</v>
      </c>
      <c r="G37" s="433">
        <f>E37</f>
        <v>0.71699999999999997</v>
      </c>
      <c r="H37" s="420">
        <f>LOOKUP(G37,111:111,112:112)-LOOKUP(C37,111:111,112:112)+100</f>
        <v>100</v>
      </c>
      <c r="I37" s="433">
        <f>G37</f>
        <v>0.71699999999999997</v>
      </c>
      <c r="J37" s="394">
        <f>LOOKUP(I37,111:111,112:112)-LOOKUP(C37,111:111,112:112)+100</f>
        <v>100</v>
      </c>
      <c r="K37" s="569">
        <v>1</v>
      </c>
      <c r="L37" s="2932"/>
      <c r="M37" s="2926"/>
      <c r="N37" s="2926"/>
      <c r="O37" s="2926"/>
      <c r="P37" s="3332"/>
      <c r="Q37" s="1529" t="str">
        <f t="shared" si="11"/>
        <v>成新度</v>
      </c>
      <c r="R37" s="712" t="s">
        <v>17</v>
      </c>
      <c r="S37" s="713">
        <f t="shared" si="12"/>
        <v>100</v>
      </c>
      <c r="T37" s="712" t="s">
        <v>17</v>
      </c>
      <c r="U37" s="713">
        <f t="shared" si="13"/>
        <v>100</v>
      </c>
      <c r="V37" s="712" t="s">
        <v>17</v>
      </c>
      <c r="W37" s="713">
        <f t="shared" si="14"/>
        <v>100</v>
      </c>
      <c r="X37" s="1532"/>
      <c r="Y37" s="3334"/>
      <c r="Z37" s="1533" t="str">
        <f t="shared" si="15"/>
        <v>成新度</v>
      </c>
      <c r="AA37" s="1530">
        <f t="shared" si="3"/>
        <v>1</v>
      </c>
      <c r="AB37" s="1530">
        <f t="shared" si="4"/>
        <v>1</v>
      </c>
      <c r="AC37" s="2138">
        <f t="shared" si="5"/>
        <v>1</v>
      </c>
    </row>
    <row r="38" spans="1:29" s="113" customFormat="1" ht="15">
      <c r="A38" s="432"/>
      <c r="B38" s="381" t="s">
        <v>2514</v>
      </c>
      <c r="C38" s="419" t="s">
        <v>3149</v>
      </c>
      <c r="D38" s="132">
        <v>100</v>
      </c>
      <c r="E38" s="419" t="s">
        <v>3149</v>
      </c>
      <c r="F38" s="420">
        <f>SUMIF(113:113,E38,114:114)-SUMIF(113:113,C38,114:114)+100</f>
        <v>100</v>
      </c>
      <c r="G38" s="419" t="s">
        <v>3149</v>
      </c>
      <c r="H38" s="394">
        <f>SUMIF(113:113,G38,114:114)-SUMIF(113:113,C38,114:114)+100</f>
        <v>100</v>
      </c>
      <c r="I38" s="419" t="s">
        <v>3149</v>
      </c>
      <c r="J38" s="394">
        <f>SUMIF(113:113,I38,114:114)-SUMIF(113:113,C38,114:114)+100</f>
        <v>100</v>
      </c>
      <c r="K38" s="569">
        <v>2</v>
      </c>
      <c r="L38" s="2927"/>
      <c r="M38" s="2928"/>
      <c r="N38" s="2928"/>
      <c r="O38" s="2928"/>
      <c r="P38" s="3332"/>
      <c r="Q38" s="1520" t="str">
        <f t="shared" si="11"/>
        <v>写字楼等级</v>
      </c>
      <c r="R38" s="708" t="s">
        <v>17</v>
      </c>
      <c r="S38" s="709">
        <f t="shared" si="12"/>
        <v>100</v>
      </c>
      <c r="T38" s="708" t="s">
        <v>17</v>
      </c>
      <c r="U38" s="709">
        <f t="shared" si="13"/>
        <v>100</v>
      </c>
      <c r="V38" s="708" t="s">
        <v>17</v>
      </c>
      <c r="W38" s="709">
        <f t="shared" si="14"/>
        <v>100</v>
      </c>
      <c r="X38" s="710"/>
      <c r="Y38" s="3334"/>
      <c r="Z38" s="55" t="str">
        <f t="shared" si="15"/>
        <v>写字楼等级</v>
      </c>
      <c r="AA38" s="711">
        <f t="shared" si="3"/>
        <v>1</v>
      </c>
      <c r="AB38" s="711">
        <f t="shared" si="4"/>
        <v>1</v>
      </c>
      <c r="AC38" s="2135">
        <f t="shared" si="5"/>
        <v>1</v>
      </c>
    </row>
    <row r="39" spans="1:29" ht="15">
      <c r="A39" s="431"/>
      <c r="B39" s="381" t="s">
        <v>2515</v>
      </c>
      <c r="C39" s="419" t="s">
        <v>3089</v>
      </c>
      <c r="D39" s="394">
        <v>100</v>
      </c>
      <c r="E39" s="419" t="s">
        <v>3089</v>
      </c>
      <c r="F39" s="420">
        <f>SUMIF(115:115,E39,116:116)-SUMIF(115:115,C39,116:116)+100</f>
        <v>100</v>
      </c>
      <c r="G39" s="419" t="s">
        <v>3089</v>
      </c>
      <c r="H39" s="394">
        <f>SUMIF(115:115,G39,116:116)-SUMIF(115:115,C39,116:116)+100</f>
        <v>100</v>
      </c>
      <c r="I39" s="419" t="s">
        <v>3089</v>
      </c>
      <c r="J39" s="394">
        <f>SUMIF(115:115,I39,116:116)-SUMIF(115:115,C39,116:116)+100</f>
        <v>100</v>
      </c>
      <c r="K39" s="569">
        <v>2</v>
      </c>
      <c r="L39" s="2932"/>
      <c r="M39" s="2926"/>
      <c r="N39" s="2926"/>
      <c r="O39" s="2926"/>
      <c r="P39" s="3332" t="s">
        <v>2385</v>
      </c>
      <c r="Q39" s="1529" t="str">
        <f t="shared" si="11"/>
        <v>物业管理</v>
      </c>
      <c r="R39" s="712" t="s">
        <v>17</v>
      </c>
      <c r="S39" s="713">
        <f t="shared" si="12"/>
        <v>100</v>
      </c>
      <c r="T39" s="712" t="s">
        <v>17</v>
      </c>
      <c r="U39" s="713">
        <f t="shared" si="13"/>
        <v>100</v>
      </c>
      <c r="V39" s="712" t="s">
        <v>17</v>
      </c>
      <c r="W39" s="713">
        <f t="shared" si="14"/>
        <v>100</v>
      </c>
      <c r="X39" s="1532"/>
      <c r="Y39" s="3334" t="s">
        <v>2385</v>
      </c>
      <c r="Z39" s="1533" t="str">
        <f t="shared" si="15"/>
        <v>物业管理</v>
      </c>
      <c r="AA39" s="1530">
        <f t="shared" si="3"/>
        <v>1</v>
      </c>
      <c r="AB39" s="1530">
        <f t="shared" si="4"/>
        <v>1</v>
      </c>
      <c r="AC39" s="2138">
        <f t="shared" si="5"/>
        <v>1</v>
      </c>
    </row>
    <row r="40" spans="1:29" ht="15">
      <c r="A40" s="431"/>
      <c r="B40" s="381" t="s">
        <v>2483</v>
      </c>
      <c r="C40" s="419" t="s">
        <v>3150</v>
      </c>
      <c r="D40" s="394">
        <v>100</v>
      </c>
      <c r="E40" s="419" t="s">
        <v>3150</v>
      </c>
      <c r="F40" s="420">
        <f>SUMIF(117:117,E40,118:118)-SUMIF(117:117,C40,118:118)+100</f>
        <v>100</v>
      </c>
      <c r="G40" s="419" t="s">
        <v>3150</v>
      </c>
      <c r="H40" s="394">
        <f>SUMIF(117:117,G40,118:118)-SUMIF(117:117,C40,118:118)+100</f>
        <v>100</v>
      </c>
      <c r="I40" s="419" t="s">
        <v>3150</v>
      </c>
      <c r="J40" s="394">
        <f>SUMIF(117:117,I40,118:118)-SUMIF(117:117,C40,118:118)+100</f>
        <v>100</v>
      </c>
      <c r="K40" s="569">
        <v>1</v>
      </c>
      <c r="L40" s="2932"/>
      <c r="M40" s="2926"/>
      <c r="N40" s="2926"/>
      <c r="O40" s="2926"/>
      <c r="P40" s="3332"/>
      <c r="Q40" s="1529" t="str">
        <f t="shared" si="11"/>
        <v>市政基础设施</v>
      </c>
      <c r="R40" s="712" t="s">
        <v>17</v>
      </c>
      <c r="S40" s="713">
        <f t="shared" si="12"/>
        <v>100</v>
      </c>
      <c r="T40" s="712" t="s">
        <v>17</v>
      </c>
      <c r="U40" s="713">
        <f t="shared" si="13"/>
        <v>100</v>
      </c>
      <c r="V40" s="712" t="s">
        <v>17</v>
      </c>
      <c r="W40" s="713">
        <f t="shared" si="14"/>
        <v>100</v>
      </c>
      <c r="X40" s="1532"/>
      <c r="Y40" s="3334"/>
      <c r="Z40" s="1533" t="str">
        <f t="shared" si="15"/>
        <v>市政基础设施</v>
      </c>
      <c r="AA40" s="1530">
        <f t="shared" si="3"/>
        <v>1</v>
      </c>
      <c r="AB40" s="1530">
        <f t="shared" si="4"/>
        <v>1</v>
      </c>
      <c r="AC40" s="2138">
        <f t="shared" si="5"/>
        <v>1</v>
      </c>
    </row>
    <row r="41" spans="1:29" ht="15">
      <c r="A41" s="431"/>
      <c r="B41" s="381" t="s">
        <v>2485</v>
      </c>
      <c r="C41" s="573" t="s">
        <v>3151</v>
      </c>
      <c r="D41" s="394">
        <v>100</v>
      </c>
      <c r="E41" s="573" t="s">
        <v>3151</v>
      </c>
      <c r="F41" s="420">
        <f>SUMIF(119:119,E41,120:120)-SUMIF(119:119,C41,120:120)+100</f>
        <v>100</v>
      </c>
      <c r="G41" s="573" t="s">
        <v>3151</v>
      </c>
      <c r="H41" s="394">
        <f>SUMIF(119:119,G41,120:120)-SUMIF(119:119,C41,120:120)+100</f>
        <v>100</v>
      </c>
      <c r="I41" s="573" t="s">
        <v>3151</v>
      </c>
      <c r="J41" s="394">
        <f>SUMIF(119:119,I41,120:120)-SUMIF(119:119,C41,120:120)+100</f>
        <v>100</v>
      </c>
      <c r="K41" s="569">
        <v>2</v>
      </c>
      <c r="L41" s="2932"/>
      <c r="M41" s="2926"/>
      <c r="N41" s="2926"/>
      <c r="O41" s="2926"/>
      <c r="P41" s="3332"/>
      <c r="Q41" s="1529" t="str">
        <f t="shared" si="11"/>
        <v>层高</v>
      </c>
      <c r="R41" s="712" t="s">
        <v>17</v>
      </c>
      <c r="S41" s="713">
        <f t="shared" si="12"/>
        <v>100</v>
      </c>
      <c r="T41" s="712" t="s">
        <v>17</v>
      </c>
      <c r="U41" s="713">
        <f t="shared" si="13"/>
        <v>100</v>
      </c>
      <c r="V41" s="712" t="s">
        <v>17</v>
      </c>
      <c r="W41" s="713">
        <f t="shared" si="14"/>
        <v>100</v>
      </c>
      <c r="X41" s="1532"/>
      <c r="Y41" s="3334"/>
      <c r="Z41" s="1533" t="str">
        <f t="shared" si="15"/>
        <v>层高</v>
      </c>
      <c r="AA41" s="1530">
        <f t="shared" si="3"/>
        <v>1</v>
      </c>
      <c r="AB41" s="1530">
        <f t="shared" si="4"/>
        <v>1</v>
      </c>
      <c r="AC41" s="2138">
        <f t="shared" si="5"/>
        <v>1</v>
      </c>
    </row>
    <row r="42" spans="1:29" s="430" customFormat="1" ht="15">
      <c r="A42" s="427"/>
      <c r="B42" s="1531"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1"/>
      <c r="M42" s="2933"/>
      <c r="N42" s="2933"/>
      <c r="O42" s="2933"/>
      <c r="P42" s="3332"/>
      <c r="Q42" s="714" t="str">
        <f t="shared" si="11"/>
        <v>单套建筑面积</v>
      </c>
      <c r="R42" s="715" t="s">
        <v>17</v>
      </c>
      <c r="S42" s="716">
        <f t="shared" si="12"/>
        <v>100</v>
      </c>
      <c r="T42" s="715" t="s">
        <v>17</v>
      </c>
      <c r="U42" s="716">
        <f t="shared" si="13"/>
        <v>100</v>
      </c>
      <c r="V42" s="715" t="s">
        <v>17</v>
      </c>
      <c r="W42" s="716">
        <f t="shared" si="14"/>
        <v>100</v>
      </c>
      <c r="X42" s="717"/>
      <c r="Y42" s="3334"/>
      <c r="Z42" s="718" t="str">
        <f t="shared" si="15"/>
        <v>单套建筑面积</v>
      </c>
      <c r="AA42" s="1530">
        <f t="shared" si="3"/>
        <v>1</v>
      </c>
      <c r="AB42" s="1530">
        <f t="shared" si="4"/>
        <v>1</v>
      </c>
      <c r="AC42" s="2138">
        <f t="shared" si="5"/>
        <v>1</v>
      </c>
    </row>
    <row r="43" spans="1:29" ht="15">
      <c r="A43" s="431"/>
      <c r="B43" s="381" t="s">
        <v>2488</v>
      </c>
      <c r="C43" s="419" t="s">
        <v>3148</v>
      </c>
      <c r="D43" s="394">
        <v>100</v>
      </c>
      <c r="E43" s="419" t="s">
        <v>3148</v>
      </c>
      <c r="F43" s="420">
        <f>SUMIF(123:123,E43,124:124)-SUMIF(123:123,C43,124:124)+100</f>
        <v>100</v>
      </c>
      <c r="G43" s="419" t="s">
        <v>3148</v>
      </c>
      <c r="H43" s="394">
        <f>SUMIF(123:123,G43,124:124)-SUMIF(123:123,C43,124:124)+100</f>
        <v>100</v>
      </c>
      <c r="I43" s="419" t="s">
        <v>3148</v>
      </c>
      <c r="J43" s="394">
        <f>SUMIF(123:123,I43,124:124)-SUMIF(123:123,C43,124:124)+100</f>
        <v>100</v>
      </c>
      <c r="K43" s="569">
        <v>2</v>
      </c>
      <c r="L43" s="2932"/>
      <c r="M43" s="2926"/>
      <c r="N43" s="2926"/>
      <c r="O43" s="2926"/>
      <c r="P43" s="3332"/>
      <c r="Q43" s="1529" t="str">
        <f t="shared" si="11"/>
        <v>内部装修</v>
      </c>
      <c r="R43" s="712" t="s">
        <v>17</v>
      </c>
      <c r="S43" s="713">
        <f t="shared" si="12"/>
        <v>100</v>
      </c>
      <c r="T43" s="712" t="s">
        <v>17</v>
      </c>
      <c r="U43" s="713">
        <f t="shared" si="13"/>
        <v>100</v>
      </c>
      <c r="V43" s="712" t="s">
        <v>17</v>
      </c>
      <c r="W43" s="713">
        <f t="shared" si="14"/>
        <v>100</v>
      </c>
      <c r="X43" s="1532"/>
      <c r="Y43" s="3334"/>
      <c r="Z43" s="1533" t="str">
        <f t="shared" si="15"/>
        <v>内部装修</v>
      </c>
      <c r="AA43" s="1530">
        <f t="shared" si="3"/>
        <v>1</v>
      </c>
      <c r="AB43" s="1530">
        <f t="shared" si="4"/>
        <v>1</v>
      </c>
      <c r="AC43" s="2138">
        <f t="shared" si="5"/>
        <v>1</v>
      </c>
    </row>
    <row r="44" spans="1:29" ht="15">
      <c r="A44" s="431"/>
      <c r="B44" s="381" t="s">
        <v>2396</v>
      </c>
      <c r="C44" s="419" t="s">
        <v>3085</v>
      </c>
      <c r="D44" s="394">
        <v>100</v>
      </c>
      <c r="E44" s="419" t="s">
        <v>3085</v>
      </c>
      <c r="F44" s="420">
        <f>SUMIF(125:125,E44,126:126)-SUMIF(125:125,C44,126:126)+100</f>
        <v>100</v>
      </c>
      <c r="G44" s="419" t="s">
        <v>3085</v>
      </c>
      <c r="H44" s="394">
        <f>SUMIF(125:125,G44,126:126)-SUMIF(125:125,C44,126:126)+100</f>
        <v>100</v>
      </c>
      <c r="I44" s="419" t="s">
        <v>3085</v>
      </c>
      <c r="J44" s="394">
        <f>SUMIF(125:125,I44,126:126)-SUMIF(125:125,C44,126:126)+100</f>
        <v>100</v>
      </c>
      <c r="K44" s="569">
        <v>2</v>
      </c>
      <c r="L44" s="2932"/>
      <c r="M44" s="2926"/>
      <c r="N44" s="2926"/>
      <c r="O44" s="2926"/>
      <c r="P44" s="3332"/>
      <c r="Q44" s="1529" t="str">
        <f t="shared" si="11"/>
        <v>内部装修维护情况</v>
      </c>
      <c r="R44" s="712" t="s">
        <v>17</v>
      </c>
      <c r="S44" s="713">
        <f t="shared" si="12"/>
        <v>100</v>
      </c>
      <c r="T44" s="712" t="s">
        <v>17</v>
      </c>
      <c r="U44" s="713">
        <f t="shared" si="13"/>
        <v>100</v>
      </c>
      <c r="V44" s="712" t="s">
        <v>17</v>
      </c>
      <c r="W44" s="713">
        <f t="shared" si="14"/>
        <v>100</v>
      </c>
      <c r="X44" s="1532"/>
      <c r="Y44" s="3334"/>
      <c r="Z44" s="1533" t="str">
        <f t="shared" si="15"/>
        <v>内部装修维护情况</v>
      </c>
      <c r="AA44" s="1530">
        <f t="shared" si="3"/>
        <v>1</v>
      </c>
      <c r="AB44" s="1530">
        <f t="shared" si="4"/>
        <v>1</v>
      </c>
      <c r="AC44" s="2138">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7"/>
      <c r="M45" s="2928"/>
      <c r="N45" s="2928"/>
      <c r="O45" s="2928"/>
      <c r="P45" s="3332"/>
      <c r="Q45" s="1520">
        <f t="shared" si="11"/>
        <v>111</v>
      </c>
      <c r="R45" s="708" t="s">
        <v>17</v>
      </c>
      <c r="S45" s="709">
        <f t="shared" si="12"/>
        <v>100</v>
      </c>
      <c r="T45" s="708" t="s">
        <v>17</v>
      </c>
      <c r="U45" s="709">
        <f t="shared" si="13"/>
        <v>100</v>
      </c>
      <c r="V45" s="708" t="s">
        <v>17</v>
      </c>
      <c r="W45" s="709">
        <f t="shared" si="14"/>
        <v>100</v>
      </c>
      <c r="X45" s="710"/>
      <c r="Y45" s="3334"/>
      <c r="Z45" s="55">
        <f t="shared" si="15"/>
        <v>111</v>
      </c>
      <c r="AA45" s="711">
        <f t="shared" si="3"/>
        <v>1</v>
      </c>
      <c r="AB45" s="711">
        <f t="shared" si="4"/>
        <v>1</v>
      </c>
      <c r="AC45" s="2135">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2"/>
      <c r="M46" s="2926"/>
      <c r="N46" s="2926"/>
      <c r="O46" s="2926"/>
      <c r="P46" s="3332"/>
      <c r="Q46" s="1529">
        <f t="shared" si="11"/>
        <v>111</v>
      </c>
      <c r="R46" s="712" t="s">
        <v>17</v>
      </c>
      <c r="S46" s="713">
        <f t="shared" si="12"/>
        <v>100</v>
      </c>
      <c r="T46" s="712" t="s">
        <v>17</v>
      </c>
      <c r="U46" s="713">
        <f t="shared" si="13"/>
        <v>100</v>
      </c>
      <c r="V46" s="712" t="s">
        <v>17</v>
      </c>
      <c r="W46" s="713">
        <f t="shared" si="14"/>
        <v>100</v>
      </c>
      <c r="X46" s="1532"/>
      <c r="Y46" s="3334"/>
      <c r="Z46" s="1533">
        <f t="shared" si="15"/>
        <v>111</v>
      </c>
      <c r="AA46" s="1530">
        <f t="shared" si="3"/>
        <v>1</v>
      </c>
      <c r="AB46" s="1530">
        <f t="shared" si="4"/>
        <v>1</v>
      </c>
      <c r="AC46" s="2138">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2"/>
      <c r="M47" s="2926"/>
      <c r="N47" s="2926"/>
      <c r="O47" s="2926"/>
      <c r="P47" s="3333"/>
      <c r="Q47" s="1529">
        <f t="shared" si="11"/>
        <v>111</v>
      </c>
      <c r="R47" s="712" t="s">
        <v>17</v>
      </c>
      <c r="S47" s="713">
        <f t="shared" si="12"/>
        <v>100</v>
      </c>
      <c r="T47" s="712" t="s">
        <v>17</v>
      </c>
      <c r="U47" s="713">
        <f t="shared" si="13"/>
        <v>100</v>
      </c>
      <c r="V47" s="712" t="s">
        <v>17</v>
      </c>
      <c r="W47" s="713">
        <f t="shared" si="14"/>
        <v>100</v>
      </c>
      <c r="X47" s="1532"/>
      <c r="Y47" s="3335"/>
      <c r="Z47" s="1533">
        <f t="shared" si="15"/>
        <v>111</v>
      </c>
      <c r="AA47" s="1530">
        <f t="shared" si="3"/>
        <v>1</v>
      </c>
      <c r="AB47" s="1530">
        <f t="shared" si="4"/>
        <v>1</v>
      </c>
      <c r="AC47" s="2138">
        <f t="shared" si="5"/>
        <v>1</v>
      </c>
    </row>
    <row r="48" spans="1:29" ht="15">
      <c r="A48" s="438" t="s">
        <v>2397</v>
      </c>
      <c r="B48" s="439"/>
      <c r="C48" s="1311" t="s">
        <v>1</v>
      </c>
      <c r="D48" s="1312"/>
      <c r="E48" s="1313">
        <f>ROUND(D51*46067,0)</f>
        <v>44685</v>
      </c>
      <c r="F48" s="1314"/>
      <c r="G48" s="1313">
        <f>ROUND(D51*47077,0)</f>
        <v>45665</v>
      </c>
      <c r="H48" s="1316"/>
      <c r="I48" s="1313">
        <f>ROUND(D51*41407,0)</f>
        <v>40165</v>
      </c>
      <c r="J48" s="444"/>
      <c r="K48" s="721"/>
      <c r="L48" s="2934"/>
      <c r="M48" s="2926"/>
      <c r="N48" s="2926"/>
      <c r="O48" s="2926"/>
      <c r="P48" s="3309" t="str">
        <f>A48</f>
        <v>成交单价（元/平方米）</v>
      </c>
      <c r="Q48" s="3327"/>
      <c r="R48" s="3328">
        <f>E48</f>
        <v>44685</v>
      </c>
      <c r="S48" s="3328"/>
      <c r="T48" s="3328">
        <f>G48</f>
        <v>45665</v>
      </c>
      <c r="U48" s="3328"/>
      <c r="V48" s="3328">
        <f>I48</f>
        <v>40165</v>
      </c>
      <c r="W48" s="3328"/>
      <c r="X48" s="405"/>
      <c r="Y48" s="719"/>
      <c r="Z48" s="405"/>
      <c r="AA48" s="405"/>
      <c r="AB48" s="405"/>
      <c r="AC48" s="585"/>
    </row>
    <row r="49" spans="1:29" ht="15.75" thickBot="1">
      <c r="A49" s="445" t="s">
        <v>2489</v>
      </c>
      <c r="B49" s="446"/>
      <c r="C49" s="1317">
        <f>R50</f>
        <v>43332</v>
      </c>
      <c r="D49" s="2528" t="s">
        <v>2876</v>
      </c>
      <c r="E49" s="1318">
        <f>R49</f>
        <v>43383</v>
      </c>
      <c r="F49" s="2529"/>
      <c r="G49" s="1317">
        <f>T49</f>
        <v>44335</v>
      </c>
      <c r="H49" s="2529"/>
      <c r="I49" s="1318">
        <f>V49</f>
        <v>42279</v>
      </c>
      <c r="J49" s="2529"/>
      <c r="K49" s="2531">
        <f>F49+H49+J49</f>
        <v>0</v>
      </c>
      <c r="L49" s="2934"/>
      <c r="M49" s="2926"/>
      <c r="N49" s="2926"/>
      <c r="O49" s="2926"/>
      <c r="P49" s="3309" t="str">
        <f>A49</f>
        <v>比较价值（元/平方米）</v>
      </c>
      <c r="Q49" s="3327"/>
      <c r="R49" s="3328">
        <f>IF(F1="售价",ROUND(PRODUCT(R48,AA7:AA47),0),ROUND(PRODUCT(R48,AA7:AA47),1))</f>
        <v>43383</v>
      </c>
      <c r="S49" s="3328"/>
      <c r="T49" s="3328">
        <f>IF(F1="售价",ROUND(PRODUCT(T48,AB7:AB47),0),ROUND(PRODUCT(T48,AB7:AB47),1))</f>
        <v>44335</v>
      </c>
      <c r="U49" s="3328"/>
      <c r="V49" s="3328">
        <f>IF(F1="售价",ROUND(PRODUCT(V48,AC7:AC47),0),ROUND(PRODUCT(V48,AC7:AC47),1))</f>
        <v>42279</v>
      </c>
      <c r="W49" s="3328"/>
      <c r="X49" s="405"/>
      <c r="Y49" s="405"/>
      <c r="Z49" s="405"/>
      <c r="AA49" s="405"/>
      <c r="AB49" s="405"/>
      <c r="AC49" s="585"/>
    </row>
    <row r="50" spans="1:29" ht="15.75" thickBot="1">
      <c r="A50" s="449" t="s">
        <v>2490</v>
      </c>
      <c r="B50" s="450"/>
      <c r="C50" s="1320">
        <f>R50</f>
        <v>43332</v>
      </c>
      <c r="D50" s="1320"/>
      <c r="E50" s="1320"/>
      <c r="F50" s="1320"/>
      <c r="G50" s="1320"/>
      <c r="H50" s="1320"/>
      <c r="I50" s="1320"/>
      <c r="J50" s="451"/>
      <c r="K50" s="722"/>
      <c r="L50" s="2934"/>
      <c r="M50" s="2926"/>
      <c r="N50" s="2926"/>
      <c r="O50" s="2926"/>
      <c r="P50" s="3351" t="str">
        <f>A50</f>
        <v>估价对象XX用房的比较价值（楼面单价，元/平方米）</v>
      </c>
      <c r="Q50" s="3352"/>
      <c r="R50" s="3353">
        <f>IF(F1="售价",ROUND(IF(D49="简单平均",AVERAGE(R49:V49),R49*F49+T49*H49+V49*J49),0),ROUND(IF(D49="简单平均",AVERAGE(R49:V49),R49*F49+T49*H49+V49*J49),1))</f>
        <v>43332</v>
      </c>
      <c r="S50" s="3353"/>
      <c r="T50" s="3353"/>
      <c r="U50" s="3353"/>
      <c r="V50" s="3353"/>
      <c r="W50" s="3353"/>
      <c r="X50" s="2122"/>
      <c r="Y50" s="2122"/>
      <c r="Z50" s="2122"/>
      <c r="AA50" s="2122"/>
      <c r="AB50" s="2122"/>
      <c r="AC50" s="2123"/>
    </row>
    <row r="51" spans="1:29">
      <c r="A51" s="2935"/>
      <c r="B51" s="2935"/>
      <c r="C51" s="2935"/>
      <c r="D51" s="2935">
        <v>0.97</v>
      </c>
      <c r="E51" s="2935"/>
      <c r="F51" s="2935"/>
      <c r="G51" s="2939"/>
      <c r="H51" s="2935"/>
      <c r="I51" s="2935"/>
      <c r="J51" s="2935"/>
      <c r="K51" s="2940"/>
      <c r="L51" s="2936"/>
      <c r="M51" s="2935"/>
      <c r="N51" s="2935"/>
      <c r="O51" s="2935"/>
      <c r="P51" s="2966"/>
      <c r="Q51" s="2935"/>
      <c r="R51" s="2935"/>
      <c r="S51" s="2935"/>
      <c r="T51" s="2935"/>
      <c r="U51" s="2935"/>
      <c r="V51" s="2935"/>
      <c r="W51" s="2935"/>
      <c r="X51" s="2935"/>
      <c r="Y51" s="2935"/>
      <c r="Z51" s="2935"/>
      <c r="AA51" s="2935"/>
      <c r="AB51" s="2935"/>
      <c r="AC51" s="2935"/>
    </row>
    <row r="52" spans="1:29">
      <c r="A52" s="2935"/>
      <c r="B52" s="2935"/>
      <c r="C52" s="2935"/>
      <c r="D52" s="2935"/>
      <c r="E52" s="2935"/>
      <c r="F52" s="2935"/>
      <c r="G52" s="2935"/>
      <c r="H52" s="2935"/>
      <c r="I52" s="2935"/>
      <c r="J52" s="2935"/>
      <c r="K52" s="2940"/>
      <c r="L52" s="2936"/>
      <c r="M52" s="2935"/>
      <c r="N52" s="2935"/>
      <c r="O52" s="2935"/>
      <c r="P52" s="2966"/>
      <c r="Q52" s="2935"/>
      <c r="R52" s="2935"/>
      <c r="S52" s="2935"/>
      <c r="T52" s="2935"/>
      <c r="U52" s="2935"/>
      <c r="V52" s="2935"/>
      <c r="W52" s="2935"/>
      <c r="X52" s="2935"/>
      <c r="Y52" s="2935"/>
      <c r="Z52" s="2935"/>
      <c r="AA52" s="2935"/>
      <c r="AB52" s="2935"/>
      <c r="AC52" s="2935"/>
    </row>
    <row r="53" spans="1:29" ht="13.5" customHeight="1">
      <c r="A53" s="2935"/>
      <c r="B53" s="2935"/>
      <c r="C53" s="454" t="s">
        <v>2491</v>
      </c>
      <c r="D53" s="455"/>
      <c r="E53" s="456">
        <f>IF(E48&lt;E49,E49/E48-1,E48/E49-1)</f>
        <v>3.0011755756863323E-2</v>
      </c>
      <c r="F53" s="457" t="str">
        <f>IF(OR(E53&gt;=0.3,E53&lt;=-0.3),"超过30%","")</f>
        <v/>
      </c>
      <c r="G53" s="456">
        <f>IF(G48&lt;G49,G49/G48-1,G48/G49-1)</f>
        <v>2.9998872222848805E-2</v>
      </c>
      <c r="H53" s="457" t="str">
        <f>IF(OR(G53&gt;=0.3,G53&lt;=-0.3),"超过30%","")</f>
        <v/>
      </c>
      <c r="I53" s="456">
        <f>IF(I48&lt;I49,I49/I48-1,I48/I49-1)</f>
        <v>5.263288933150756E-2</v>
      </c>
      <c r="J53" s="457" t="str">
        <f>IF(OR(I53&gt;=0.3,I53&lt;=-0.3),"超过30%","")</f>
        <v/>
      </c>
      <c r="K53" s="2940"/>
      <c r="L53" s="2936"/>
      <c r="M53" s="2935"/>
      <c r="N53" s="2935"/>
      <c r="O53" s="2935"/>
      <c r="P53" s="2966"/>
      <c r="Q53" s="2935"/>
      <c r="R53" s="2935"/>
      <c r="S53" s="2935"/>
      <c r="T53" s="2935"/>
      <c r="U53" s="2935"/>
      <c r="V53" s="2935"/>
      <c r="W53" s="2935"/>
      <c r="X53" s="2935"/>
      <c r="Y53" s="2935"/>
      <c r="Z53" s="2935"/>
      <c r="AA53" s="2935"/>
      <c r="AB53" s="2935"/>
      <c r="AC53" s="2935"/>
    </row>
    <row r="54" spans="1:29" ht="13.5" customHeight="1">
      <c r="A54" s="2935"/>
      <c r="B54" s="2935"/>
      <c r="C54" s="454" t="s">
        <v>2492</v>
      </c>
      <c r="D54" s="458"/>
      <c r="E54" s="456">
        <f>IF(E49&lt;G49,G49/E49-1,E49/G49-1)</f>
        <v>2.1944079478136702E-2</v>
      </c>
      <c r="F54" s="457" t="str">
        <f>IF(OR(E54&gt;=0.2,E54&lt;=-0.2),"超过20%","")</f>
        <v/>
      </c>
      <c r="G54" s="456">
        <f>IF(G49&lt;I49,I49/G49-1,G49/I49-1)</f>
        <v>4.8629343172733597E-2</v>
      </c>
      <c r="H54" s="457" t="str">
        <f>IF(OR(G54&gt;=0.2,G54&lt;=-0.2),"超过20%","")</f>
        <v/>
      </c>
      <c r="I54" s="456">
        <f>IF(I49&lt;E49,E49/I49-1,I49/E49-1)</f>
        <v>2.6112254310650673E-2</v>
      </c>
      <c r="J54" s="457" t="str">
        <f>IF(OR(I54&gt;=0.2,I54&lt;=-0.2),"超过20%","")</f>
        <v/>
      </c>
      <c r="K54" s="2940"/>
      <c r="L54" s="2936"/>
      <c r="M54" s="2935"/>
      <c r="N54" s="2935"/>
      <c r="O54" s="2935"/>
      <c r="P54" s="2966"/>
      <c r="Q54" s="2935"/>
      <c r="R54" s="2935"/>
      <c r="S54" s="2935"/>
      <c r="T54" s="2935"/>
      <c r="U54" s="2935"/>
      <c r="V54" s="2935"/>
      <c r="W54" s="2935"/>
      <c r="X54" s="2935"/>
      <c r="Y54" s="2935"/>
      <c r="Z54" s="2935"/>
      <c r="AA54" s="2935"/>
      <c r="AB54" s="2935"/>
      <c r="AC54" s="2935"/>
    </row>
    <row r="55" spans="1:29" s="459" customFormat="1" ht="13.5" customHeight="1">
      <c r="A55" s="2938"/>
      <c r="B55" s="2938"/>
      <c r="C55" s="454" t="s">
        <v>2493</v>
      </c>
      <c r="D55" s="458"/>
      <c r="E55" s="456">
        <f>IF(E48&lt;G48,G48/E48-1,E48/G48-1)</f>
        <v>2.1931296855768112E-2</v>
      </c>
      <c r="F55" s="457" t="str">
        <f>IF(OR(E55&gt;=0.3,E55&lt;=-0.3),"超过30%","")</f>
        <v/>
      </c>
      <c r="G55" s="456">
        <f>IF(G48&lt;I48,I48/G48-1,G48/I48-1)</f>
        <v>0.13693514253703465</v>
      </c>
      <c r="H55" s="457" t="str">
        <f>IF(OR(G55&gt;=0.3,G55&lt;=-0.3),"超过30%","")</f>
        <v/>
      </c>
      <c r="I55" s="456">
        <f>IF(I48&lt;E48,E48/I48-1,I48/E48-1)</f>
        <v>0.11253578986679935</v>
      </c>
      <c r="J55" s="457" t="str">
        <f>IF(OR(I55&gt;=0.3,I55&lt;=-0.3),"超过30%","")</f>
        <v/>
      </c>
      <c r="K55" s="2943"/>
      <c r="L55" s="2937"/>
      <c r="M55" s="2938"/>
      <c r="N55" s="2938"/>
      <c r="O55" s="2938"/>
      <c r="P55" s="2967"/>
      <c r="Q55" s="2938"/>
      <c r="R55" s="2938"/>
      <c r="S55" s="2938"/>
      <c r="T55" s="2938"/>
      <c r="U55" s="2938"/>
      <c r="V55" s="2938"/>
      <c r="W55" s="2938"/>
      <c r="X55" s="2938"/>
      <c r="Y55" s="2938"/>
      <c r="Z55" s="2938"/>
      <c r="AA55" s="2938"/>
      <c r="AB55" s="2938"/>
      <c r="AC55" s="2938"/>
    </row>
    <row r="56" spans="1:29" s="459" customFormat="1">
      <c r="A56" s="2938"/>
      <c r="B56" s="2941"/>
      <c r="C56" s="2942"/>
      <c r="D56" s="2938"/>
      <c r="E56" s="2938"/>
      <c r="F56" s="2938"/>
      <c r="G56" s="2938"/>
      <c r="H56" s="2938"/>
      <c r="I56" s="2938"/>
      <c r="J56" s="2938"/>
      <c r="K56" s="2943"/>
      <c r="L56" s="2937"/>
      <c r="M56" s="2938"/>
      <c r="N56" s="2938"/>
      <c r="O56" s="2938"/>
      <c r="P56" s="2967"/>
      <c r="Q56" s="2938"/>
      <c r="R56" s="2938"/>
      <c r="S56" s="2938"/>
      <c r="T56" s="2938"/>
      <c r="U56" s="2938"/>
      <c r="V56" s="2938"/>
      <c r="W56" s="2938"/>
      <c r="X56" s="2938"/>
      <c r="Y56" s="2938"/>
      <c r="Z56" s="2938"/>
      <c r="AA56" s="2938"/>
      <c r="AB56" s="2938"/>
      <c r="AC56" s="2938"/>
    </row>
    <row r="57" spans="1:29">
      <c r="A57" s="2935"/>
      <c r="B57" s="2941"/>
      <c r="C57" s="2942"/>
      <c r="D57" s="2935"/>
      <c r="E57" s="2935"/>
      <c r="F57" s="2935"/>
      <c r="G57" s="2935"/>
      <c r="H57" s="2935"/>
      <c r="I57" s="2935"/>
      <c r="J57" s="2935"/>
      <c r="K57" s="2940"/>
      <c r="L57" s="2936"/>
      <c r="M57" s="2935"/>
      <c r="N57" s="2935"/>
      <c r="O57" s="2935"/>
      <c r="P57" s="2966"/>
      <c r="Q57" s="2935"/>
      <c r="R57" s="2935"/>
      <c r="S57" s="2935"/>
      <c r="T57" s="2935"/>
      <c r="U57" s="2935"/>
      <c r="V57" s="2935"/>
      <c r="W57" s="2935"/>
      <c r="X57" s="2935"/>
      <c r="Y57" s="2935"/>
      <c r="Z57" s="2935"/>
      <c r="AA57" s="2935"/>
      <c r="AB57" s="2935"/>
      <c r="AC57" s="2935"/>
    </row>
    <row r="58" spans="1:29" ht="21.75" thickBot="1">
      <c r="A58" s="701" t="s">
        <v>2494</v>
      </c>
      <c r="B58" s="697"/>
      <c r="C58" s="702"/>
      <c r="D58" s="702"/>
      <c r="E58" s="702"/>
      <c r="F58" s="703"/>
      <c r="G58" s="703"/>
      <c r="H58" s="702"/>
      <c r="I58" s="702"/>
      <c r="J58" s="702"/>
      <c r="K58" s="704"/>
      <c r="L58" s="1070"/>
      <c r="M58" s="1068"/>
      <c r="N58" s="2979"/>
      <c r="O58" s="2979"/>
      <c r="P58" s="2968"/>
      <c r="Q58" s="2949"/>
      <c r="R58" s="2935"/>
      <c r="S58" s="2935"/>
      <c r="T58" s="2935"/>
      <c r="U58" s="2935"/>
      <c r="V58" s="2935"/>
      <c r="W58" s="2935"/>
      <c r="X58" s="2935"/>
      <c r="Y58" s="2935"/>
      <c r="Z58" s="2935"/>
      <c r="AA58" s="2935"/>
      <c r="AB58" s="2935"/>
      <c r="AC58" s="2935"/>
    </row>
    <row r="59" spans="1:29" s="465" customFormat="1" ht="15">
      <c r="A59" s="462" t="s">
        <v>2368</v>
      </c>
      <c r="B59" s="463"/>
      <c r="C59" s="1341" t="str">
        <f>YEAR(C7)&amp;"-"&amp;MONTH(C7)</f>
        <v>2021-5</v>
      </c>
      <c r="D59" s="1342">
        <f>EDATE(C59,-1)</f>
        <v>44287</v>
      </c>
      <c r="E59" s="1342">
        <f>EDATE(D59,-1)</f>
        <v>44256</v>
      </c>
      <c r="F59" s="1342">
        <f t="shared" ref="F59:O59" si="16">EDATE(E59,-1)</f>
        <v>44228</v>
      </c>
      <c r="G59" s="1342">
        <f t="shared" si="16"/>
        <v>44197</v>
      </c>
      <c r="H59" s="1342">
        <f t="shared" si="16"/>
        <v>44166</v>
      </c>
      <c r="I59" s="1342">
        <f t="shared" si="16"/>
        <v>44136</v>
      </c>
      <c r="J59" s="1342">
        <f t="shared" si="16"/>
        <v>44105</v>
      </c>
      <c r="K59" s="1342">
        <f t="shared" si="16"/>
        <v>44075</v>
      </c>
      <c r="L59" s="1342">
        <f t="shared" si="16"/>
        <v>44044</v>
      </c>
      <c r="M59" s="1342">
        <f t="shared" si="16"/>
        <v>44013</v>
      </c>
      <c r="N59" s="1342">
        <f t="shared" si="16"/>
        <v>43983</v>
      </c>
      <c r="O59" s="1342">
        <f t="shared" si="16"/>
        <v>43952</v>
      </c>
      <c r="P59" s="2969"/>
      <c r="Q59" s="2951"/>
      <c r="R59" s="2951"/>
      <c r="S59" s="2951"/>
      <c r="T59" s="2951"/>
      <c r="U59" s="2951"/>
      <c r="V59" s="2951"/>
      <c r="W59" s="2951"/>
      <c r="X59" s="2951"/>
      <c r="Y59" s="2951"/>
      <c r="Z59" s="2951"/>
      <c r="AA59" s="2951"/>
      <c r="AB59" s="2951"/>
      <c r="AC59" s="2951"/>
    </row>
    <row r="60" spans="1:29" s="113" customFormat="1" ht="15">
      <c r="A60" s="466"/>
      <c r="B60" s="467"/>
      <c r="C60" s="1340">
        <v>100</v>
      </c>
      <c r="D60" s="469"/>
      <c r="E60" s="469"/>
      <c r="F60" s="469"/>
      <c r="G60" s="469"/>
      <c r="H60" s="469"/>
      <c r="I60" s="469"/>
      <c r="J60" s="469"/>
      <c r="K60" s="469"/>
      <c r="L60" s="469"/>
      <c r="M60" s="470"/>
      <c r="N60" s="469"/>
      <c r="O60" s="470"/>
      <c r="P60" s="2970"/>
      <c r="Q60" s="2870"/>
      <c r="R60" s="2870"/>
      <c r="S60" s="2870"/>
      <c r="T60" s="2870"/>
      <c r="U60" s="2870"/>
      <c r="V60" s="2870"/>
      <c r="W60" s="2870"/>
      <c r="X60" s="2870"/>
      <c r="Y60" s="2870"/>
      <c r="Z60" s="2870"/>
      <c r="AA60" s="2870"/>
      <c r="AB60" s="2870"/>
      <c r="AC60" s="2870"/>
    </row>
    <row r="61" spans="1:29" s="113" customFormat="1" ht="15.75" thickBot="1">
      <c r="A61" s="472" t="s">
        <v>2405</v>
      </c>
      <c r="B61" s="473"/>
      <c r="C61" s="474"/>
      <c r="D61" s="475"/>
      <c r="E61" s="475"/>
      <c r="F61" s="475"/>
      <c r="G61" s="475"/>
      <c r="H61" s="475"/>
      <c r="I61" s="475"/>
      <c r="J61" s="475"/>
      <c r="K61" s="475"/>
      <c r="L61" s="475"/>
      <c r="M61" s="476"/>
      <c r="N61" s="475"/>
      <c r="O61" s="476"/>
      <c r="P61" s="2970"/>
      <c r="Q61" s="2949"/>
      <c r="R61" s="2870"/>
      <c r="S61" s="2870"/>
      <c r="T61" s="2870"/>
      <c r="U61" s="2870"/>
      <c r="V61" s="2870"/>
      <c r="W61" s="2870"/>
      <c r="X61" s="2870"/>
      <c r="Y61" s="2870"/>
      <c r="Z61" s="2870"/>
      <c r="AA61" s="2870"/>
      <c r="AB61" s="2870"/>
      <c r="AC61" s="2870"/>
    </row>
    <row r="62" spans="1:29" s="113" customFormat="1" ht="15">
      <c r="A62" s="478" t="s">
        <v>2370</v>
      </c>
      <c r="B62" s="467"/>
      <c r="C62" s="479" t="s">
        <v>2472</v>
      </c>
      <c r="D62" s="480"/>
      <c r="E62" s="480"/>
      <c r="F62" s="480"/>
      <c r="G62" s="480"/>
      <c r="H62" s="480"/>
      <c r="I62" s="480"/>
      <c r="J62" s="480"/>
      <c r="K62" s="480"/>
      <c r="L62" s="481"/>
      <c r="M62" s="482"/>
      <c r="N62" s="2962"/>
      <c r="O62" s="2962"/>
      <c r="P62" s="2971"/>
      <c r="Q62" s="2949"/>
      <c r="R62" s="2870"/>
      <c r="S62" s="2870"/>
      <c r="T62" s="2870"/>
      <c r="U62" s="2870"/>
      <c r="V62" s="2870"/>
      <c r="W62" s="2870"/>
      <c r="X62" s="2870"/>
      <c r="Y62" s="2870"/>
      <c r="Z62" s="2870"/>
      <c r="AA62" s="2870"/>
      <c r="AB62" s="2870"/>
      <c r="AC62" s="2870"/>
    </row>
    <row r="63" spans="1:29" s="113" customFormat="1" ht="15.75" thickBot="1">
      <c r="A63" s="478"/>
      <c r="B63" s="467"/>
      <c r="C63" s="468">
        <v>100</v>
      </c>
      <c r="D63" s="469"/>
      <c r="E63" s="469"/>
      <c r="F63" s="469"/>
      <c r="G63" s="469"/>
      <c r="H63" s="469"/>
      <c r="I63" s="469"/>
      <c r="J63" s="469"/>
      <c r="K63" s="469"/>
      <c r="L63" s="469"/>
      <c r="M63" s="471"/>
      <c r="N63" s="2962"/>
      <c r="O63" s="2962"/>
      <c r="P63" s="2970"/>
      <c r="Q63" s="2949"/>
      <c r="R63" s="2870"/>
      <c r="S63" s="2870"/>
      <c r="T63" s="2870"/>
      <c r="U63" s="2870"/>
      <c r="V63" s="2870"/>
      <c r="W63" s="2870"/>
      <c r="X63" s="2870"/>
      <c r="Y63" s="2870"/>
      <c r="Z63" s="2870"/>
      <c r="AA63" s="2870"/>
      <c r="AB63" s="2870"/>
      <c r="AC63" s="2870"/>
    </row>
    <row r="64" spans="1:29">
      <c r="A64" s="484" t="s">
        <v>2408</v>
      </c>
      <c r="B64" s="485" t="s">
        <v>2374</v>
      </c>
      <c r="C64" s="486" t="str">
        <f>C9</f>
        <v>办公</v>
      </c>
      <c r="D64" s="487"/>
      <c r="E64" s="487"/>
      <c r="F64" s="487"/>
      <c r="G64" s="487"/>
      <c r="H64" s="487"/>
      <c r="I64" s="487"/>
      <c r="J64" s="487"/>
      <c r="K64" s="488"/>
      <c r="L64" s="489"/>
      <c r="M64" s="490"/>
      <c r="N64" s="2963"/>
      <c r="O64" s="2963"/>
      <c r="P64" s="2972"/>
      <c r="Q64" s="2949"/>
      <c r="R64" s="2935"/>
      <c r="S64" s="2935"/>
      <c r="T64" s="2935"/>
      <c r="U64" s="2935"/>
      <c r="V64" s="2935"/>
      <c r="W64" s="2935"/>
      <c r="X64" s="2935"/>
      <c r="Y64" s="2935"/>
      <c r="Z64" s="2935"/>
      <c r="AA64" s="2935"/>
      <c r="AB64" s="2935"/>
      <c r="AC64" s="2935"/>
    </row>
    <row r="65" spans="1:29" ht="15.75" thickBot="1">
      <c r="A65" s="491"/>
      <c r="B65" s="492"/>
      <c r="C65" s="493">
        <v>100</v>
      </c>
      <c r="D65" s="493"/>
      <c r="E65" s="493"/>
      <c r="F65" s="493"/>
      <c r="G65" s="493"/>
      <c r="H65" s="493"/>
      <c r="I65" s="493"/>
      <c r="J65" s="493"/>
      <c r="K65" s="493"/>
      <c r="L65" s="493"/>
      <c r="M65" s="494"/>
      <c r="N65" s="2964"/>
      <c r="O65" s="2964"/>
      <c r="P65" s="2972"/>
      <c r="Q65" s="2949"/>
      <c r="R65" s="2935"/>
      <c r="S65" s="2935"/>
      <c r="T65" s="2935"/>
      <c r="U65" s="2935"/>
      <c r="V65" s="2935"/>
      <c r="W65" s="2935"/>
      <c r="X65" s="2935"/>
      <c r="Y65" s="2935"/>
      <c r="Z65" s="2935"/>
      <c r="AA65" s="2935"/>
      <c r="AB65" s="2935"/>
      <c r="AC65" s="293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3"/>
      <c r="O66" s="2963"/>
      <c r="P66" s="2972"/>
      <c r="Q66" s="2949"/>
      <c r="R66" s="2935"/>
      <c r="S66" s="2935"/>
      <c r="T66" s="2935"/>
      <c r="U66" s="2935"/>
      <c r="V66" s="2935"/>
      <c r="W66" s="2935"/>
      <c r="X66" s="2935"/>
      <c r="Y66" s="2935"/>
      <c r="Z66" s="2935"/>
      <c r="AA66" s="2935"/>
      <c r="AB66" s="2935"/>
      <c r="AC66" s="2935"/>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64"/>
      <c r="O67" s="2964"/>
      <c r="P67" s="2972"/>
      <c r="Q67" s="2949"/>
      <c r="R67" s="2935"/>
      <c r="S67" s="2935"/>
      <c r="T67" s="2935"/>
      <c r="U67" s="2935"/>
      <c r="V67" s="2935"/>
      <c r="W67" s="2935"/>
      <c r="X67" s="2935"/>
      <c r="Y67" s="2935"/>
      <c r="Z67" s="2935"/>
      <c r="AA67" s="2935"/>
      <c r="AB67" s="2935"/>
      <c r="AC67" s="2935"/>
    </row>
    <row r="68" spans="1:29" ht="15.75" thickTop="1">
      <c r="A68" s="491"/>
      <c r="B68" s="503" t="s">
        <v>2378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4"/>
      <c r="O68" s="2964"/>
      <c r="P68" s="2972"/>
      <c r="Q68" s="2949"/>
      <c r="R68" s="2935"/>
      <c r="S68" s="2935"/>
      <c r="T68" s="2935"/>
      <c r="U68" s="2935"/>
      <c r="V68" s="2935"/>
      <c r="W68" s="2935"/>
      <c r="X68" s="2935"/>
      <c r="Y68" s="2935"/>
      <c r="Z68" s="2935"/>
      <c r="AA68" s="2935"/>
      <c r="AB68" s="2935"/>
      <c r="AC68" s="2935"/>
    </row>
    <row r="69" spans="1:29" ht="15">
      <c r="A69" s="491"/>
      <c r="B69" s="505"/>
      <c r="C69" s="506">
        <v>0</v>
      </c>
      <c r="D69" s="506">
        <v>1</v>
      </c>
      <c r="E69" s="506">
        <v>2</v>
      </c>
      <c r="F69" s="506">
        <v>3</v>
      </c>
      <c r="G69" s="506"/>
      <c r="H69" s="506"/>
      <c r="I69" s="506"/>
      <c r="J69" s="506"/>
      <c r="K69" s="507"/>
      <c r="L69" s="508"/>
      <c r="M69" s="509"/>
      <c r="N69" s="2963"/>
      <c r="O69" s="2963"/>
      <c r="P69" s="2972"/>
      <c r="Q69" s="2949"/>
      <c r="R69" s="2935"/>
      <c r="S69" s="2935"/>
      <c r="T69" s="2935"/>
      <c r="U69" s="2935"/>
      <c r="V69" s="2935"/>
      <c r="W69" s="2935"/>
      <c r="X69" s="2935"/>
      <c r="Y69" s="2935"/>
      <c r="Z69" s="2935"/>
      <c r="AA69" s="2935"/>
      <c r="AB69" s="2935"/>
      <c r="AC69" s="293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4"/>
      <c r="O70" s="2964"/>
      <c r="P70" s="2972"/>
      <c r="Q70" s="2949"/>
      <c r="R70" s="2935"/>
      <c r="S70" s="2935"/>
      <c r="T70" s="2935"/>
      <c r="U70" s="2935"/>
      <c r="V70" s="2935"/>
      <c r="W70" s="2935"/>
      <c r="X70" s="2935"/>
      <c r="Y70" s="2935"/>
      <c r="Z70" s="2935"/>
      <c r="AA70" s="2935"/>
      <c r="AB70" s="2935"/>
      <c r="AC70" s="2935"/>
    </row>
    <row r="71" spans="1:29" s="430" customFormat="1" ht="15.75" thickTop="1">
      <c r="A71" s="510"/>
      <c r="B71" s="495">
        <f>B12</f>
        <v>111</v>
      </c>
      <c r="C71" s="511"/>
      <c r="D71" s="511"/>
      <c r="E71" s="511"/>
      <c r="F71" s="511"/>
      <c r="G71" s="511"/>
      <c r="H71" s="512"/>
      <c r="I71" s="512"/>
      <c r="J71" s="512"/>
      <c r="K71" s="512"/>
      <c r="L71" s="513"/>
      <c r="M71" s="514"/>
      <c r="N71" s="2965"/>
      <c r="O71" s="2965"/>
      <c r="P71" s="2973"/>
      <c r="Q71" s="2956"/>
      <c r="R71" s="2957"/>
      <c r="S71" s="2957"/>
      <c r="T71" s="2957"/>
      <c r="U71" s="2957"/>
      <c r="V71" s="2957"/>
      <c r="W71" s="2957"/>
      <c r="X71" s="2957"/>
      <c r="Y71" s="2957"/>
      <c r="Z71" s="2957"/>
      <c r="AA71" s="2957"/>
      <c r="AB71" s="2957"/>
      <c r="AC71" s="2957"/>
    </row>
    <row r="72" spans="1:29" s="430" customFormat="1" ht="15.75" thickBot="1">
      <c r="A72" s="510"/>
      <c r="B72" s="500"/>
      <c r="C72" s="517"/>
      <c r="D72" s="493"/>
      <c r="E72" s="493"/>
      <c r="F72" s="493"/>
      <c r="G72" s="493"/>
      <c r="H72" s="493"/>
      <c r="I72" s="493"/>
      <c r="J72" s="493"/>
      <c r="K72" s="493"/>
      <c r="L72" s="493"/>
      <c r="M72" s="494"/>
      <c r="N72" s="2964"/>
      <c r="O72" s="2964"/>
      <c r="P72" s="2973"/>
      <c r="Q72" s="2956"/>
      <c r="R72" s="2957"/>
      <c r="S72" s="2957"/>
      <c r="T72" s="2957"/>
      <c r="U72" s="2957"/>
      <c r="V72" s="2957"/>
      <c r="W72" s="2957"/>
      <c r="X72" s="2957"/>
      <c r="Y72" s="2957"/>
      <c r="Z72" s="2957"/>
      <c r="AA72" s="2957"/>
      <c r="AB72" s="2957"/>
      <c r="AC72" s="2957"/>
    </row>
    <row r="73" spans="1:29" s="430" customFormat="1" ht="15.75" thickTop="1">
      <c r="A73" s="510"/>
      <c r="B73" s="495">
        <f>B13</f>
        <v>111</v>
      </c>
      <c r="C73" s="511"/>
      <c r="D73" s="511"/>
      <c r="E73" s="511"/>
      <c r="F73" s="511"/>
      <c r="G73" s="511"/>
      <c r="H73" s="512"/>
      <c r="I73" s="512"/>
      <c r="J73" s="512"/>
      <c r="K73" s="512"/>
      <c r="L73" s="513"/>
      <c r="M73" s="514"/>
      <c r="N73" s="2965"/>
      <c r="O73" s="2965"/>
      <c r="P73" s="2974"/>
      <c r="Q73" s="2959"/>
      <c r="R73" s="2957"/>
      <c r="S73" s="2957"/>
      <c r="T73" s="2957"/>
      <c r="U73" s="2957"/>
      <c r="V73" s="2957"/>
      <c r="W73" s="2957"/>
      <c r="X73" s="2957"/>
      <c r="Y73" s="2957"/>
      <c r="Z73" s="2957"/>
      <c r="AA73" s="2957"/>
      <c r="AB73" s="2957"/>
      <c r="AC73" s="2957"/>
    </row>
    <row r="74" spans="1:29" s="430" customFormat="1" ht="15.75" thickBot="1">
      <c r="A74" s="510"/>
      <c r="B74" s="500"/>
      <c r="C74" s="517"/>
      <c r="D74" s="517"/>
      <c r="E74" s="517"/>
      <c r="F74" s="517"/>
      <c r="G74" s="517"/>
      <c r="H74" s="519"/>
      <c r="I74" s="519"/>
      <c r="J74" s="519"/>
      <c r="K74" s="519"/>
      <c r="L74" s="519"/>
      <c r="M74" s="520"/>
      <c r="N74" s="2965"/>
      <c r="O74" s="2965"/>
      <c r="P74" s="2973"/>
      <c r="Q74" s="2956"/>
      <c r="R74" s="2957"/>
      <c r="S74" s="2957"/>
      <c r="T74" s="2957"/>
      <c r="U74" s="2957"/>
      <c r="V74" s="2957"/>
      <c r="W74" s="2957"/>
      <c r="X74" s="2957"/>
      <c r="Y74" s="2957"/>
      <c r="Z74" s="2957"/>
      <c r="AA74" s="2957"/>
      <c r="AB74" s="2957"/>
      <c r="AC74" s="2957"/>
    </row>
    <row r="75" spans="1:29" s="430" customFormat="1" ht="15.75" thickTop="1">
      <c r="A75" s="510"/>
      <c r="B75" s="503">
        <f>B14</f>
        <v>111</v>
      </c>
      <c r="C75" s="480"/>
      <c r="D75" s="480"/>
      <c r="E75" s="480"/>
      <c r="F75" s="480"/>
      <c r="G75" s="480"/>
      <c r="H75" s="521"/>
      <c r="I75" s="521"/>
      <c r="J75" s="521"/>
      <c r="K75" s="521"/>
      <c r="L75" s="522"/>
      <c r="M75" s="523"/>
      <c r="N75" s="2965"/>
      <c r="O75" s="2965"/>
      <c r="P75" s="2975"/>
      <c r="Q75" s="2956"/>
      <c r="R75" s="2957"/>
      <c r="S75" s="2957"/>
      <c r="T75" s="2957"/>
      <c r="U75" s="2957"/>
      <c r="V75" s="2957"/>
      <c r="W75" s="2957"/>
      <c r="X75" s="2957"/>
      <c r="Y75" s="2957"/>
      <c r="Z75" s="2957"/>
      <c r="AA75" s="2957"/>
      <c r="AB75" s="2957"/>
      <c r="AC75" s="2957"/>
    </row>
    <row r="76" spans="1:29" s="430" customFormat="1" ht="15.75" thickBot="1">
      <c r="A76" s="525"/>
      <c r="B76" s="526"/>
      <c r="C76" s="527"/>
      <c r="D76" s="527"/>
      <c r="E76" s="527"/>
      <c r="F76" s="527"/>
      <c r="G76" s="527"/>
      <c r="H76" s="528"/>
      <c r="I76" s="528"/>
      <c r="J76" s="528"/>
      <c r="K76" s="528"/>
      <c r="L76" s="528"/>
      <c r="M76" s="529"/>
      <c r="N76" s="2965"/>
      <c r="O76" s="2965"/>
      <c r="P76" s="2973"/>
      <c r="Q76" s="2956"/>
      <c r="R76" s="2957"/>
      <c r="S76" s="2957"/>
      <c r="T76" s="2957"/>
      <c r="U76" s="2957"/>
      <c r="V76" s="2957"/>
      <c r="W76" s="2957"/>
      <c r="X76" s="2957"/>
      <c r="Y76" s="2957"/>
      <c r="Z76" s="2957"/>
      <c r="AA76" s="2957"/>
      <c r="AB76" s="2957"/>
      <c r="AC76" s="2957"/>
    </row>
    <row r="77" spans="1:29">
      <c r="A77" s="484" t="s">
        <v>2379</v>
      </c>
      <c r="B77" s="485" t="s">
        <v>2517</v>
      </c>
      <c r="C77" s="530" t="s">
        <v>2417</v>
      </c>
      <c r="D77" s="530" t="s">
        <v>2418</v>
      </c>
      <c r="E77" s="530" t="s">
        <v>2419</v>
      </c>
      <c r="F77" s="530" t="s">
        <v>2420</v>
      </c>
      <c r="G77" s="530" t="s">
        <v>2421</v>
      </c>
      <c r="H77" s="486"/>
      <c r="I77" s="486"/>
      <c r="J77" s="486"/>
      <c r="K77" s="531"/>
      <c r="L77" s="532"/>
      <c r="M77" s="533"/>
      <c r="N77" s="2963"/>
      <c r="O77" s="2963"/>
      <c r="P77" s="2976"/>
      <c r="Q77" s="2949"/>
      <c r="R77" s="2935"/>
      <c r="S77" s="2935"/>
      <c r="T77" s="2935"/>
      <c r="U77" s="2935"/>
      <c r="V77" s="2935"/>
      <c r="W77" s="2935"/>
      <c r="X77" s="2935"/>
      <c r="Y77" s="2935"/>
      <c r="Z77" s="2935"/>
      <c r="AA77" s="2935"/>
      <c r="AB77" s="2935"/>
      <c r="AC77" s="2935"/>
    </row>
    <row r="78" spans="1:29" ht="15.75" thickBot="1">
      <c r="A78" s="491"/>
      <c r="B78" s="500"/>
      <c r="C78" s="501">
        <v>100</v>
      </c>
      <c r="D78" s="501">
        <f>C78-$K15</f>
        <v>97</v>
      </c>
      <c r="E78" s="501">
        <f>D78-$K15</f>
        <v>94</v>
      </c>
      <c r="F78" s="501">
        <f>E78-$K15</f>
        <v>91</v>
      </c>
      <c r="G78" s="501">
        <f>F78-$K15</f>
        <v>88</v>
      </c>
      <c r="H78" s="501"/>
      <c r="I78" s="501"/>
      <c r="J78" s="501"/>
      <c r="K78" s="501"/>
      <c r="L78" s="501"/>
      <c r="M78" s="502"/>
      <c r="N78" s="2964"/>
      <c r="O78" s="2964"/>
      <c r="P78" s="2972"/>
      <c r="Q78" s="2949"/>
      <c r="R78" s="2935"/>
      <c r="S78" s="2935"/>
      <c r="T78" s="2935"/>
      <c r="U78" s="2935"/>
      <c r="V78" s="2935"/>
      <c r="W78" s="2935"/>
      <c r="X78" s="2935"/>
      <c r="Y78" s="2935"/>
      <c r="Z78" s="2935"/>
      <c r="AA78" s="2935"/>
      <c r="AB78" s="2935"/>
      <c r="AC78" s="2935"/>
    </row>
    <row r="79" spans="1:29" ht="15.75" thickTop="1">
      <c r="A79" s="491"/>
      <c r="B79" s="495" t="s">
        <v>2422</v>
      </c>
      <c r="C79" s="535" t="s">
        <v>2417</v>
      </c>
      <c r="D79" s="535" t="s">
        <v>2418</v>
      </c>
      <c r="E79" s="535" t="s">
        <v>2419</v>
      </c>
      <c r="F79" s="535" t="s">
        <v>2420</v>
      </c>
      <c r="G79" s="535" t="s">
        <v>2421</v>
      </c>
      <c r="H79" s="496"/>
      <c r="I79" s="496"/>
      <c r="J79" s="496"/>
      <c r="K79" s="497"/>
      <c r="L79" s="498"/>
      <c r="M79" s="499"/>
      <c r="N79" s="2963"/>
      <c r="O79" s="2963"/>
      <c r="P79" s="2972"/>
      <c r="Q79" s="2949"/>
      <c r="R79" s="2935"/>
      <c r="S79" s="2935"/>
      <c r="T79" s="2935"/>
      <c r="U79" s="2935"/>
      <c r="V79" s="2935"/>
      <c r="W79" s="2935"/>
      <c r="X79" s="2935"/>
      <c r="Y79" s="2935"/>
      <c r="Z79" s="2935"/>
      <c r="AA79" s="2935"/>
      <c r="AB79" s="2935"/>
      <c r="AC79" s="2935"/>
    </row>
    <row r="80" spans="1:29" ht="15.75" thickBot="1">
      <c r="A80" s="491"/>
      <c r="B80" s="500"/>
      <c r="C80" s="501">
        <v>100</v>
      </c>
      <c r="D80" s="501">
        <f>C80-$K17</f>
        <v>97</v>
      </c>
      <c r="E80" s="501">
        <f>D80-$K17</f>
        <v>94</v>
      </c>
      <c r="F80" s="501">
        <f>E80-$K17</f>
        <v>91</v>
      </c>
      <c r="G80" s="501">
        <f>F80-$K17</f>
        <v>88</v>
      </c>
      <c r="H80" s="501"/>
      <c r="I80" s="501"/>
      <c r="J80" s="501"/>
      <c r="K80" s="501"/>
      <c r="L80" s="501"/>
      <c r="M80" s="502"/>
      <c r="N80" s="2964"/>
      <c r="O80" s="2964"/>
      <c r="P80" s="2972"/>
      <c r="Q80" s="2949"/>
      <c r="R80" s="2935"/>
      <c r="S80" s="2935"/>
      <c r="T80" s="2935"/>
      <c r="U80" s="2935"/>
      <c r="V80" s="2935"/>
      <c r="W80" s="2935"/>
      <c r="X80" s="2935"/>
      <c r="Y80" s="2935"/>
      <c r="Z80" s="2935"/>
      <c r="AA80" s="2935"/>
      <c r="AB80" s="2935"/>
      <c r="AC80" s="2935"/>
    </row>
    <row r="81" spans="1:29" ht="15.75" thickTop="1">
      <c r="A81" s="491"/>
      <c r="B81" s="495" t="s">
        <v>2423</v>
      </c>
      <c r="C81" s="535" t="s">
        <v>2417</v>
      </c>
      <c r="D81" s="535" t="s">
        <v>2418</v>
      </c>
      <c r="E81" s="535" t="s">
        <v>2419</v>
      </c>
      <c r="F81" s="535" t="s">
        <v>2420</v>
      </c>
      <c r="G81" s="535" t="s">
        <v>2421</v>
      </c>
      <c r="H81" s="496"/>
      <c r="I81" s="496"/>
      <c r="J81" s="496"/>
      <c r="K81" s="497"/>
      <c r="L81" s="498"/>
      <c r="M81" s="499"/>
      <c r="N81" s="2963"/>
      <c r="O81" s="2963"/>
      <c r="P81" s="2972"/>
      <c r="Q81" s="2949"/>
      <c r="R81" s="2935"/>
      <c r="S81" s="2935"/>
      <c r="T81" s="2935"/>
      <c r="U81" s="2935"/>
      <c r="V81" s="2935"/>
      <c r="W81" s="2935"/>
      <c r="X81" s="2935"/>
      <c r="Y81" s="2935"/>
      <c r="Z81" s="2935"/>
      <c r="AA81" s="2935"/>
      <c r="AB81" s="2935"/>
      <c r="AC81" s="2935"/>
    </row>
    <row r="82" spans="1:29" ht="15.75" thickBot="1">
      <c r="A82" s="491"/>
      <c r="B82" s="500"/>
      <c r="C82" s="501">
        <v>100</v>
      </c>
      <c r="D82" s="501">
        <f>C82-$K19</f>
        <v>98</v>
      </c>
      <c r="E82" s="501">
        <f>D82-$K19</f>
        <v>96</v>
      </c>
      <c r="F82" s="501">
        <f>E82-$K19</f>
        <v>94</v>
      </c>
      <c r="G82" s="501">
        <f>F82-$K19</f>
        <v>92</v>
      </c>
      <c r="H82" s="501"/>
      <c r="I82" s="501"/>
      <c r="J82" s="501"/>
      <c r="K82" s="501"/>
      <c r="L82" s="501"/>
      <c r="M82" s="502"/>
      <c r="N82" s="2964"/>
      <c r="O82" s="2964"/>
      <c r="P82" s="2972"/>
      <c r="Q82" s="2949"/>
      <c r="R82" s="2935"/>
      <c r="S82" s="2935"/>
      <c r="T82" s="2935"/>
      <c r="U82" s="2935"/>
      <c r="V82" s="2935"/>
      <c r="W82" s="2935"/>
      <c r="X82" s="2935"/>
      <c r="Y82" s="2935"/>
      <c r="Z82" s="2935"/>
      <c r="AA82" s="2935"/>
      <c r="AB82" s="2935"/>
      <c r="AC82" s="2935"/>
    </row>
    <row r="83" spans="1:29" ht="15.75" thickTop="1">
      <c r="A83" s="491"/>
      <c r="B83" s="503" t="s">
        <v>2509</v>
      </c>
      <c r="C83" s="615" t="s">
        <v>2495</v>
      </c>
      <c r="D83" s="615" t="s">
        <v>2496</v>
      </c>
      <c r="E83" s="615" t="s">
        <v>2497</v>
      </c>
      <c r="F83" s="615" t="s">
        <v>2498</v>
      </c>
      <c r="G83" s="615" t="s">
        <v>2499</v>
      </c>
      <c r="H83" s="496"/>
      <c r="I83" s="496"/>
      <c r="J83" s="496"/>
      <c r="K83" s="496"/>
      <c r="L83" s="496"/>
      <c r="M83" s="1286"/>
      <c r="N83" s="2964"/>
      <c r="O83" s="2964"/>
      <c r="P83" s="2972"/>
      <c r="Q83" s="2949"/>
      <c r="R83" s="2935"/>
      <c r="S83" s="2935"/>
      <c r="T83" s="2935"/>
      <c r="U83" s="2935"/>
      <c r="V83" s="2935"/>
      <c r="W83" s="2935"/>
      <c r="X83" s="2935"/>
      <c r="Y83" s="2935"/>
      <c r="Z83" s="2935"/>
      <c r="AA83" s="2935"/>
      <c r="AB83" s="2935"/>
      <c r="AC83" s="2935"/>
    </row>
    <row r="84" spans="1:29" ht="15.75" thickBot="1">
      <c r="A84" s="491"/>
      <c r="B84" s="503"/>
      <c r="C84" s="501">
        <v>100</v>
      </c>
      <c r="D84" s="501">
        <f>C84-$K21</f>
        <v>99</v>
      </c>
      <c r="E84" s="501">
        <f>D84-$K21</f>
        <v>98</v>
      </c>
      <c r="F84" s="501">
        <f>E84-$K21</f>
        <v>97</v>
      </c>
      <c r="G84" s="501">
        <f>F84-$K21</f>
        <v>96</v>
      </c>
      <c r="H84" s="615"/>
      <c r="I84" s="615"/>
      <c r="J84" s="615"/>
      <c r="K84" s="615"/>
      <c r="L84" s="615"/>
      <c r="M84" s="409"/>
      <c r="N84" s="2964"/>
      <c r="O84" s="2964"/>
      <c r="P84" s="2972"/>
      <c r="Q84" s="2949"/>
      <c r="R84" s="2935"/>
      <c r="S84" s="2935"/>
      <c r="T84" s="2935"/>
      <c r="U84" s="2935"/>
      <c r="V84" s="2935"/>
      <c r="W84" s="2935"/>
      <c r="X84" s="2935"/>
      <c r="Y84" s="2935"/>
      <c r="Z84" s="2935"/>
      <c r="AA84" s="2935"/>
      <c r="AB84" s="2935"/>
      <c r="AC84" s="2935"/>
    </row>
    <row r="85" spans="1:29" ht="15.75" thickTop="1">
      <c r="A85" s="491"/>
      <c r="B85" s="495" t="s">
        <v>2518</v>
      </c>
      <c r="C85" s="535" t="s">
        <v>2417</v>
      </c>
      <c r="D85" s="535" t="s">
        <v>2418</v>
      </c>
      <c r="E85" s="535" t="s">
        <v>2419</v>
      </c>
      <c r="F85" s="535" t="s">
        <v>2420</v>
      </c>
      <c r="G85" s="535" t="s">
        <v>2421</v>
      </c>
      <c r="H85" s="496"/>
      <c r="I85" s="496"/>
      <c r="J85" s="496"/>
      <c r="K85" s="497"/>
      <c r="L85" s="498"/>
      <c r="M85" s="499"/>
      <c r="N85" s="2963"/>
      <c r="O85" s="2963"/>
      <c r="P85" s="2972"/>
      <c r="Q85" s="2949"/>
      <c r="R85" s="2935"/>
      <c r="S85" s="2935"/>
      <c r="T85" s="2935"/>
      <c r="U85" s="2935"/>
      <c r="V85" s="2935"/>
      <c r="W85" s="2935"/>
      <c r="X85" s="2935"/>
      <c r="Y85" s="2935"/>
      <c r="Z85" s="2935"/>
      <c r="AA85" s="2935"/>
      <c r="AB85" s="2935"/>
      <c r="AC85" s="2935"/>
    </row>
    <row r="86" spans="1:29" ht="15.75" thickBot="1">
      <c r="A86" s="491"/>
      <c r="B86" s="500"/>
      <c r="C86" s="501">
        <v>100</v>
      </c>
      <c r="D86" s="501">
        <f>C86-$K23</f>
        <v>97</v>
      </c>
      <c r="E86" s="501">
        <f>D86-$K23</f>
        <v>94</v>
      </c>
      <c r="F86" s="501">
        <f>E86-$K23</f>
        <v>91</v>
      </c>
      <c r="G86" s="501">
        <f>F86-$K23</f>
        <v>88</v>
      </c>
      <c r="H86" s="501"/>
      <c r="I86" s="501"/>
      <c r="J86" s="501"/>
      <c r="K86" s="501"/>
      <c r="L86" s="501"/>
      <c r="M86" s="502"/>
      <c r="N86" s="2964"/>
      <c r="O86" s="2964"/>
      <c r="P86" s="2972"/>
      <c r="Q86" s="2949"/>
      <c r="R86" s="2935"/>
      <c r="S86" s="2935"/>
      <c r="T86" s="2935"/>
      <c r="U86" s="2935"/>
      <c r="V86" s="2935"/>
      <c r="W86" s="2935"/>
      <c r="X86" s="2935"/>
      <c r="Y86" s="2935"/>
      <c r="Z86" s="2935"/>
      <c r="AA86" s="2935"/>
      <c r="AB86" s="2935"/>
      <c r="AC86" s="2935"/>
    </row>
    <row r="87" spans="1:29" s="113" customFormat="1" ht="27.75" thickTop="1">
      <c r="A87" s="536"/>
      <c r="B87" s="495" t="s">
        <v>2519</v>
      </c>
      <c r="C87" s="3043" t="s">
        <v>3118</v>
      </c>
      <c r="D87" s="3043" t="s">
        <v>3119</v>
      </c>
      <c r="E87" s="3043" t="s">
        <v>3120</v>
      </c>
      <c r="F87" s="3043" t="s">
        <v>3121</v>
      </c>
      <c r="G87" s="511"/>
      <c r="H87" s="511"/>
      <c r="I87" s="511"/>
      <c r="J87" s="511"/>
      <c r="K87" s="511"/>
      <c r="L87" s="537"/>
      <c r="M87" s="538"/>
      <c r="N87" s="2962"/>
      <c r="O87" s="2962"/>
      <c r="P87" s="2972"/>
      <c r="Q87" s="2949"/>
      <c r="R87" s="2870"/>
      <c r="S87" s="2870"/>
      <c r="T87" s="2870"/>
      <c r="U87" s="2870"/>
      <c r="V87" s="2870"/>
      <c r="W87" s="2870"/>
      <c r="X87" s="2870"/>
      <c r="Y87" s="2870"/>
      <c r="Z87" s="2870"/>
      <c r="AA87" s="2870"/>
      <c r="AB87" s="2870"/>
      <c r="AC87" s="2870"/>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64"/>
      <c r="O88" s="2964"/>
      <c r="P88" s="2972"/>
      <c r="Q88" s="2949"/>
      <c r="R88" s="2870"/>
      <c r="S88" s="2870"/>
      <c r="T88" s="2870"/>
      <c r="U88" s="2870"/>
      <c r="V88" s="2870"/>
      <c r="W88" s="2870"/>
      <c r="X88" s="2870"/>
      <c r="Y88" s="2870"/>
      <c r="Z88" s="2870"/>
      <c r="AA88" s="2870"/>
      <c r="AB88" s="2870"/>
      <c r="AC88" s="2870"/>
    </row>
    <row r="89" spans="1:29" s="113" customFormat="1" ht="15.75" thickTop="1">
      <c r="A89" s="536"/>
      <c r="B89" s="495" t="str">
        <f>B27</f>
        <v>楼层</v>
      </c>
      <c r="C89" s="3043" t="s">
        <v>3122</v>
      </c>
      <c r="D89" s="3043" t="s">
        <v>3123</v>
      </c>
      <c r="E89" s="3043" t="s">
        <v>3124</v>
      </c>
      <c r="F89" s="2103"/>
      <c r="G89" s="511"/>
      <c r="H89" s="511"/>
      <c r="I89" s="511"/>
      <c r="J89" s="511"/>
      <c r="K89" s="511"/>
      <c r="L89" s="511"/>
      <c r="M89" s="538"/>
      <c r="N89" s="2962"/>
      <c r="O89" s="2962"/>
      <c r="P89" s="2972"/>
      <c r="Q89" s="2949"/>
      <c r="R89" s="2870"/>
      <c r="S89" s="2870"/>
      <c r="T89" s="2870"/>
      <c r="U89" s="2870"/>
      <c r="V89" s="2870"/>
      <c r="W89" s="2870"/>
      <c r="X89" s="2870"/>
      <c r="Y89" s="2870"/>
      <c r="Z89" s="2870"/>
      <c r="AA89" s="2870"/>
      <c r="AB89" s="2870"/>
      <c r="AC89" s="2870"/>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64"/>
      <c r="O90" s="2964"/>
      <c r="P90" s="2972"/>
      <c r="Q90" s="2949"/>
      <c r="R90" s="2870"/>
      <c r="S90" s="2870"/>
      <c r="T90" s="2870"/>
      <c r="U90" s="2870"/>
      <c r="V90" s="2870"/>
      <c r="W90" s="2870"/>
      <c r="X90" s="2870"/>
      <c r="Y90" s="2870"/>
      <c r="Z90" s="2870"/>
      <c r="AA90" s="2870"/>
      <c r="AB90" s="2870"/>
      <c r="AC90" s="2870"/>
    </row>
    <row r="91" spans="1:29" s="430" customFormat="1" ht="15.75" thickTop="1">
      <c r="A91" s="510"/>
      <c r="B91" s="495" t="str">
        <f>B28</f>
        <v>朝向</v>
      </c>
      <c r="C91" s="3043" t="s">
        <v>3126</v>
      </c>
      <c r="D91" s="3043" t="s">
        <v>3128</v>
      </c>
      <c r="E91" s="511"/>
      <c r="F91" s="511"/>
      <c r="G91" s="511"/>
      <c r="H91" s="512"/>
      <c r="I91" s="512"/>
      <c r="J91" s="512"/>
      <c r="K91" s="512"/>
      <c r="L91" s="513"/>
      <c r="M91" s="514"/>
      <c r="N91" s="2965"/>
      <c r="O91" s="2965"/>
      <c r="P91" s="2973"/>
      <c r="Q91" s="2956"/>
      <c r="R91" s="2957"/>
      <c r="S91" s="2957"/>
      <c r="T91" s="2957"/>
      <c r="U91" s="2957"/>
      <c r="V91" s="2957"/>
      <c r="W91" s="2957"/>
      <c r="X91" s="2957"/>
      <c r="Y91" s="2957"/>
      <c r="Z91" s="2957"/>
      <c r="AA91" s="2957"/>
      <c r="AB91" s="2957"/>
      <c r="AC91" s="2957"/>
    </row>
    <row r="92" spans="1:29" s="430" customFormat="1" ht="15.75" thickBot="1">
      <c r="A92" s="510"/>
      <c r="B92" s="500"/>
      <c r="C92" s="539">
        <v>100</v>
      </c>
      <c r="D92" s="501">
        <f t="shared" ref="D92:M92" si="21">C92-$K28</f>
        <v>95</v>
      </c>
      <c r="E92" s="501">
        <f t="shared" si="21"/>
        <v>90</v>
      </c>
      <c r="F92" s="501">
        <f t="shared" si="21"/>
        <v>85</v>
      </c>
      <c r="G92" s="501">
        <f t="shared" si="21"/>
        <v>80</v>
      </c>
      <c r="H92" s="501">
        <f t="shared" si="21"/>
        <v>75</v>
      </c>
      <c r="I92" s="501">
        <f t="shared" si="21"/>
        <v>70</v>
      </c>
      <c r="J92" s="501">
        <f t="shared" si="21"/>
        <v>65</v>
      </c>
      <c r="K92" s="501">
        <f t="shared" si="21"/>
        <v>60</v>
      </c>
      <c r="L92" s="501">
        <f t="shared" si="21"/>
        <v>55</v>
      </c>
      <c r="M92" s="501">
        <f t="shared" si="21"/>
        <v>50</v>
      </c>
      <c r="N92" s="2965"/>
      <c r="O92" s="2965"/>
      <c r="P92" s="2973"/>
      <c r="Q92" s="2956"/>
      <c r="R92" s="2957"/>
      <c r="S92" s="2957"/>
      <c r="T92" s="2957"/>
      <c r="U92" s="2957"/>
      <c r="V92" s="2957"/>
      <c r="W92" s="2957"/>
      <c r="X92" s="2957"/>
      <c r="Y92" s="2957"/>
      <c r="Z92" s="2957"/>
      <c r="AA92" s="2957"/>
      <c r="AB92" s="2957"/>
      <c r="AC92" s="2957"/>
    </row>
    <row r="93" spans="1:29" ht="15.75" thickTop="1">
      <c r="A93" s="491"/>
      <c r="B93" s="495">
        <f>B29</f>
        <v>111</v>
      </c>
      <c r="C93" s="511"/>
      <c r="D93" s="511"/>
      <c r="E93" s="511"/>
      <c r="F93" s="511"/>
      <c r="G93" s="511"/>
      <c r="H93" s="511"/>
      <c r="I93" s="511"/>
      <c r="J93" s="511"/>
      <c r="K93" s="511"/>
      <c r="L93" s="537"/>
      <c r="M93" s="538"/>
      <c r="N93" s="2963"/>
      <c r="O93" s="2963"/>
      <c r="P93" s="2972"/>
      <c r="Q93" s="2949"/>
      <c r="R93" s="2935"/>
      <c r="S93" s="2935"/>
      <c r="T93" s="2935"/>
      <c r="U93" s="2935"/>
      <c r="V93" s="2935"/>
      <c r="W93" s="2935"/>
      <c r="X93" s="2935"/>
      <c r="Y93" s="2935"/>
      <c r="Z93" s="2935"/>
      <c r="AA93" s="2935"/>
      <c r="AB93" s="2935"/>
      <c r="AC93" s="2935"/>
    </row>
    <row r="94" spans="1:29" ht="15.75" thickBot="1">
      <c r="A94" s="491"/>
      <c r="B94" s="500"/>
      <c r="C94" s="517"/>
      <c r="D94" s="493"/>
      <c r="E94" s="493"/>
      <c r="F94" s="493"/>
      <c r="G94" s="493"/>
      <c r="H94" s="493"/>
      <c r="I94" s="493"/>
      <c r="J94" s="493"/>
      <c r="K94" s="493"/>
      <c r="L94" s="493"/>
      <c r="M94" s="494"/>
      <c r="N94" s="2964"/>
      <c r="O94" s="2964"/>
      <c r="P94" s="2972"/>
      <c r="Q94" s="2949"/>
      <c r="R94" s="2935"/>
      <c r="S94" s="2935"/>
      <c r="T94" s="2935"/>
      <c r="U94" s="2935"/>
      <c r="V94" s="2935"/>
      <c r="W94" s="2935"/>
      <c r="X94" s="2935"/>
      <c r="Y94" s="2935"/>
      <c r="Z94" s="2935"/>
      <c r="AA94" s="2935"/>
      <c r="AB94" s="2935"/>
      <c r="AC94" s="2935"/>
    </row>
    <row r="95" spans="1:29" ht="15.75" thickTop="1">
      <c r="A95" s="491"/>
      <c r="B95" s="495">
        <f>B30</f>
        <v>111</v>
      </c>
      <c r="C95" s="511"/>
      <c r="D95" s="511"/>
      <c r="E95" s="511"/>
      <c r="F95" s="511"/>
      <c r="G95" s="540"/>
      <c r="H95" s="540"/>
      <c r="I95" s="540"/>
      <c r="J95" s="540"/>
      <c r="K95" s="541"/>
      <c r="L95" s="542"/>
      <c r="M95" s="543"/>
      <c r="N95" s="2963"/>
      <c r="O95" s="2963"/>
      <c r="P95" s="2972"/>
      <c r="Q95" s="2949"/>
      <c r="R95" s="2935"/>
      <c r="S95" s="2935"/>
      <c r="T95" s="2935"/>
      <c r="U95" s="2935"/>
      <c r="V95" s="2935"/>
      <c r="W95" s="2935"/>
      <c r="X95" s="2935"/>
      <c r="Y95" s="2935"/>
      <c r="Z95" s="2935"/>
      <c r="AA95" s="2935"/>
      <c r="AB95" s="2935"/>
      <c r="AC95" s="2935"/>
    </row>
    <row r="96" spans="1:29" ht="15.75" thickBot="1">
      <c r="A96" s="491"/>
      <c r="B96" s="500"/>
      <c r="C96" s="517"/>
      <c r="D96" s="517"/>
      <c r="E96" s="517"/>
      <c r="F96" s="517"/>
      <c r="G96" s="493"/>
      <c r="H96" s="493"/>
      <c r="I96" s="493"/>
      <c r="J96" s="493"/>
      <c r="K96" s="493"/>
      <c r="L96" s="493"/>
      <c r="M96" s="494"/>
      <c r="N96" s="2964"/>
      <c r="O96" s="2964"/>
      <c r="P96" s="2972"/>
      <c r="Q96" s="2949"/>
      <c r="R96" s="2935"/>
      <c r="S96" s="2935"/>
      <c r="T96" s="2935"/>
      <c r="U96" s="2935"/>
      <c r="V96" s="2935"/>
      <c r="W96" s="2935"/>
      <c r="X96" s="2935"/>
      <c r="Y96" s="2935"/>
      <c r="Z96" s="2935"/>
      <c r="AA96" s="2935"/>
      <c r="AB96" s="2935"/>
      <c r="AC96" s="2935"/>
    </row>
    <row r="97" spans="1:29" ht="15.75" thickTop="1">
      <c r="A97" s="491"/>
      <c r="B97" s="495">
        <f>B31</f>
        <v>111</v>
      </c>
      <c r="C97" s="511"/>
      <c r="D97" s="511"/>
      <c r="E97" s="511"/>
      <c r="F97" s="511"/>
      <c r="G97" s="540"/>
      <c r="H97" s="540"/>
      <c r="I97" s="540"/>
      <c r="J97" s="540"/>
      <c r="K97" s="541"/>
      <c r="L97" s="542"/>
      <c r="M97" s="543"/>
      <c r="N97" s="2963"/>
      <c r="O97" s="2963"/>
      <c r="P97" s="2972"/>
      <c r="Q97" s="2949"/>
      <c r="R97" s="2935"/>
      <c r="S97" s="2935"/>
      <c r="T97" s="2935"/>
      <c r="U97" s="2935"/>
      <c r="V97" s="2935"/>
      <c r="W97" s="2935"/>
      <c r="X97" s="2935"/>
      <c r="Y97" s="2935"/>
      <c r="Z97" s="2935"/>
      <c r="AA97" s="2935"/>
      <c r="AB97" s="2935"/>
      <c r="AC97" s="2935"/>
    </row>
    <row r="98" spans="1:29" ht="15.75" thickBot="1">
      <c r="A98" s="491"/>
      <c r="B98" s="500"/>
      <c r="C98" s="517"/>
      <c r="D98" s="493"/>
      <c r="E98" s="493"/>
      <c r="F98" s="493"/>
      <c r="G98" s="493"/>
      <c r="H98" s="493"/>
      <c r="I98" s="493"/>
      <c r="J98" s="493"/>
      <c r="K98" s="493"/>
      <c r="L98" s="493"/>
      <c r="M98" s="494"/>
      <c r="N98" s="2964"/>
      <c r="O98" s="2964"/>
      <c r="P98" s="2972"/>
      <c r="Q98" s="2949"/>
      <c r="R98" s="2935"/>
      <c r="S98" s="2935"/>
      <c r="T98" s="2935"/>
      <c r="U98" s="2935"/>
      <c r="V98" s="2935"/>
      <c r="W98" s="2935"/>
      <c r="X98" s="2935"/>
      <c r="Y98" s="2935"/>
      <c r="Z98" s="2935"/>
      <c r="AA98" s="2935"/>
      <c r="AB98" s="2935"/>
      <c r="AC98" s="2935"/>
    </row>
    <row r="99" spans="1:29" ht="15.75" thickTop="1">
      <c r="A99" s="491"/>
      <c r="B99" s="503">
        <f>B32</f>
        <v>111</v>
      </c>
      <c r="C99" s="480"/>
      <c r="D99" s="480"/>
      <c r="E99" s="480"/>
      <c r="F99" s="480"/>
      <c r="G99" s="544"/>
      <c r="H99" s="544"/>
      <c r="I99" s="544"/>
      <c r="J99" s="544"/>
      <c r="K99" s="545"/>
      <c r="L99" s="546"/>
      <c r="M99" s="547"/>
      <c r="N99" s="2963"/>
      <c r="O99" s="2963"/>
      <c r="P99" s="2972"/>
      <c r="Q99" s="2949"/>
      <c r="R99" s="2935"/>
      <c r="S99" s="2935"/>
      <c r="T99" s="2935"/>
      <c r="U99" s="2935"/>
      <c r="V99" s="2935"/>
      <c r="W99" s="2935"/>
      <c r="X99" s="2935"/>
      <c r="Y99" s="2935"/>
      <c r="Z99" s="2935"/>
      <c r="AA99" s="2935"/>
      <c r="AB99" s="2935"/>
      <c r="AC99" s="2935"/>
    </row>
    <row r="100" spans="1:29" ht="15.75" thickBot="1">
      <c r="A100" s="2104"/>
      <c r="B100" s="526"/>
      <c r="C100" s="527"/>
      <c r="D100" s="527"/>
      <c r="E100" s="527"/>
      <c r="F100" s="527"/>
      <c r="G100" s="548"/>
      <c r="H100" s="548"/>
      <c r="I100" s="548"/>
      <c r="J100" s="548"/>
      <c r="K100" s="548"/>
      <c r="L100" s="548"/>
      <c r="M100" s="549"/>
      <c r="N100" s="2964"/>
      <c r="O100" s="2964"/>
      <c r="P100" s="2972"/>
      <c r="Q100" s="2949"/>
      <c r="R100" s="2935"/>
      <c r="S100" s="2935"/>
      <c r="T100" s="2935"/>
      <c r="U100" s="2935"/>
      <c r="V100" s="2935"/>
      <c r="W100" s="2935"/>
      <c r="X100" s="2935"/>
      <c r="Y100" s="2935"/>
      <c r="Z100" s="2935"/>
      <c r="AA100" s="2935"/>
      <c r="AB100" s="2935"/>
      <c r="AC100" s="2935"/>
    </row>
    <row r="101" spans="1:29">
      <c r="A101" s="484" t="s">
        <v>2383</v>
      </c>
      <c r="B101" s="485" t="s">
        <v>2432</v>
      </c>
      <c r="C101" s="3063" t="s">
        <v>3129</v>
      </c>
      <c r="D101" s="487"/>
      <c r="E101" s="487"/>
      <c r="F101" s="487"/>
      <c r="G101" s="487"/>
      <c r="H101" s="487"/>
      <c r="I101" s="487"/>
      <c r="J101" s="487"/>
      <c r="K101" s="488"/>
      <c r="L101" s="489"/>
      <c r="M101" s="490"/>
      <c r="N101" s="2963"/>
      <c r="O101" s="2963"/>
      <c r="P101" s="2972"/>
      <c r="Q101" s="2949"/>
      <c r="R101" s="2935"/>
      <c r="S101" s="2935"/>
      <c r="T101" s="2935"/>
      <c r="U101" s="2935"/>
      <c r="V101" s="2935"/>
      <c r="W101" s="2935"/>
      <c r="X101" s="2935"/>
      <c r="Y101" s="2935"/>
      <c r="Z101" s="2935"/>
      <c r="AA101" s="2935"/>
      <c r="AB101" s="2935"/>
      <c r="AC101" s="2935"/>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64"/>
      <c r="O102" s="2964"/>
      <c r="P102" s="2972"/>
      <c r="Q102" s="2949"/>
      <c r="R102" s="2935"/>
      <c r="S102" s="2935"/>
      <c r="T102" s="2935"/>
      <c r="U102" s="2935"/>
      <c r="V102" s="2935"/>
      <c r="W102" s="2935"/>
      <c r="X102" s="2935"/>
      <c r="Y102" s="2935"/>
      <c r="Z102" s="2935"/>
      <c r="AA102" s="2935"/>
      <c r="AB102" s="2935"/>
      <c r="AC102" s="2935"/>
    </row>
    <row r="103" spans="1:29" ht="29.25" thickTop="1">
      <c r="A103" s="491"/>
      <c r="B103" s="495" t="s">
        <v>2433</v>
      </c>
      <c r="C103" s="535" t="str">
        <f>C104&amp;"(含)"&amp;"-"&amp;D104</f>
        <v>0(含)-200</v>
      </c>
      <c r="D103" s="535" t="str">
        <f t="shared" ref="D103:L103" si="23">D104&amp;"(含)"&amp;"-"&amp;E104</f>
        <v>200(含)-300</v>
      </c>
      <c r="E103" s="535" t="str">
        <f t="shared" si="23"/>
        <v>300(含)-500</v>
      </c>
      <c r="F103" s="535" t="str">
        <f t="shared" si="23"/>
        <v>500(含)-800</v>
      </c>
      <c r="G103" s="535" t="str">
        <f t="shared" si="23"/>
        <v>800(含)-1000</v>
      </c>
      <c r="H103" s="535" t="str">
        <f t="shared" si="23"/>
        <v>1000(含)-2000</v>
      </c>
      <c r="I103" s="535" t="str">
        <f t="shared" si="23"/>
        <v>2000(含)-3000</v>
      </c>
      <c r="J103" s="535" t="str">
        <f t="shared" si="23"/>
        <v>3000(含)-5000</v>
      </c>
      <c r="K103" s="535" t="str">
        <f t="shared" si="23"/>
        <v>5000(含)-</v>
      </c>
      <c r="L103" s="535" t="str">
        <f t="shared" si="23"/>
        <v>(含)-</v>
      </c>
      <c r="M103" s="577" t="str">
        <f>M104&amp;"(含)"&amp;"-"&amp;P104</f>
        <v>(含)-</v>
      </c>
      <c r="N103" s="2962"/>
      <c r="O103" s="2962"/>
      <c r="P103" s="2972"/>
      <c r="Q103" s="2949"/>
      <c r="R103" s="2935"/>
      <c r="S103" s="2935"/>
      <c r="T103" s="2935"/>
      <c r="U103" s="2935"/>
      <c r="V103" s="2935"/>
      <c r="W103" s="2935"/>
      <c r="X103" s="2935"/>
      <c r="Y103" s="2935"/>
      <c r="Z103" s="2935"/>
      <c r="AA103" s="2935"/>
      <c r="AB103" s="2935"/>
      <c r="AC103" s="2935"/>
    </row>
    <row r="104" spans="1:29" s="430" customFormat="1">
      <c r="A104" s="550"/>
      <c r="B104" s="551"/>
      <c r="C104" s="552">
        <v>0</v>
      </c>
      <c r="D104" s="552">
        <v>200</v>
      </c>
      <c r="E104" s="552">
        <v>300</v>
      </c>
      <c r="F104" s="552">
        <v>500</v>
      </c>
      <c r="G104" s="552">
        <v>800</v>
      </c>
      <c r="H104" s="552">
        <v>1000</v>
      </c>
      <c r="I104" s="552">
        <v>2000</v>
      </c>
      <c r="J104" s="553">
        <v>3000</v>
      </c>
      <c r="K104" s="553">
        <v>5000</v>
      </c>
      <c r="L104" s="554"/>
      <c r="M104" s="555"/>
      <c r="N104" s="2965"/>
      <c r="O104" s="2965"/>
      <c r="P104" s="2973"/>
      <c r="Q104" s="2956"/>
      <c r="R104" s="2957"/>
      <c r="S104" s="2957"/>
      <c r="T104" s="2957"/>
      <c r="U104" s="2957"/>
      <c r="V104" s="2957"/>
      <c r="W104" s="2957"/>
      <c r="X104" s="2957"/>
      <c r="Y104" s="2957"/>
      <c r="Z104" s="2957"/>
      <c r="AA104" s="2957"/>
      <c r="AB104" s="2957"/>
      <c r="AC104" s="2957"/>
    </row>
    <row r="105" spans="1:29" s="430" customFormat="1" ht="15.75" thickBot="1">
      <c r="A105" s="510"/>
      <c r="B105" s="500"/>
      <c r="C105" s="517">
        <v>98</v>
      </c>
      <c r="D105" s="493">
        <v>99</v>
      </c>
      <c r="E105" s="493">
        <v>100</v>
      </c>
      <c r="F105" s="493">
        <f>E105-1</f>
        <v>99</v>
      </c>
      <c r="G105" s="493">
        <f t="shared" ref="G105:K105" si="24">F105-1</f>
        <v>98</v>
      </c>
      <c r="H105" s="493">
        <f t="shared" si="24"/>
        <v>97</v>
      </c>
      <c r="I105" s="493">
        <f t="shared" si="24"/>
        <v>96</v>
      </c>
      <c r="J105" s="493">
        <f t="shared" si="24"/>
        <v>95</v>
      </c>
      <c r="K105" s="493">
        <f t="shared" si="24"/>
        <v>94</v>
      </c>
      <c r="L105" s="493"/>
      <c r="M105" s="494"/>
      <c r="N105" s="2964"/>
      <c r="O105" s="2964"/>
      <c r="P105" s="2973"/>
      <c r="Q105" s="2956"/>
      <c r="R105" s="2957"/>
      <c r="S105" s="2957"/>
      <c r="T105" s="2957"/>
      <c r="U105" s="2957"/>
      <c r="V105" s="2957"/>
      <c r="W105" s="2957"/>
      <c r="X105" s="2957"/>
      <c r="Y105" s="2957"/>
      <c r="Z105" s="2957"/>
      <c r="AA105" s="2957"/>
      <c r="AB105" s="2957"/>
      <c r="AC105" s="2957"/>
    </row>
    <row r="106" spans="1:29" ht="15" thickTop="1">
      <c r="A106" s="556"/>
      <c r="B106" s="495" t="s">
        <v>2434</v>
      </c>
      <c r="C106" s="3043" t="s">
        <v>3130</v>
      </c>
      <c r="D106" s="511"/>
      <c r="E106" s="540"/>
      <c r="F106" s="540"/>
      <c r="G106" s="540"/>
      <c r="H106" s="540"/>
      <c r="I106" s="540"/>
      <c r="J106" s="540"/>
      <c r="K106" s="541"/>
      <c r="L106" s="542"/>
      <c r="M106" s="543"/>
      <c r="N106" s="2963"/>
      <c r="O106" s="2963"/>
      <c r="P106" s="2972"/>
      <c r="Q106" s="2949"/>
      <c r="R106" s="2935"/>
      <c r="S106" s="2935"/>
      <c r="T106" s="2935"/>
      <c r="U106" s="2935"/>
      <c r="V106" s="2935"/>
      <c r="W106" s="2935"/>
      <c r="X106" s="2935"/>
      <c r="Y106" s="2935"/>
      <c r="Z106" s="2935"/>
      <c r="AA106" s="2935"/>
      <c r="AB106" s="2935"/>
      <c r="AC106" s="2935"/>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64"/>
      <c r="O107" s="2964"/>
      <c r="P107" s="2972"/>
      <c r="Q107" s="2949"/>
      <c r="R107" s="2935"/>
      <c r="S107" s="2935"/>
      <c r="T107" s="2935"/>
      <c r="U107" s="2935"/>
      <c r="V107" s="2935"/>
      <c r="W107" s="2935"/>
      <c r="X107" s="2935"/>
      <c r="Y107" s="2935"/>
      <c r="Z107" s="2935"/>
      <c r="AA107" s="2935"/>
      <c r="AB107" s="2935"/>
      <c r="AC107" s="2935"/>
    </row>
    <row r="108" spans="1:29" ht="15" thickTop="1">
      <c r="A108" s="556"/>
      <c r="B108" s="495" t="s">
        <v>2436</v>
      </c>
      <c r="C108" s="3043" t="s">
        <v>3131</v>
      </c>
      <c r="D108" s="511"/>
      <c r="E108" s="511"/>
      <c r="F108" s="540"/>
      <c r="G108" s="540"/>
      <c r="H108" s="540"/>
      <c r="I108" s="540"/>
      <c r="J108" s="540"/>
      <c r="K108" s="541"/>
      <c r="L108" s="542"/>
      <c r="M108" s="543"/>
      <c r="N108" s="2963"/>
      <c r="O108" s="2963"/>
      <c r="P108" s="2972"/>
      <c r="Q108" s="2949"/>
      <c r="R108" s="2935"/>
      <c r="S108" s="2935"/>
      <c r="T108" s="2935"/>
      <c r="U108" s="2935"/>
      <c r="V108" s="2935"/>
      <c r="W108" s="2935"/>
      <c r="X108" s="2935"/>
      <c r="Y108" s="2935"/>
      <c r="Z108" s="2935"/>
      <c r="AA108" s="2935"/>
      <c r="AB108" s="2935"/>
      <c r="AC108" s="2935"/>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64"/>
      <c r="O109" s="2964"/>
      <c r="P109" s="2972"/>
      <c r="Q109" s="2949"/>
      <c r="R109" s="2935"/>
      <c r="S109" s="2935"/>
      <c r="T109" s="2935"/>
      <c r="U109" s="2935"/>
      <c r="V109" s="2935"/>
      <c r="W109" s="2935"/>
      <c r="X109" s="2935"/>
      <c r="Y109" s="2935"/>
      <c r="Z109" s="2935"/>
      <c r="AA109" s="2935"/>
      <c r="AB109" s="2935"/>
      <c r="AC109" s="293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3"/>
      <c r="O110" s="2963"/>
      <c r="P110" s="2972"/>
      <c r="Q110" s="2949"/>
      <c r="R110" s="2935"/>
      <c r="S110" s="2935"/>
      <c r="T110" s="2935"/>
      <c r="U110" s="2935"/>
      <c r="V110" s="2935"/>
      <c r="W110" s="2935"/>
      <c r="X110" s="2935"/>
      <c r="Y110" s="2935"/>
      <c r="Z110" s="2935"/>
      <c r="AA110" s="2935"/>
      <c r="AB110" s="2935"/>
      <c r="AC110" s="2935"/>
    </row>
    <row r="111" spans="1:29">
      <c r="A111" s="556"/>
      <c r="B111" s="503"/>
      <c r="C111" s="560">
        <v>0.5</v>
      </c>
      <c r="D111" s="560">
        <v>0.6</v>
      </c>
      <c r="E111" s="560">
        <v>0.7</v>
      </c>
      <c r="F111" s="560">
        <v>0.8</v>
      </c>
      <c r="G111" s="560">
        <v>0.9</v>
      </c>
      <c r="H111" s="560">
        <v>1.0001</v>
      </c>
      <c r="I111" s="578"/>
      <c r="J111" s="578"/>
      <c r="K111" s="579"/>
      <c r="L111" s="580"/>
      <c r="M111" s="581"/>
      <c r="N111" s="2963"/>
      <c r="O111" s="2963"/>
      <c r="P111" s="2972"/>
      <c r="Q111" s="2949"/>
      <c r="R111" s="2935"/>
      <c r="S111" s="2935"/>
      <c r="T111" s="2935"/>
      <c r="U111" s="2935"/>
      <c r="V111" s="2935"/>
      <c r="W111" s="2935"/>
      <c r="X111" s="2935"/>
      <c r="Y111" s="2935"/>
      <c r="Z111" s="2935"/>
      <c r="AA111" s="2935"/>
      <c r="AB111" s="2935"/>
      <c r="AC111" s="2935"/>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64"/>
      <c r="O112" s="2964"/>
      <c r="P112" s="2972"/>
      <c r="Q112" s="2949"/>
      <c r="R112" s="2935"/>
      <c r="S112" s="2935"/>
      <c r="T112" s="2935"/>
      <c r="U112" s="2935"/>
      <c r="V112" s="2935"/>
      <c r="W112" s="2935"/>
      <c r="X112" s="2935"/>
      <c r="Y112" s="2935"/>
      <c r="Z112" s="2935"/>
      <c r="AA112" s="2935"/>
      <c r="AB112" s="2935"/>
      <c r="AC112" s="2935"/>
    </row>
    <row r="113" spans="1:29" s="430" customFormat="1" ht="15" thickTop="1">
      <c r="A113" s="550"/>
      <c r="B113" s="495" t="s">
        <v>2520</v>
      </c>
      <c r="C113" s="3043" t="s">
        <v>3132</v>
      </c>
      <c r="D113" s="511"/>
      <c r="E113" s="511"/>
      <c r="F113" s="511"/>
      <c r="G113" s="511"/>
      <c r="H113" s="540"/>
      <c r="I113" s="540"/>
      <c r="J113" s="540"/>
      <c r="K113" s="541"/>
      <c r="L113" s="542"/>
      <c r="M113" s="543"/>
      <c r="N113" s="2965"/>
      <c r="O113" s="2965"/>
      <c r="P113" s="2973"/>
      <c r="Q113" s="2956"/>
      <c r="R113" s="2957"/>
      <c r="S113" s="2957"/>
      <c r="T113" s="2957"/>
      <c r="U113" s="2957"/>
      <c r="V113" s="2957"/>
      <c r="W113" s="2957"/>
      <c r="X113" s="2957"/>
      <c r="Y113" s="2957"/>
      <c r="Z113" s="2957"/>
      <c r="AA113" s="2957"/>
      <c r="AB113" s="2957"/>
      <c r="AC113" s="2957"/>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65"/>
      <c r="O114" s="2965"/>
      <c r="P114" s="2973"/>
      <c r="Q114" s="2956"/>
      <c r="R114" s="2957"/>
      <c r="S114" s="2957"/>
      <c r="T114" s="2957"/>
      <c r="U114" s="2957"/>
      <c r="V114" s="2957"/>
      <c r="W114" s="2957"/>
      <c r="X114" s="2957"/>
      <c r="Y114" s="2957"/>
      <c r="Z114" s="2957"/>
      <c r="AA114" s="2957"/>
      <c r="AB114" s="2957"/>
      <c r="AC114" s="2957"/>
    </row>
    <row r="115" spans="1:29" ht="15" thickTop="1">
      <c r="A115" s="556"/>
      <c r="B115" s="495" t="s">
        <v>2437</v>
      </c>
      <c r="C115" s="3043" t="s">
        <v>3136</v>
      </c>
      <c r="D115" s="3043" t="s">
        <v>3137</v>
      </c>
      <c r="E115" s="540"/>
      <c r="F115" s="540"/>
      <c r="G115" s="540"/>
      <c r="H115" s="540"/>
      <c r="I115" s="540"/>
      <c r="J115" s="540"/>
      <c r="K115" s="541"/>
      <c r="L115" s="542"/>
      <c r="M115" s="543"/>
      <c r="N115" s="2963"/>
      <c r="O115" s="2963"/>
      <c r="P115" s="2972"/>
      <c r="Q115" s="2949"/>
      <c r="R115" s="2935"/>
      <c r="S115" s="2935"/>
      <c r="T115" s="2935"/>
      <c r="U115" s="2935"/>
      <c r="V115" s="2935"/>
      <c r="W115" s="2935"/>
      <c r="X115" s="2935"/>
      <c r="Y115" s="2935"/>
      <c r="Z115" s="2935"/>
      <c r="AA115" s="2935"/>
      <c r="AB115" s="2935"/>
      <c r="AC115" s="2935"/>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64"/>
      <c r="O116" s="2964"/>
      <c r="P116" s="2972"/>
      <c r="Q116" s="2949"/>
      <c r="R116" s="2935"/>
      <c r="S116" s="2935"/>
      <c r="T116" s="2935"/>
      <c r="U116" s="2935"/>
      <c r="V116" s="2935"/>
      <c r="W116" s="2935"/>
      <c r="X116" s="2935"/>
      <c r="Y116" s="2935"/>
      <c r="Z116" s="2935"/>
      <c r="AA116" s="2935"/>
      <c r="AB116" s="2935"/>
      <c r="AC116" s="2935"/>
    </row>
    <row r="117" spans="1:29" ht="15" thickTop="1">
      <c r="A117" s="556"/>
      <c r="B117" s="495" t="s">
        <v>2438</v>
      </c>
      <c r="C117" s="3043" t="s">
        <v>3133</v>
      </c>
      <c r="D117" s="3043" t="s">
        <v>3134</v>
      </c>
      <c r="E117" s="3043" t="s">
        <v>3135</v>
      </c>
      <c r="F117" s="511"/>
      <c r="G117" s="511"/>
      <c r="H117" s="540"/>
      <c r="I117" s="540"/>
      <c r="J117" s="540"/>
      <c r="K117" s="541"/>
      <c r="L117" s="542"/>
      <c r="M117" s="543"/>
      <c r="N117" s="2963"/>
      <c r="O117" s="2963"/>
      <c r="P117" s="2972"/>
      <c r="Q117" s="2949"/>
      <c r="R117" s="2935"/>
      <c r="S117" s="2935"/>
      <c r="T117" s="2935"/>
      <c r="U117" s="2935"/>
      <c r="V117" s="2935"/>
      <c r="W117" s="2935"/>
      <c r="X117" s="2935"/>
      <c r="Y117" s="2935"/>
      <c r="Z117" s="2935"/>
      <c r="AA117" s="2935"/>
      <c r="AB117" s="2935"/>
      <c r="AC117" s="2935"/>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64"/>
      <c r="O118" s="2964"/>
      <c r="P118" s="2972"/>
      <c r="Q118" s="2949"/>
      <c r="R118" s="2935"/>
      <c r="S118" s="2935"/>
      <c r="T118" s="2935"/>
      <c r="U118" s="2935"/>
      <c r="V118" s="2935"/>
      <c r="W118" s="2935"/>
      <c r="X118" s="2935"/>
      <c r="Y118" s="2935"/>
      <c r="Z118" s="2935"/>
      <c r="AA118" s="2935"/>
      <c r="AB118" s="2935"/>
      <c r="AC118" s="2935"/>
    </row>
    <row r="119" spans="1:29" ht="15" thickTop="1">
      <c r="A119" s="556"/>
      <c r="B119" s="591" t="s">
        <v>2521</v>
      </c>
      <c r="C119" s="3044" t="s">
        <v>3138</v>
      </c>
      <c r="D119" s="3044" t="s">
        <v>3139</v>
      </c>
      <c r="E119" s="540"/>
      <c r="F119" s="540"/>
      <c r="G119" s="540"/>
      <c r="H119" s="540"/>
      <c r="I119" s="540"/>
      <c r="J119" s="540"/>
      <c r="K119" s="540"/>
      <c r="L119" s="2144"/>
      <c r="M119" s="2145"/>
      <c r="N119" s="2964"/>
      <c r="O119" s="2964"/>
      <c r="P119" s="2977"/>
      <c r="Q119" s="2978"/>
      <c r="R119" s="2935"/>
      <c r="S119" s="2935"/>
      <c r="T119" s="2935"/>
      <c r="U119" s="2935"/>
      <c r="V119" s="2935"/>
      <c r="W119" s="2935"/>
      <c r="X119" s="2935"/>
      <c r="Y119" s="2935"/>
      <c r="Z119" s="2935"/>
      <c r="AA119" s="2935"/>
      <c r="AB119" s="2935"/>
      <c r="AC119" s="2935"/>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64"/>
      <c r="O120" s="2964"/>
      <c r="P120" s="2972"/>
      <c r="Q120" s="2949"/>
      <c r="R120" s="2935"/>
      <c r="S120" s="2935"/>
      <c r="T120" s="2935"/>
      <c r="U120" s="2935"/>
      <c r="V120" s="2935"/>
      <c r="W120" s="2935"/>
      <c r="X120" s="2935"/>
      <c r="Y120" s="2935"/>
      <c r="Z120" s="2935"/>
      <c r="AA120" s="2935"/>
      <c r="AB120" s="2935"/>
      <c r="AC120" s="2935"/>
    </row>
    <row r="121" spans="1:29" s="430" customFormat="1" ht="15" thickTop="1">
      <c r="A121" s="550"/>
      <c r="B121" s="495" t="s">
        <v>2504</v>
      </c>
      <c r="C121" s="511"/>
      <c r="D121" s="511"/>
      <c r="E121" s="511"/>
      <c r="F121" s="540"/>
      <c r="G121" s="512"/>
      <c r="H121" s="512"/>
      <c r="I121" s="512"/>
      <c r="J121" s="512"/>
      <c r="K121" s="512"/>
      <c r="L121" s="513"/>
      <c r="M121" s="514"/>
      <c r="N121" s="2965"/>
      <c r="O121" s="2965"/>
      <c r="P121" s="2973"/>
      <c r="Q121" s="2956"/>
      <c r="R121" s="2957"/>
      <c r="S121" s="2957"/>
      <c r="T121" s="2957"/>
      <c r="U121" s="2957"/>
      <c r="V121" s="2957"/>
      <c r="W121" s="2957"/>
      <c r="X121" s="2957"/>
      <c r="Y121" s="2957"/>
      <c r="Z121" s="2957"/>
      <c r="AA121" s="2957"/>
      <c r="AB121" s="2957"/>
      <c r="AC121" s="2957"/>
    </row>
    <row r="122" spans="1:29" s="430" customFormat="1" ht="15.75" thickBot="1">
      <c r="A122" s="510"/>
      <c r="B122" s="492"/>
      <c r="C122" s="517"/>
      <c r="D122" s="517"/>
      <c r="E122" s="517"/>
      <c r="F122" s="517"/>
      <c r="G122" s="517"/>
      <c r="H122" s="517"/>
      <c r="I122" s="517"/>
      <c r="J122" s="517"/>
      <c r="K122" s="517"/>
      <c r="L122" s="517"/>
      <c r="M122" s="517"/>
      <c r="N122" s="2965"/>
      <c r="O122" s="2965"/>
      <c r="P122" s="2973"/>
      <c r="Q122" s="2956"/>
      <c r="R122" s="2957"/>
      <c r="S122" s="2957"/>
      <c r="T122" s="2957"/>
      <c r="U122" s="2957"/>
      <c r="V122" s="2957"/>
      <c r="W122" s="2957"/>
      <c r="X122" s="2957"/>
      <c r="Y122" s="2957"/>
      <c r="Z122" s="2957"/>
      <c r="AA122" s="2957"/>
      <c r="AB122" s="2957"/>
      <c r="AC122" s="2957"/>
    </row>
    <row r="123" spans="1:29" ht="15" thickTop="1">
      <c r="A123" s="556"/>
      <c r="B123" s="495" t="s">
        <v>2440</v>
      </c>
      <c r="C123" s="3043" t="s">
        <v>3140</v>
      </c>
      <c r="D123" s="3043" t="s">
        <v>3141</v>
      </c>
      <c r="E123" s="3043" t="s">
        <v>3142</v>
      </c>
      <c r="F123" s="3044" t="s">
        <v>3143</v>
      </c>
      <c r="G123" s="540"/>
      <c r="H123" s="540"/>
      <c r="I123" s="540"/>
      <c r="J123" s="540"/>
      <c r="K123" s="541"/>
      <c r="L123" s="542"/>
      <c r="M123" s="543"/>
      <c r="N123" s="2963"/>
      <c r="O123" s="2963"/>
      <c r="P123" s="2972"/>
      <c r="Q123" s="2949"/>
      <c r="R123" s="2935"/>
      <c r="S123" s="2935"/>
      <c r="T123" s="2935"/>
      <c r="U123" s="2935"/>
      <c r="V123" s="2935"/>
      <c r="W123" s="2935"/>
      <c r="X123" s="2935"/>
      <c r="Y123" s="2935"/>
      <c r="Z123" s="2935"/>
      <c r="AA123" s="2935"/>
      <c r="AB123" s="2935"/>
      <c r="AC123" s="2935"/>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64"/>
      <c r="O124" s="2964"/>
      <c r="P124" s="2972"/>
      <c r="Q124" s="2949"/>
      <c r="R124" s="2935"/>
      <c r="S124" s="2935"/>
      <c r="T124" s="2935"/>
      <c r="U124" s="2935"/>
      <c r="V124" s="2935"/>
      <c r="W124" s="2935"/>
      <c r="X124" s="2935"/>
      <c r="Y124" s="2935"/>
      <c r="Z124" s="2935"/>
      <c r="AA124" s="2935"/>
      <c r="AB124" s="2935"/>
      <c r="AC124" s="293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3"/>
      <c r="O125" s="2963"/>
      <c r="P125" s="2973"/>
      <c r="Q125" s="2949"/>
      <c r="R125" s="2935"/>
      <c r="S125" s="2935"/>
      <c r="T125" s="2935"/>
      <c r="U125" s="2935"/>
      <c r="V125" s="2935"/>
      <c r="W125" s="2935"/>
      <c r="X125" s="2935"/>
      <c r="Y125" s="2935"/>
      <c r="Z125" s="2935"/>
      <c r="AA125" s="2935"/>
      <c r="AB125" s="2935"/>
      <c r="AC125" s="2935"/>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64"/>
      <c r="O126" s="2964"/>
      <c r="P126" s="2972"/>
      <c r="Q126" s="2949"/>
      <c r="R126" s="2935"/>
      <c r="S126" s="2935"/>
      <c r="T126" s="2935"/>
      <c r="U126" s="2935"/>
      <c r="V126" s="2935"/>
      <c r="W126" s="2935"/>
      <c r="X126" s="2935"/>
      <c r="Y126" s="2935"/>
      <c r="Z126" s="2935"/>
      <c r="AA126" s="2935"/>
      <c r="AB126" s="2935"/>
      <c r="AC126" s="2935"/>
    </row>
    <row r="127" spans="1:29" s="430" customFormat="1" ht="15" thickTop="1">
      <c r="A127" s="550"/>
      <c r="B127" s="495">
        <f>B45</f>
        <v>111</v>
      </c>
      <c r="C127" s="511"/>
      <c r="D127" s="511"/>
      <c r="E127" s="511"/>
      <c r="F127" s="511"/>
      <c r="G127" s="511"/>
      <c r="H127" s="512"/>
      <c r="I127" s="512"/>
      <c r="J127" s="512"/>
      <c r="K127" s="512"/>
      <c r="L127" s="513"/>
      <c r="M127" s="514"/>
      <c r="N127" s="2965"/>
      <c r="O127" s="2965"/>
      <c r="P127" s="2973"/>
      <c r="Q127" s="2956"/>
      <c r="R127" s="2957"/>
      <c r="S127" s="2957"/>
      <c r="T127" s="2957"/>
      <c r="U127" s="2957"/>
      <c r="V127" s="2957"/>
      <c r="W127" s="2957"/>
      <c r="X127" s="2957"/>
      <c r="Y127" s="2957"/>
      <c r="Z127" s="2957"/>
      <c r="AA127" s="2957"/>
      <c r="AB127" s="2957"/>
      <c r="AC127" s="2957"/>
    </row>
    <row r="128" spans="1:29" s="430" customFormat="1" ht="15.75" thickBot="1">
      <c r="A128" s="510"/>
      <c r="B128" s="500"/>
      <c r="C128" s="517"/>
      <c r="D128" s="493"/>
      <c r="E128" s="493"/>
      <c r="F128" s="493"/>
      <c r="G128" s="517"/>
      <c r="H128" s="519"/>
      <c r="I128" s="519"/>
      <c r="J128" s="519"/>
      <c r="K128" s="519"/>
      <c r="L128" s="519"/>
      <c r="M128" s="520"/>
      <c r="N128" s="2965"/>
      <c r="O128" s="2965"/>
      <c r="P128" s="2973"/>
      <c r="Q128" s="2956"/>
      <c r="R128" s="2957"/>
      <c r="S128" s="2957"/>
      <c r="T128" s="2957"/>
      <c r="U128" s="2957"/>
      <c r="V128" s="2957"/>
      <c r="W128" s="2957"/>
      <c r="X128" s="2957"/>
      <c r="Y128" s="2957"/>
      <c r="Z128" s="2957"/>
      <c r="AA128" s="2957"/>
      <c r="AB128" s="2957"/>
      <c r="AC128" s="2957"/>
    </row>
    <row r="129" spans="1:29" ht="15" thickTop="1">
      <c r="A129" s="556"/>
      <c r="B129" s="495">
        <f>B46</f>
        <v>111</v>
      </c>
      <c r="C129" s="511"/>
      <c r="D129" s="511"/>
      <c r="E129" s="511"/>
      <c r="F129" s="511"/>
      <c r="G129" s="540"/>
      <c r="H129" s="540"/>
      <c r="I129" s="540"/>
      <c r="J129" s="540"/>
      <c r="K129" s="541"/>
      <c r="L129" s="542"/>
      <c r="M129" s="543"/>
      <c r="N129" s="2963"/>
      <c r="O129" s="2963"/>
      <c r="P129" s="2972"/>
      <c r="Q129" s="2949"/>
      <c r="R129" s="2935"/>
      <c r="S129" s="2935"/>
      <c r="T129" s="2935"/>
      <c r="U129" s="2935"/>
      <c r="V129" s="2935"/>
      <c r="W129" s="2935"/>
      <c r="X129" s="2935"/>
      <c r="Y129" s="2935"/>
      <c r="Z129" s="2935"/>
      <c r="AA129" s="2935"/>
      <c r="AB129" s="2935"/>
      <c r="AC129" s="2935"/>
    </row>
    <row r="130" spans="1:29" ht="15.75" thickBot="1">
      <c r="A130" s="491"/>
      <c r="B130" s="500"/>
      <c r="C130" s="517"/>
      <c r="D130" s="517"/>
      <c r="E130" s="517"/>
      <c r="F130" s="517"/>
      <c r="G130" s="493"/>
      <c r="H130" s="493"/>
      <c r="I130" s="493"/>
      <c r="J130" s="493"/>
      <c r="K130" s="493"/>
      <c r="L130" s="493"/>
      <c r="M130" s="494"/>
      <c r="N130" s="2964"/>
      <c r="O130" s="2964"/>
      <c r="P130" s="2972"/>
      <c r="Q130" s="2949"/>
      <c r="R130" s="2935"/>
      <c r="S130" s="2935"/>
      <c r="T130" s="2935"/>
      <c r="U130" s="2935"/>
      <c r="V130" s="2935"/>
      <c r="W130" s="2935"/>
      <c r="X130" s="2935"/>
      <c r="Y130" s="2935"/>
      <c r="Z130" s="2935"/>
      <c r="AA130" s="2935"/>
      <c r="AB130" s="2935"/>
      <c r="AC130" s="2935"/>
    </row>
    <row r="131" spans="1:29" ht="15" thickTop="1">
      <c r="A131" s="556"/>
      <c r="B131" s="503">
        <f>B47</f>
        <v>111</v>
      </c>
      <c r="C131" s="480"/>
      <c r="D131" s="480"/>
      <c r="E131" s="480"/>
      <c r="F131" s="480"/>
      <c r="G131" s="544"/>
      <c r="H131" s="544"/>
      <c r="I131" s="544"/>
      <c r="J131" s="544"/>
      <c r="K131" s="480"/>
      <c r="L131" s="481"/>
      <c r="M131" s="547"/>
      <c r="N131" s="2963"/>
      <c r="O131" s="2963"/>
      <c r="P131" s="2972"/>
      <c r="Q131" s="2949"/>
      <c r="R131" s="2935"/>
      <c r="S131" s="2935"/>
      <c r="T131" s="2935"/>
      <c r="U131" s="2935"/>
      <c r="V131" s="2935"/>
      <c r="W131" s="2935"/>
      <c r="X131" s="2935"/>
      <c r="Y131" s="2935"/>
      <c r="Z131" s="2935"/>
      <c r="AA131" s="2935"/>
      <c r="AB131" s="2935"/>
      <c r="AC131" s="2935"/>
    </row>
    <row r="132" spans="1:29" ht="15.75" thickBot="1">
      <c r="A132" s="2104"/>
      <c r="B132" s="526"/>
      <c r="C132" s="527"/>
      <c r="D132" s="527"/>
      <c r="E132" s="527"/>
      <c r="F132" s="527"/>
      <c r="G132" s="548"/>
      <c r="H132" s="548"/>
      <c r="I132" s="548"/>
      <c r="J132" s="548"/>
      <c r="K132" s="548"/>
      <c r="L132" s="548"/>
      <c r="M132" s="549"/>
      <c r="N132" s="2964"/>
      <c r="O132" s="2964"/>
      <c r="P132" s="2972"/>
      <c r="Q132" s="2949"/>
      <c r="R132" s="2935"/>
      <c r="S132" s="2935"/>
      <c r="T132" s="2935"/>
      <c r="U132" s="2935"/>
      <c r="V132" s="2935"/>
      <c r="W132" s="2935"/>
      <c r="X132" s="2935"/>
      <c r="Y132" s="2935"/>
      <c r="Z132" s="2935"/>
      <c r="AA132" s="2935"/>
      <c r="AB132" s="2935"/>
      <c r="AC132" s="293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15" sqref="M15"/>
    </sheetView>
  </sheetViews>
  <sheetFormatPr defaultColWidth="9" defaultRowHeight="14.25"/>
  <cols>
    <col min="1" max="1" width="10.5" style="363" customWidth="1"/>
    <col min="2" max="2" width="18.5" style="363" customWidth="1"/>
    <col min="3" max="3" width="23.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7" t="s">
        <v>2462</v>
      </c>
      <c r="C1" s="1401" t="s">
        <v>2350</v>
      </c>
      <c r="D1" s="1388" t="s">
        <v>3179</v>
      </c>
      <c r="E1" s="2533"/>
      <c r="F1" s="2058" t="s">
        <v>3112</v>
      </c>
      <c r="G1" s="1398" t="s">
        <v>2463</v>
      </c>
      <c r="H1" s="1397"/>
      <c r="I1" s="1397"/>
      <c r="J1" s="1397"/>
      <c r="K1" s="1399"/>
      <c r="L1" s="1400"/>
      <c r="M1" s="1401"/>
      <c r="N1" s="1401"/>
      <c r="O1" s="1401"/>
      <c r="P1" s="2125"/>
      <c r="Q1" s="2126"/>
      <c r="R1" s="2126"/>
      <c r="S1" s="2126"/>
      <c r="T1" s="2126"/>
      <c r="U1" s="2126"/>
      <c r="V1" s="2126"/>
      <c r="W1" s="2126"/>
      <c r="X1" s="2126"/>
      <c r="Y1" s="2126"/>
      <c r="Z1" s="2126"/>
      <c r="AA1" s="2126"/>
      <c r="AB1" s="2126"/>
      <c r="AC1" s="2127"/>
    </row>
    <row r="2" spans="1:29" s="358" customFormat="1" ht="28.5" customHeight="1" thickTop="1">
      <c r="A2" s="1384" t="s">
        <v>2147</v>
      </c>
      <c r="B2" s="1321">
        <f>IF(C2="——",ROUND(C49*D3/10000,0),ROUND(C49*D3/10000,0)-D2)</f>
        <v>6736</v>
      </c>
      <c r="C2" s="2060" t="s">
        <v>70</v>
      </c>
      <c r="D2" s="1270" t="e">
        <f ca="1">SUMIF(INDIRECT("'"&amp;F2&amp;"'"&amp;"!A:A"),"承租人权益价值",INDIRECT("'"&amp;F2&amp;"'"&amp;"!c:c"))</f>
        <v>#REF!</v>
      </c>
      <c r="E2" s="2061" t="s">
        <v>2148</v>
      </c>
      <c r="F2" s="2062"/>
      <c r="G2" s="1036"/>
      <c r="H2" s="1036"/>
      <c r="I2" s="1036"/>
      <c r="J2" s="1036"/>
      <c r="K2" s="1036"/>
      <c r="L2" s="2944"/>
      <c r="M2" s="2945"/>
      <c r="N2" s="2945"/>
      <c r="O2" s="2945"/>
      <c r="P2" s="2128"/>
      <c r="Q2" s="1040"/>
      <c r="R2" s="1040"/>
      <c r="S2" s="1040"/>
      <c r="T2" s="1040"/>
      <c r="U2" s="1040"/>
      <c r="V2" s="1040"/>
      <c r="W2" s="1040"/>
      <c r="X2" s="1040"/>
      <c r="Y2" s="1040"/>
      <c r="Z2" s="1040"/>
      <c r="AA2" s="1040"/>
      <c r="AB2" s="1040"/>
      <c r="AC2" s="2129"/>
    </row>
    <row r="3" spans="1:29" s="358" customFormat="1" ht="28.5" customHeight="1" thickBot="1">
      <c r="A3" s="209" t="s">
        <v>2149</v>
      </c>
      <c r="B3" s="566">
        <f>IF(C2="——",C49,ROUND(B2*10000/D3,0))</f>
        <v>34472</v>
      </c>
      <c r="C3" s="360" t="s">
        <v>2464</v>
      </c>
      <c r="D3" s="359">
        <f>IF(D1="",'数据-汇总表'!E3,SUMIF('数据-汇总表'!$C19:$C33,D1,'数据-汇总表'!$E19:$E33))</f>
        <v>1954.06</v>
      </c>
      <c r="E3" s="2130"/>
      <c r="F3" s="1037"/>
      <c r="G3" s="1036"/>
      <c r="H3" s="1036"/>
      <c r="I3" s="1036"/>
      <c r="J3" s="1036"/>
      <c r="K3" s="1038"/>
      <c r="L3" s="2944"/>
      <c r="M3" s="2945"/>
      <c r="N3" s="2945"/>
      <c r="O3" s="2945"/>
      <c r="P3" s="2128"/>
      <c r="Q3" s="1040"/>
      <c r="R3" s="1040"/>
      <c r="S3" s="1040"/>
      <c r="T3" s="1040"/>
      <c r="U3" s="1040"/>
      <c r="V3" s="1040"/>
      <c r="W3" s="1040"/>
      <c r="X3" s="1040"/>
      <c r="Y3" s="1040"/>
      <c r="Z3" s="1040"/>
      <c r="AA3" s="1040"/>
      <c r="AB3" s="1040"/>
      <c r="AC3" s="2130"/>
    </row>
    <row r="4" spans="1:29" ht="15">
      <c r="A4" s="361" t="s">
        <v>2465</v>
      </c>
      <c r="B4" s="362"/>
      <c r="C4" s="3310" t="s">
        <v>2466</v>
      </c>
      <c r="D4" s="3311"/>
      <c r="E4" s="3312" t="s">
        <v>2467</v>
      </c>
      <c r="F4" s="3313"/>
      <c r="G4" s="3310" t="s">
        <v>2468</v>
      </c>
      <c r="H4" s="3311"/>
      <c r="I4" s="3310" t="s">
        <v>2469</v>
      </c>
      <c r="J4" s="3311"/>
      <c r="K4" s="567" t="s">
        <v>2470</v>
      </c>
      <c r="L4" s="2925"/>
      <c r="M4" s="2926"/>
      <c r="N4" s="2926"/>
      <c r="O4" s="2926"/>
      <c r="P4" s="3314" t="s">
        <v>2471</v>
      </c>
      <c r="Q4" s="3315"/>
      <c r="R4" s="3297" t="s">
        <v>2467</v>
      </c>
      <c r="S4" s="3298"/>
      <c r="T4" s="3297" t="s">
        <v>2468</v>
      </c>
      <c r="U4" s="3298"/>
      <c r="V4" s="3322" t="s">
        <v>2469</v>
      </c>
      <c r="W4" s="3322"/>
      <c r="X4" s="1532"/>
      <c r="Y4" s="3297" t="s">
        <v>2471</v>
      </c>
      <c r="Z4" s="3298"/>
      <c r="AA4" s="3292" t="s">
        <v>2467</v>
      </c>
      <c r="AB4" s="3322" t="s">
        <v>2468</v>
      </c>
      <c r="AC4" s="3292" t="s">
        <v>2469</v>
      </c>
    </row>
    <row r="5" spans="1:29" ht="13.9" customHeight="1">
      <c r="A5" s="364"/>
      <c r="B5" s="365"/>
      <c r="C5" s="3355" t="s">
        <v>3182</v>
      </c>
      <c r="D5" s="3304"/>
      <c r="E5" s="3354" t="s">
        <v>3196</v>
      </c>
      <c r="F5" s="3304"/>
      <c r="G5" s="3354" t="s">
        <v>3201</v>
      </c>
      <c r="H5" s="3304"/>
      <c r="I5" s="3341" t="s">
        <v>3203</v>
      </c>
      <c r="J5" s="3304"/>
      <c r="K5" s="567"/>
      <c r="L5" s="2925"/>
      <c r="M5" s="2926"/>
      <c r="N5" s="2926"/>
      <c r="O5" s="2926"/>
      <c r="P5" s="3316"/>
      <c r="Q5" s="3317"/>
      <c r="R5" s="3299"/>
      <c r="S5" s="3300"/>
      <c r="T5" s="3299"/>
      <c r="U5" s="3300"/>
      <c r="V5" s="3322"/>
      <c r="W5" s="3322"/>
      <c r="X5" s="1532"/>
      <c r="Y5" s="3299"/>
      <c r="Z5" s="3300"/>
      <c r="AA5" s="3293"/>
      <c r="AB5" s="3322"/>
      <c r="AC5" s="3293"/>
    </row>
    <row r="6" spans="1:29" ht="15.75" thickBot="1">
      <c r="A6" s="366"/>
      <c r="B6" s="367"/>
      <c r="C6" s="3305" t="s">
        <v>2366</v>
      </c>
      <c r="D6" s="3306"/>
      <c r="E6" s="3307" t="s">
        <v>2366</v>
      </c>
      <c r="F6" s="3308"/>
      <c r="G6" s="3305" t="s">
        <v>2366</v>
      </c>
      <c r="H6" s="3306"/>
      <c r="I6" s="3305" t="s">
        <v>2366</v>
      </c>
      <c r="J6" s="3306"/>
      <c r="K6" s="567" t="s">
        <v>2367</v>
      </c>
      <c r="L6" s="2925"/>
      <c r="M6" s="2926"/>
      <c r="N6" s="2926"/>
      <c r="O6" s="2926"/>
      <c r="P6" s="3318"/>
      <c r="Q6" s="3319"/>
      <c r="R6" s="3299"/>
      <c r="S6" s="3300"/>
      <c r="T6" s="3320"/>
      <c r="U6" s="3321"/>
      <c r="V6" s="3322"/>
      <c r="W6" s="3322"/>
      <c r="X6" s="1532"/>
      <c r="Y6" s="3320"/>
      <c r="Z6" s="3321"/>
      <c r="AA6" s="3294"/>
      <c r="AB6" s="3322"/>
      <c r="AC6" s="3294"/>
    </row>
    <row r="7" spans="1:29" s="113" customFormat="1" ht="15.75" thickBot="1">
      <c r="A7" s="368" t="s">
        <v>2368</v>
      </c>
      <c r="B7" s="369"/>
      <c r="C7" s="370">
        <f>'数据-取费表'!B2</f>
        <v>44336</v>
      </c>
      <c r="D7" s="371">
        <v>100</v>
      </c>
      <c r="E7" s="372">
        <v>44317</v>
      </c>
      <c r="F7" s="373">
        <f>SUMIF(58:58,YEAR(E7)&amp;"-"&amp;MONTH(E7),59:59)</f>
        <v>100</v>
      </c>
      <c r="G7" s="372">
        <v>44317</v>
      </c>
      <c r="H7" s="371">
        <f>SUMIF(58:58,YEAR(G7)&amp;"-"&amp;MONTH(G7),59:59)</f>
        <v>100</v>
      </c>
      <c r="I7" s="372">
        <v>44317</v>
      </c>
      <c r="J7" s="371">
        <f>SUMIF(58:58,YEAR(I7)&amp;"-"&amp;MONTH(I7),59:59)</f>
        <v>100</v>
      </c>
      <c r="K7" s="568"/>
      <c r="L7" s="2927"/>
      <c r="M7" s="2928"/>
      <c r="N7" s="2928"/>
      <c r="O7" s="2928"/>
      <c r="P7" s="3295" t="s">
        <v>2369</v>
      </c>
      <c r="Q7" s="3323"/>
      <c r="R7" s="708" t="s">
        <v>17</v>
      </c>
      <c r="S7" s="709">
        <f t="shared" ref="S7:S15" si="0">F7</f>
        <v>100</v>
      </c>
      <c r="T7" s="708" t="s">
        <v>17</v>
      </c>
      <c r="U7" s="709">
        <f t="shared" ref="U7:U15" si="1">H7</f>
        <v>100</v>
      </c>
      <c r="V7" s="708" t="s">
        <v>17</v>
      </c>
      <c r="W7" s="709">
        <f t="shared" ref="W7:W15" si="2">J7</f>
        <v>100</v>
      </c>
      <c r="X7" s="710"/>
      <c r="Y7" s="3295" t="s">
        <v>2369</v>
      </c>
      <c r="Z7" s="3296"/>
      <c r="AA7" s="711">
        <f>D7/F7</f>
        <v>1</v>
      </c>
      <c r="AB7" s="711">
        <f>D7/H7</f>
        <v>1</v>
      </c>
      <c r="AC7" s="711">
        <f>D7/J7</f>
        <v>1</v>
      </c>
    </row>
    <row r="8" spans="1:29" s="113" customFormat="1" ht="15.75" thickBot="1">
      <c r="A8" s="368" t="s">
        <v>2370</v>
      </c>
      <c r="B8" s="369"/>
      <c r="C8" s="374" t="s">
        <v>2472</v>
      </c>
      <c r="D8" s="371">
        <v>100</v>
      </c>
      <c r="E8" s="374" t="s">
        <v>3155</v>
      </c>
      <c r="F8" s="373">
        <f>SUMIF(61:61,E8,62:62)-SUMIF(61:61,C8,62:62)+100</f>
        <v>100</v>
      </c>
      <c r="G8" s="374" t="s">
        <v>3155</v>
      </c>
      <c r="H8" s="371">
        <f>SUMIF(61:61,G8,62:62)-SUMIF(61:61,C8,62:62)+100</f>
        <v>100</v>
      </c>
      <c r="I8" s="374" t="s">
        <v>3155</v>
      </c>
      <c r="J8" s="371">
        <f>SUMIF(61:61,I8,62:62)-SUMIF(61:61,C8,62:62)+100</f>
        <v>100</v>
      </c>
      <c r="K8" s="568"/>
      <c r="L8" s="2927"/>
      <c r="M8" s="2928"/>
      <c r="N8" s="2928"/>
      <c r="O8" s="2928"/>
      <c r="P8" s="3295" t="s">
        <v>2372</v>
      </c>
      <c r="Q8" s="3296"/>
      <c r="R8" s="708" t="s">
        <v>17</v>
      </c>
      <c r="S8" s="709">
        <f t="shared" si="0"/>
        <v>100</v>
      </c>
      <c r="T8" s="708" t="s">
        <v>17</v>
      </c>
      <c r="U8" s="709">
        <f t="shared" si="1"/>
        <v>100</v>
      </c>
      <c r="V8" s="708" t="s">
        <v>17</v>
      </c>
      <c r="W8" s="709">
        <f t="shared" si="2"/>
        <v>100</v>
      </c>
      <c r="X8" s="710"/>
      <c r="Y8" s="3295" t="s">
        <v>2372</v>
      </c>
      <c r="Z8" s="3296"/>
      <c r="AA8" s="711">
        <f t="shared" ref="AA8:AA46" si="3">D8/F8</f>
        <v>1</v>
      </c>
      <c r="AB8" s="711">
        <f t="shared" ref="AB8:AB46" si="4">D8/H8</f>
        <v>1</v>
      </c>
      <c r="AC8" s="711">
        <f t="shared" ref="AC8:AC46" si="5">D8/J8</f>
        <v>1</v>
      </c>
    </row>
    <row r="9" spans="1:29" s="113" customFormat="1">
      <c r="A9" s="375" t="s">
        <v>2373</v>
      </c>
      <c r="B9" s="67" t="s">
        <v>2374</v>
      </c>
      <c r="C9" s="3068" t="s">
        <v>3153</v>
      </c>
      <c r="D9" s="131">
        <v>100</v>
      </c>
      <c r="E9" s="377" t="s">
        <v>1343</v>
      </c>
      <c r="F9" s="378">
        <f>SUMIF(63:63,E9,64:64)-SUMIF(63:63,C9,64:64)+100</f>
        <v>100</v>
      </c>
      <c r="G9" s="377" t="s">
        <v>1343</v>
      </c>
      <c r="H9" s="131">
        <f>SUMIF(63:63,G9,64:64)-SUMIF(63:63,C9,64:64)+100</f>
        <v>100</v>
      </c>
      <c r="I9" s="377" t="s">
        <v>1343</v>
      </c>
      <c r="J9" s="131">
        <f>SUMIF(63:63,I9,64:64)-SUMIF(63:63,C9,64:64)+100</f>
        <v>100</v>
      </c>
      <c r="K9" s="568"/>
      <c r="L9" s="2927"/>
      <c r="M9" s="2928"/>
      <c r="N9" s="2928"/>
      <c r="O9" s="2928"/>
      <c r="P9" s="3309" t="s">
        <v>2375</v>
      </c>
      <c r="Q9" s="1520" t="str">
        <f t="shared" ref="Q9:Q15" si="6">B9</f>
        <v>用途</v>
      </c>
      <c r="R9" s="708" t="s">
        <v>17</v>
      </c>
      <c r="S9" s="709">
        <f t="shared" si="0"/>
        <v>100</v>
      </c>
      <c r="T9" s="708" t="s">
        <v>17</v>
      </c>
      <c r="U9" s="709">
        <f t="shared" si="1"/>
        <v>100</v>
      </c>
      <c r="V9" s="708" t="s">
        <v>17</v>
      </c>
      <c r="W9" s="709">
        <f t="shared" si="2"/>
        <v>100</v>
      </c>
      <c r="X9" s="710"/>
      <c r="Y9" s="3260" t="s">
        <v>2376</v>
      </c>
      <c r="Z9" s="55" t="str">
        <f t="shared" ref="Z9:Z15" si="7">Q9</f>
        <v>用途</v>
      </c>
      <c r="AA9" s="711">
        <f t="shared" si="3"/>
        <v>1</v>
      </c>
      <c r="AB9" s="711">
        <f t="shared" si="4"/>
        <v>1</v>
      </c>
      <c r="AC9" s="711">
        <f t="shared" si="5"/>
        <v>1</v>
      </c>
    </row>
    <row r="10" spans="1:29" s="386" customFormat="1" ht="15">
      <c r="A10" s="380"/>
      <c r="B10" s="381" t="s">
        <v>2377</v>
      </c>
      <c r="C10" s="382" t="s">
        <v>3154</v>
      </c>
      <c r="D10" s="132">
        <v>100</v>
      </c>
      <c r="E10" s="382" t="s">
        <v>3154</v>
      </c>
      <c r="F10" s="384">
        <f>SUMIF(65:65,E10,66:66)-SUMIF(65:65,C10,66:66)+100</f>
        <v>100</v>
      </c>
      <c r="G10" s="382" t="s">
        <v>3154</v>
      </c>
      <c r="H10" s="132">
        <f>SUMIF(65:65,G10,66:66)-SUMIF(65:65,C10,66:66)+100</f>
        <v>100</v>
      </c>
      <c r="I10" s="382" t="s">
        <v>3154</v>
      </c>
      <c r="J10" s="132">
        <f>SUMIF(65:65,I10,66:66)-SUMIF(65:65,C10,66:66)+100</f>
        <v>100</v>
      </c>
      <c r="K10" s="569"/>
      <c r="L10" s="2929"/>
      <c r="M10" s="2930"/>
      <c r="N10" s="2930"/>
      <c r="O10" s="2930"/>
      <c r="P10" s="3309"/>
      <c r="Q10" s="1520" t="str">
        <f t="shared" si="6"/>
        <v>土地使用年限（年）</v>
      </c>
      <c r="R10" s="708" t="s">
        <v>17</v>
      </c>
      <c r="S10" s="709">
        <f t="shared" si="0"/>
        <v>100</v>
      </c>
      <c r="T10" s="708" t="s">
        <v>17</v>
      </c>
      <c r="U10" s="709">
        <f t="shared" si="1"/>
        <v>100</v>
      </c>
      <c r="V10" s="708" t="s">
        <v>17</v>
      </c>
      <c r="W10" s="709">
        <f t="shared" si="2"/>
        <v>100</v>
      </c>
      <c r="X10" s="710"/>
      <c r="Y10" s="3260"/>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1"/>
      <c r="M11" s="2926"/>
      <c r="N11" s="2926"/>
      <c r="O11" s="2926"/>
      <c r="P11" s="3309"/>
      <c r="Q11" s="1520" t="str">
        <f t="shared" si="6"/>
        <v>容积率</v>
      </c>
      <c r="R11" s="708" t="s">
        <v>17</v>
      </c>
      <c r="S11" s="709">
        <f t="shared" si="0"/>
        <v>100</v>
      </c>
      <c r="T11" s="708" t="s">
        <v>17</v>
      </c>
      <c r="U11" s="709">
        <f t="shared" si="1"/>
        <v>100</v>
      </c>
      <c r="V11" s="708" t="s">
        <v>17</v>
      </c>
      <c r="W11" s="709">
        <f t="shared" si="2"/>
        <v>100</v>
      </c>
      <c r="X11" s="710"/>
      <c r="Y11" s="3260"/>
      <c r="Z11" s="55" t="str">
        <f t="shared" si="7"/>
        <v>容积率</v>
      </c>
      <c r="AA11" s="711">
        <f t="shared" si="3"/>
        <v>1</v>
      </c>
      <c r="AB11" s="711">
        <f t="shared" si="4"/>
        <v>1</v>
      </c>
      <c r="AC11" s="711">
        <f t="shared" si="5"/>
        <v>1</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27"/>
      <c r="M12" s="2928"/>
      <c r="N12" s="2928"/>
      <c r="O12" s="2928"/>
      <c r="P12" s="3309"/>
      <c r="Q12" s="1520">
        <f t="shared" si="6"/>
        <v>111</v>
      </c>
      <c r="R12" s="708" t="s">
        <v>17</v>
      </c>
      <c r="S12" s="709">
        <f t="shared" si="0"/>
        <v>100</v>
      </c>
      <c r="T12" s="708" t="s">
        <v>17</v>
      </c>
      <c r="U12" s="709">
        <f t="shared" si="1"/>
        <v>100</v>
      </c>
      <c r="V12" s="708" t="s">
        <v>17</v>
      </c>
      <c r="W12" s="709">
        <f t="shared" si="2"/>
        <v>100</v>
      </c>
      <c r="X12" s="710"/>
      <c r="Y12" s="3260"/>
      <c r="Z12" s="55">
        <f t="shared" si="7"/>
        <v>111</v>
      </c>
      <c r="AA12" s="711">
        <f>D12/F12</f>
        <v>1</v>
      </c>
      <c r="AB12" s="711">
        <f>D12/H12</f>
        <v>1</v>
      </c>
      <c r="AC12" s="711">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32"/>
      <c r="M13" s="2926"/>
      <c r="N13" s="2926"/>
      <c r="O13" s="2926"/>
      <c r="P13" s="3309"/>
      <c r="Q13" s="1520">
        <f t="shared" si="6"/>
        <v>111</v>
      </c>
      <c r="R13" s="708" t="s">
        <v>17</v>
      </c>
      <c r="S13" s="709">
        <f t="shared" si="0"/>
        <v>100</v>
      </c>
      <c r="T13" s="708" t="s">
        <v>17</v>
      </c>
      <c r="U13" s="709">
        <f t="shared" si="1"/>
        <v>100</v>
      </c>
      <c r="V13" s="708" t="s">
        <v>17</v>
      </c>
      <c r="W13" s="709">
        <f t="shared" si="2"/>
        <v>100</v>
      </c>
      <c r="X13" s="710"/>
      <c r="Y13" s="3260"/>
      <c r="Z13" s="55">
        <f t="shared" si="7"/>
        <v>111</v>
      </c>
      <c r="AA13" s="711">
        <f t="shared" si="3"/>
        <v>1</v>
      </c>
      <c r="AB13" s="711">
        <f t="shared" si="4"/>
        <v>1</v>
      </c>
      <c r="AC13" s="711">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32"/>
      <c r="M14" s="2926"/>
      <c r="N14" s="2926"/>
      <c r="O14" s="2926"/>
      <c r="P14" s="3309"/>
      <c r="Q14" s="1520">
        <f t="shared" si="6"/>
        <v>111</v>
      </c>
      <c r="R14" s="708" t="s">
        <v>17</v>
      </c>
      <c r="S14" s="709">
        <f t="shared" si="0"/>
        <v>100</v>
      </c>
      <c r="T14" s="708" t="s">
        <v>17</v>
      </c>
      <c r="U14" s="709">
        <f t="shared" si="1"/>
        <v>100</v>
      </c>
      <c r="V14" s="708" t="s">
        <v>17</v>
      </c>
      <c r="W14" s="709">
        <f t="shared" si="2"/>
        <v>100</v>
      </c>
      <c r="X14" s="710"/>
      <c r="Y14" s="3260"/>
      <c r="Z14" s="55">
        <f t="shared" si="7"/>
        <v>111</v>
      </c>
      <c r="AA14" s="711">
        <f t="shared" si="3"/>
        <v>1</v>
      </c>
      <c r="AB14" s="711">
        <f t="shared" si="4"/>
        <v>1</v>
      </c>
      <c r="AC14" s="711">
        <f t="shared" si="5"/>
        <v>1</v>
      </c>
    </row>
    <row r="15" spans="1:29" ht="71.45" customHeight="1">
      <c r="A15" s="399" t="s">
        <v>2379</v>
      </c>
      <c r="B15" s="65" t="s">
        <v>2473</v>
      </c>
      <c r="C15" s="2074" t="str">
        <f>估价对象房地状况!C4</f>
        <v>估价对象位于平阳路，周边商业氛围较成熟，有赛格科技广场、尚品购物中心等商业项目，人流量较大，商业繁华度较好</v>
      </c>
      <c r="D15" s="400">
        <v>100</v>
      </c>
      <c r="E15" s="401"/>
      <c r="F15" s="402">
        <f>SUMIF(76:76,E16,77:77)-SUMIF(76:76,C16,77:77)+100</f>
        <v>103</v>
      </c>
      <c r="G15" s="403"/>
      <c r="H15" s="400">
        <f>SUMIF(76:76,G16,77:77)-SUMIF(76:76,C16,77:77)+100</f>
        <v>100</v>
      </c>
      <c r="I15" s="401"/>
      <c r="J15" s="400">
        <f>SUMIF(76:76,I16,77:77)-SUMIF(76:76,C16,77:77)+100</f>
        <v>100</v>
      </c>
      <c r="K15" s="571">
        <v>3</v>
      </c>
      <c r="L15" s="2932"/>
      <c r="M15" s="2926"/>
      <c r="N15" s="2926"/>
      <c r="O15" s="2926"/>
      <c r="P15" s="3336" t="s">
        <v>2380</v>
      </c>
      <c r="Q15" s="1529" t="str">
        <f t="shared" si="6"/>
        <v>商业繁华度</v>
      </c>
      <c r="R15" s="712" t="s">
        <v>17</v>
      </c>
      <c r="S15" s="713">
        <f t="shared" si="0"/>
        <v>103</v>
      </c>
      <c r="T15" s="712" t="s">
        <v>17</v>
      </c>
      <c r="U15" s="713">
        <f t="shared" si="1"/>
        <v>100</v>
      </c>
      <c r="V15" s="712" t="s">
        <v>17</v>
      </c>
      <c r="W15" s="713">
        <f t="shared" si="2"/>
        <v>100</v>
      </c>
      <c r="X15" s="1532"/>
      <c r="Y15" s="3329" t="s">
        <v>2380</v>
      </c>
      <c r="Z15" s="1533" t="str">
        <f t="shared" si="7"/>
        <v>商业繁华度</v>
      </c>
      <c r="AA15" s="1530">
        <f t="shared" si="3"/>
        <v>0.970873786407767</v>
      </c>
      <c r="AB15" s="1530">
        <f t="shared" si="4"/>
        <v>1</v>
      </c>
      <c r="AC15" s="1530">
        <f t="shared" si="5"/>
        <v>1</v>
      </c>
    </row>
    <row r="16" spans="1:29" ht="15">
      <c r="A16" s="387"/>
      <c r="B16" s="405"/>
      <c r="C16" s="406" t="s">
        <v>3085</v>
      </c>
      <c r="D16" s="407"/>
      <c r="E16" s="406" t="s">
        <v>3156</v>
      </c>
      <c r="F16" s="408"/>
      <c r="G16" s="406" t="s">
        <v>3085</v>
      </c>
      <c r="H16" s="409"/>
      <c r="I16" s="406" t="s">
        <v>3085</v>
      </c>
      <c r="J16" s="407"/>
      <c r="K16" s="572"/>
      <c r="L16" s="2932"/>
      <c r="M16" s="2926"/>
      <c r="N16" s="2926"/>
      <c r="O16" s="2926"/>
      <c r="P16" s="3337"/>
      <c r="Q16" s="1529"/>
      <c r="R16" s="712"/>
      <c r="S16" s="713"/>
      <c r="T16" s="712"/>
      <c r="U16" s="713"/>
      <c r="V16" s="712"/>
      <c r="W16" s="713"/>
      <c r="X16" s="1532"/>
      <c r="Y16" s="3330"/>
      <c r="Z16" s="1533"/>
      <c r="AA16" s="1530">
        <v>1</v>
      </c>
      <c r="AB16" s="1530">
        <v>1</v>
      </c>
      <c r="AC16" s="1530">
        <v>1</v>
      </c>
    </row>
    <row r="17" spans="1:29" ht="93.6" customHeight="1">
      <c r="A17" s="387"/>
      <c r="B17" s="410" t="s">
        <v>1944</v>
      </c>
      <c r="C17" s="2078" t="str">
        <f>估价对象房地状况!C6</f>
        <v>估价对象紧邻平阳路，有13、39、56、65、901等公交线路，项目有地面停车场，综合评价交通便捷度较好。</v>
      </c>
      <c r="D17" s="409">
        <v>100</v>
      </c>
      <c r="E17" s="411"/>
      <c r="F17" s="412">
        <f>SUMIF(78:78,E18,79:79)-SUMIF(78:78,C18,79:79)+100</f>
        <v>100</v>
      </c>
      <c r="G17" s="413"/>
      <c r="H17" s="414">
        <f>SUMIF(78:78,G18,79:79)-SUMIF(78:78,C18,79:79)+100</f>
        <v>100</v>
      </c>
      <c r="I17" s="411"/>
      <c r="J17" s="414">
        <f>SUMIF(78:78,I18,79:79)-SUMIF(78:78,C18,79:79)+100</f>
        <v>100</v>
      </c>
      <c r="K17" s="571">
        <f>'比较法-办公'!K17</f>
        <v>3</v>
      </c>
      <c r="L17" s="2932"/>
      <c r="M17" s="2926"/>
      <c r="N17" s="2926"/>
      <c r="O17" s="2926"/>
      <c r="P17" s="3337"/>
      <c r="Q17" s="1529" t="str">
        <f>B17</f>
        <v>交通便捷度</v>
      </c>
      <c r="R17" s="712" t="s">
        <v>17</v>
      </c>
      <c r="S17" s="713">
        <f>F17</f>
        <v>100</v>
      </c>
      <c r="T17" s="712" t="s">
        <v>17</v>
      </c>
      <c r="U17" s="713">
        <f>H17</f>
        <v>100</v>
      </c>
      <c r="V17" s="712" t="s">
        <v>17</v>
      </c>
      <c r="W17" s="713">
        <f>J17</f>
        <v>100</v>
      </c>
      <c r="X17" s="1532"/>
      <c r="Y17" s="3330"/>
      <c r="Z17" s="1533" t="str">
        <f>Q17</f>
        <v>交通便捷度</v>
      </c>
      <c r="AA17" s="1530">
        <f t="shared" si="3"/>
        <v>1</v>
      </c>
      <c r="AB17" s="1530">
        <f t="shared" si="4"/>
        <v>1</v>
      </c>
      <c r="AC17" s="1530">
        <f t="shared" si="5"/>
        <v>1</v>
      </c>
    </row>
    <row r="18" spans="1:29" ht="15">
      <c r="A18" s="387"/>
      <c r="B18" s="415"/>
      <c r="C18" s="2079" t="s">
        <v>3085</v>
      </c>
      <c r="D18" s="409"/>
      <c r="E18" s="2079" t="s">
        <v>3085</v>
      </c>
      <c r="F18" s="412"/>
      <c r="G18" s="2079" t="s">
        <v>3085</v>
      </c>
      <c r="H18" s="407"/>
      <c r="I18" s="2079" t="s">
        <v>3085</v>
      </c>
      <c r="J18" s="407"/>
      <c r="K18" s="572"/>
      <c r="L18" s="2932"/>
      <c r="M18" s="2926"/>
      <c r="N18" s="2926"/>
      <c r="O18" s="2926"/>
      <c r="P18" s="3337"/>
      <c r="Q18" s="1529"/>
      <c r="R18" s="712"/>
      <c r="S18" s="713"/>
      <c r="T18" s="712"/>
      <c r="U18" s="713"/>
      <c r="V18" s="712"/>
      <c r="W18" s="713"/>
      <c r="X18" s="1532"/>
      <c r="Y18" s="3330"/>
      <c r="Z18" s="1533"/>
      <c r="AA18" s="1530">
        <v>1</v>
      </c>
      <c r="AB18" s="1530">
        <v>1</v>
      </c>
      <c r="AC18" s="1530">
        <v>1</v>
      </c>
    </row>
    <row r="19" spans="1:29" ht="28.5">
      <c r="A19" s="387"/>
      <c r="B19" s="410" t="s">
        <v>2474</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f>'比较法-办公'!K19</f>
        <v>2</v>
      </c>
      <c r="L19" s="2932"/>
      <c r="M19" s="2926"/>
      <c r="N19" s="2926"/>
      <c r="O19" s="2926"/>
      <c r="P19" s="3337"/>
      <c r="Q19" s="1529" t="str">
        <f>B19</f>
        <v>公共配套设施</v>
      </c>
      <c r="R19" s="712" t="s">
        <v>17</v>
      </c>
      <c r="S19" s="713">
        <f>F19</f>
        <v>100</v>
      </c>
      <c r="T19" s="712" t="s">
        <v>17</v>
      </c>
      <c r="U19" s="713">
        <f>H19</f>
        <v>100</v>
      </c>
      <c r="V19" s="712" t="s">
        <v>17</v>
      </c>
      <c r="W19" s="713">
        <f>J19</f>
        <v>100</v>
      </c>
      <c r="X19" s="1532"/>
      <c r="Y19" s="3330"/>
      <c r="Z19" s="1533" t="str">
        <f>Q19</f>
        <v>公共配套设施</v>
      </c>
      <c r="AA19" s="1530">
        <f t="shared" si="3"/>
        <v>1</v>
      </c>
      <c r="AB19" s="1530">
        <f t="shared" si="4"/>
        <v>1</v>
      </c>
      <c r="AC19" s="1530">
        <f t="shared" si="5"/>
        <v>1</v>
      </c>
    </row>
    <row r="20" spans="1:29" ht="15">
      <c r="A20" s="387"/>
      <c r="B20" s="415"/>
      <c r="C20" s="406" t="s">
        <v>3085</v>
      </c>
      <c r="D20" s="407"/>
      <c r="E20" s="406" t="s">
        <v>3085</v>
      </c>
      <c r="F20" s="408"/>
      <c r="G20" s="406" t="s">
        <v>3085</v>
      </c>
      <c r="H20" s="407"/>
      <c r="I20" s="406" t="s">
        <v>3085</v>
      </c>
      <c r="J20" s="407"/>
      <c r="K20" s="572"/>
      <c r="L20" s="2932"/>
      <c r="M20" s="2926"/>
      <c r="N20" s="2926"/>
      <c r="O20" s="2926"/>
      <c r="P20" s="3337"/>
      <c r="Q20" s="1529"/>
      <c r="R20" s="712"/>
      <c r="S20" s="713"/>
      <c r="T20" s="712"/>
      <c r="U20" s="713"/>
      <c r="V20" s="712"/>
      <c r="W20" s="713"/>
      <c r="X20" s="1532"/>
      <c r="Y20" s="3330"/>
      <c r="Z20" s="1533"/>
      <c r="AA20" s="1530">
        <v>1</v>
      </c>
      <c r="AB20" s="1530">
        <v>1</v>
      </c>
      <c r="AC20" s="1530">
        <v>1</v>
      </c>
    </row>
    <row r="21" spans="1:29" ht="28.5">
      <c r="A21" s="387"/>
      <c r="B21" s="1288" t="s">
        <v>2475</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f>'比较法-办公'!K21</f>
        <v>1</v>
      </c>
      <c r="L21" s="2932"/>
      <c r="M21" s="2926"/>
      <c r="N21" s="2926"/>
      <c r="O21" s="2926"/>
      <c r="P21" s="3337"/>
      <c r="Q21" s="1529" t="str">
        <f>B21</f>
        <v>基础设施水平</v>
      </c>
      <c r="R21" s="712" t="s">
        <v>17</v>
      </c>
      <c r="S21" s="713">
        <f>F21</f>
        <v>100</v>
      </c>
      <c r="T21" s="712" t="s">
        <v>17</v>
      </c>
      <c r="U21" s="713">
        <f>H21</f>
        <v>100</v>
      </c>
      <c r="V21" s="712" t="s">
        <v>17</v>
      </c>
      <c r="W21" s="713">
        <f>J21</f>
        <v>100</v>
      </c>
      <c r="X21" s="1532"/>
      <c r="Y21" s="3330"/>
      <c r="Z21" s="1533" t="str">
        <f>Q21</f>
        <v>基础设施水平</v>
      </c>
      <c r="AA21" s="1530">
        <f t="shared" ref="AA21" si="8">D21/F21</f>
        <v>1</v>
      </c>
      <c r="AB21" s="1530">
        <f t="shared" ref="AB21" si="9">D21/H21</f>
        <v>1</v>
      </c>
      <c r="AC21" s="1530">
        <f t="shared" ref="AC21" si="10">D21/J21</f>
        <v>1</v>
      </c>
    </row>
    <row r="22" spans="1:29" ht="15">
      <c r="A22" s="387"/>
      <c r="B22" s="1288"/>
      <c r="C22" s="406" t="s">
        <v>3180</v>
      </c>
      <c r="D22" s="407"/>
      <c r="E22" s="406" t="s">
        <v>3180</v>
      </c>
      <c r="F22" s="408"/>
      <c r="G22" s="406" t="s">
        <v>3180</v>
      </c>
      <c r="H22" s="407"/>
      <c r="I22" s="406" t="s">
        <v>3180</v>
      </c>
      <c r="J22" s="407"/>
      <c r="K22" s="1287"/>
      <c r="L22" s="2932"/>
      <c r="M22" s="2926"/>
      <c r="N22" s="2926"/>
      <c r="O22" s="2926"/>
      <c r="P22" s="3337"/>
      <c r="Q22" s="1529"/>
      <c r="R22" s="712"/>
      <c r="S22" s="713"/>
      <c r="T22" s="712"/>
      <c r="U22" s="713"/>
      <c r="V22" s="712"/>
      <c r="W22" s="713"/>
      <c r="X22" s="1532"/>
      <c r="Y22" s="3330"/>
      <c r="Z22" s="1533"/>
      <c r="AA22" s="1530">
        <v>1</v>
      </c>
      <c r="AB22" s="1530">
        <v>1</v>
      </c>
      <c r="AC22" s="1530">
        <v>1</v>
      </c>
    </row>
    <row r="23" spans="1:29" ht="68.45" customHeight="1">
      <c r="A23" s="387"/>
      <c r="B23" s="410" t="s">
        <v>1946</v>
      </c>
      <c r="C23" s="2131" t="str">
        <f>估价对象房地状况!C9</f>
        <v>估价对象周边有盆景园、太原汾河景区等自然景观、更有菊花坪、凉亭等人文景观、环境状况较好</v>
      </c>
      <c r="D23" s="409">
        <v>100</v>
      </c>
      <c r="E23" s="411"/>
      <c r="F23" s="412">
        <f>SUMIF(84:84,E24,85:85)-SUMIF(84:84,C24,85:85)+100</f>
        <v>100</v>
      </c>
      <c r="G23" s="413"/>
      <c r="H23" s="409">
        <f>SUMIF(84:84,G24,85:85)-SUMIF(84:84,C24,85:85)+100</f>
        <v>100</v>
      </c>
      <c r="I23" s="411"/>
      <c r="J23" s="409">
        <f>SUMIF(84:84,I24,85:85)-SUMIF(84:84,C24,85:85)+100</f>
        <v>100</v>
      </c>
      <c r="K23" s="571">
        <f>'比较法-办公'!K23</f>
        <v>3</v>
      </c>
      <c r="L23" s="2932"/>
      <c r="M23" s="2926"/>
      <c r="N23" s="2926"/>
      <c r="O23" s="2926"/>
      <c r="P23" s="3337"/>
      <c r="Q23" s="1529" t="str">
        <f>B23</f>
        <v>自然及人文环境</v>
      </c>
      <c r="R23" s="712" t="s">
        <v>17</v>
      </c>
      <c r="S23" s="713">
        <f>F23</f>
        <v>100</v>
      </c>
      <c r="T23" s="712" t="s">
        <v>17</v>
      </c>
      <c r="U23" s="713">
        <f>H23</f>
        <v>100</v>
      </c>
      <c r="V23" s="712" t="s">
        <v>17</v>
      </c>
      <c r="W23" s="713">
        <f>J23</f>
        <v>100</v>
      </c>
      <c r="X23" s="1532"/>
      <c r="Y23" s="3330"/>
      <c r="Z23" s="1533" t="str">
        <f>Q23</f>
        <v>自然及人文环境</v>
      </c>
      <c r="AA23" s="1530">
        <f t="shared" si="3"/>
        <v>1</v>
      </c>
      <c r="AB23" s="1530">
        <f t="shared" si="4"/>
        <v>1</v>
      </c>
      <c r="AC23" s="1530">
        <f t="shared" si="5"/>
        <v>1</v>
      </c>
    </row>
    <row r="24" spans="1:29" ht="15">
      <c r="A24" s="387"/>
      <c r="B24" s="415"/>
      <c r="C24" s="406" t="s">
        <v>3085</v>
      </c>
      <c r="D24" s="407"/>
      <c r="E24" s="406" t="s">
        <v>3085</v>
      </c>
      <c r="F24" s="408"/>
      <c r="G24" s="406" t="s">
        <v>3085</v>
      </c>
      <c r="H24" s="407"/>
      <c r="I24" s="406" t="s">
        <v>3085</v>
      </c>
      <c r="J24" s="407"/>
      <c r="K24" s="572"/>
      <c r="L24" s="2932"/>
      <c r="M24" s="2926"/>
      <c r="N24" s="2926"/>
      <c r="O24" s="2926"/>
      <c r="P24" s="3337"/>
      <c r="Q24" s="1529"/>
      <c r="R24" s="712"/>
      <c r="S24" s="713"/>
      <c r="T24" s="712"/>
      <c r="U24" s="713"/>
      <c r="V24" s="712"/>
      <c r="W24" s="713"/>
      <c r="X24" s="1532"/>
      <c r="Y24" s="3330"/>
      <c r="Z24" s="1533"/>
      <c r="AA24" s="1530">
        <v>1</v>
      </c>
      <c r="AB24" s="1530">
        <v>1</v>
      </c>
      <c r="AC24" s="1530">
        <v>1</v>
      </c>
    </row>
    <row r="25" spans="1:29" ht="15">
      <c r="A25" s="387"/>
      <c r="B25" s="381" t="s">
        <v>2476</v>
      </c>
      <c r="C25" s="573" t="s">
        <v>3176</v>
      </c>
      <c r="D25" s="394">
        <v>100</v>
      </c>
      <c r="E25" s="573" t="s">
        <v>3176</v>
      </c>
      <c r="F25" s="420">
        <f>SUMIF(86:86,E25,87:87)-SUMIF(86:86,C25,87:87)+100</f>
        <v>100</v>
      </c>
      <c r="G25" s="573" t="s">
        <v>3176</v>
      </c>
      <c r="H25" s="394">
        <f>SUMIF(86:86,G25,87:87)-SUMIF(86:86,C25,87:87)+100</f>
        <v>100</v>
      </c>
      <c r="I25" s="573" t="s">
        <v>3176</v>
      </c>
      <c r="J25" s="394">
        <f>SUMIF(86:86,I25,87:87)-SUMIF(86:86,C25,87:87)+100</f>
        <v>100</v>
      </c>
      <c r="K25" s="569">
        <v>3</v>
      </c>
      <c r="L25" s="2932"/>
      <c r="M25" s="2926"/>
      <c r="N25" s="2926"/>
      <c r="O25" s="2926"/>
      <c r="P25" s="3337"/>
      <c r="Q25" s="1529" t="str">
        <f t="shared" ref="Q25:Q46" si="11">B25</f>
        <v>临街状况</v>
      </c>
      <c r="R25" s="712" t="s">
        <v>17</v>
      </c>
      <c r="S25" s="713">
        <f>F25</f>
        <v>100</v>
      </c>
      <c r="T25" s="712" t="s">
        <v>17</v>
      </c>
      <c r="U25" s="713">
        <f>H25</f>
        <v>100</v>
      </c>
      <c r="V25" s="712" t="s">
        <v>17</v>
      </c>
      <c r="W25" s="713">
        <f>J25</f>
        <v>100</v>
      </c>
      <c r="X25" s="1532"/>
      <c r="Y25" s="3330"/>
      <c r="Z25" s="1533" t="str">
        <f>Q25</f>
        <v>临街状况</v>
      </c>
      <c r="AA25" s="1530">
        <f t="shared" si="3"/>
        <v>1</v>
      </c>
      <c r="AB25" s="1530">
        <f t="shared" si="4"/>
        <v>1</v>
      </c>
      <c r="AC25" s="1530">
        <f t="shared" si="5"/>
        <v>1</v>
      </c>
    </row>
    <row r="26" spans="1:29" ht="15">
      <c r="A26" s="387"/>
      <c r="B26" s="1290" t="s">
        <v>2477</v>
      </c>
      <c r="C26" s="3076" t="s">
        <v>3178</v>
      </c>
      <c r="D26" s="394">
        <v>100</v>
      </c>
      <c r="E26" s="3076" t="s">
        <v>3178</v>
      </c>
      <c r="F26" s="420">
        <f>SUMIF(88:88,E26,89:89)-SUMIF(88:88,C26,89:89)+100</f>
        <v>100</v>
      </c>
      <c r="G26" s="3076" t="s">
        <v>3178</v>
      </c>
      <c r="H26" s="394">
        <f>SUMIF(88:88,G26,89:89)-SUMIF(88:88,C26,89:89)+100</f>
        <v>100</v>
      </c>
      <c r="I26" s="3076" t="s">
        <v>3178</v>
      </c>
      <c r="J26" s="394">
        <f>SUMIF(88:88,I26,89:89)-SUMIF(88:88,C26,89:89)+100</f>
        <v>100</v>
      </c>
      <c r="K26" s="570"/>
      <c r="L26" s="2932"/>
      <c r="M26" s="2926"/>
      <c r="N26" s="2926"/>
      <c r="O26" s="2926"/>
      <c r="P26" s="3337"/>
      <c r="Q26" s="1529" t="str">
        <f t="shared" si="11"/>
        <v>平面位置/可视性</v>
      </c>
      <c r="R26" s="712" t="s">
        <v>17</v>
      </c>
      <c r="S26" s="713">
        <f>F26</f>
        <v>100</v>
      </c>
      <c r="T26" s="712" t="s">
        <v>17</v>
      </c>
      <c r="U26" s="713">
        <f>H26</f>
        <v>100</v>
      </c>
      <c r="V26" s="712" t="s">
        <v>17</v>
      </c>
      <c r="W26" s="713">
        <f>J26</f>
        <v>100</v>
      </c>
      <c r="X26" s="1532"/>
      <c r="Y26" s="3330"/>
      <c r="Z26" s="1533" t="str">
        <f>Q26</f>
        <v>平面位置/可视性</v>
      </c>
      <c r="AA26" s="1530">
        <f t="shared" si="3"/>
        <v>1</v>
      </c>
      <c r="AB26" s="1530">
        <f t="shared" si="4"/>
        <v>1</v>
      </c>
      <c r="AC26" s="1530">
        <f t="shared" si="5"/>
        <v>1</v>
      </c>
    </row>
    <row r="27" spans="1:29" s="113" customFormat="1" ht="15">
      <c r="A27" s="390"/>
      <c r="B27" s="410" t="s">
        <v>2478</v>
      </c>
      <c r="C27" s="2132" t="s">
        <v>3177</v>
      </c>
      <c r="D27" s="421">
        <v>100</v>
      </c>
      <c r="E27" s="2132" t="s">
        <v>3202</v>
      </c>
      <c r="F27" s="423">
        <f>SUMIF(90:90,E27,91:91)-SUMIF(90:90,C27,91:91)+100</f>
        <v>103</v>
      </c>
      <c r="G27" s="2132" t="s">
        <v>3177</v>
      </c>
      <c r="H27" s="421">
        <f>SUMIF(90:90,G27,91:91)-SUMIF(90:90,C27,91:91)+100</f>
        <v>100</v>
      </c>
      <c r="I27" s="2132" t="s">
        <v>3177</v>
      </c>
      <c r="J27" s="421">
        <f>SUMIF(90:90,I27,91:91)-SUMIF(90:90,C27,91:91)+100</f>
        <v>100</v>
      </c>
      <c r="K27" s="569">
        <v>3</v>
      </c>
      <c r="L27" s="2927"/>
      <c r="M27" s="2928"/>
      <c r="N27" s="2928"/>
      <c r="O27" s="2928"/>
      <c r="P27" s="3337"/>
      <c r="Q27" s="1520" t="str">
        <f t="shared" si="11"/>
        <v>人流量</v>
      </c>
      <c r="R27" s="708" t="s">
        <v>17</v>
      </c>
      <c r="S27" s="709">
        <f>F27</f>
        <v>103</v>
      </c>
      <c r="T27" s="708" t="s">
        <v>17</v>
      </c>
      <c r="U27" s="709">
        <f>H27</f>
        <v>100</v>
      </c>
      <c r="V27" s="708" t="s">
        <v>17</v>
      </c>
      <c r="W27" s="709">
        <f>J27</f>
        <v>100</v>
      </c>
      <c r="X27" s="710"/>
      <c r="Y27" s="3330"/>
      <c r="Z27" s="55" t="str">
        <f>Q27</f>
        <v>人流量</v>
      </c>
      <c r="AA27" s="1530">
        <f>D27/F27</f>
        <v>0.970873786407767</v>
      </c>
      <c r="AB27" s="1530">
        <f>D27/H27</f>
        <v>1</v>
      </c>
      <c r="AC27" s="1530">
        <f>D27/J27</f>
        <v>1</v>
      </c>
    </row>
    <row r="28" spans="1:29" ht="15">
      <c r="A28" s="387"/>
      <c r="B28" s="381" t="s">
        <v>2479</v>
      </c>
      <c r="C28" s="573" t="s">
        <v>3179</v>
      </c>
      <c r="D28" s="394">
        <v>100</v>
      </c>
      <c r="E28" s="573" t="s">
        <v>3179</v>
      </c>
      <c r="F28" s="420">
        <f>SUMIF(92:92,E28,93:93)-SUMIF(92:92,C28,93:93)+100</f>
        <v>100</v>
      </c>
      <c r="G28" s="573" t="s">
        <v>3179</v>
      </c>
      <c r="H28" s="394">
        <f>SUMIF(92:92,G28,93:93)-SUMIF(92:92,C28,93:93)+100</f>
        <v>100</v>
      </c>
      <c r="I28" s="573" t="s">
        <v>3179</v>
      </c>
      <c r="J28" s="394">
        <f>SUMIF(92:92,I28,93:93)-SUMIF(92:92,C28,93:93)+100</f>
        <v>100</v>
      </c>
      <c r="K28" s="570"/>
      <c r="L28" s="2932"/>
      <c r="M28" s="2926"/>
      <c r="N28" s="2926"/>
      <c r="O28" s="2926"/>
      <c r="P28" s="3337"/>
      <c r="Q28" s="1529" t="str">
        <f t="shared" si="11"/>
        <v>楼层</v>
      </c>
      <c r="R28" s="712" t="s">
        <v>17</v>
      </c>
      <c r="S28" s="713">
        <f t="shared" ref="S28:S46" si="12">F28</f>
        <v>100</v>
      </c>
      <c r="T28" s="712" t="s">
        <v>17</v>
      </c>
      <c r="U28" s="713">
        <f t="shared" ref="U28:U46" si="13">H28</f>
        <v>100</v>
      </c>
      <c r="V28" s="712" t="s">
        <v>17</v>
      </c>
      <c r="W28" s="713">
        <f t="shared" ref="W28:W46" si="14">J28</f>
        <v>100</v>
      </c>
      <c r="X28" s="1532"/>
      <c r="Y28" s="3330"/>
      <c r="Z28" s="1533" t="str">
        <f t="shared" ref="Z28:Z46" si="15">Q28</f>
        <v>楼层</v>
      </c>
      <c r="AA28" s="1530">
        <f t="shared" si="3"/>
        <v>1</v>
      </c>
      <c r="AB28" s="1530">
        <f t="shared" si="4"/>
        <v>1</v>
      </c>
      <c r="AC28" s="1530">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32"/>
      <c r="M29" s="2926"/>
      <c r="N29" s="2926"/>
      <c r="O29" s="2926"/>
      <c r="P29" s="3337"/>
      <c r="Q29" s="1529">
        <f t="shared" si="11"/>
        <v>111</v>
      </c>
      <c r="R29" s="712" t="s">
        <v>17</v>
      </c>
      <c r="S29" s="713">
        <f t="shared" si="12"/>
        <v>100</v>
      </c>
      <c r="T29" s="712" t="s">
        <v>17</v>
      </c>
      <c r="U29" s="713">
        <f t="shared" si="13"/>
        <v>100</v>
      </c>
      <c r="V29" s="712" t="s">
        <v>17</v>
      </c>
      <c r="W29" s="713">
        <f t="shared" si="14"/>
        <v>100</v>
      </c>
      <c r="X29" s="1532"/>
      <c r="Y29" s="3330"/>
      <c r="Z29" s="1533">
        <f t="shared" si="15"/>
        <v>111</v>
      </c>
      <c r="AA29" s="1530">
        <f t="shared" si="3"/>
        <v>1</v>
      </c>
      <c r="AB29" s="1530">
        <f t="shared" si="4"/>
        <v>1</v>
      </c>
      <c r="AC29" s="1530">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32"/>
      <c r="M30" s="2926"/>
      <c r="N30" s="2926"/>
      <c r="O30" s="2926"/>
      <c r="P30" s="3337"/>
      <c r="Q30" s="1529">
        <f t="shared" si="11"/>
        <v>111</v>
      </c>
      <c r="R30" s="712" t="s">
        <v>17</v>
      </c>
      <c r="S30" s="713">
        <f t="shared" si="12"/>
        <v>100</v>
      </c>
      <c r="T30" s="712" t="s">
        <v>17</v>
      </c>
      <c r="U30" s="713">
        <f t="shared" si="13"/>
        <v>100</v>
      </c>
      <c r="V30" s="712" t="s">
        <v>17</v>
      </c>
      <c r="W30" s="713">
        <f t="shared" si="14"/>
        <v>100</v>
      </c>
      <c r="X30" s="1532"/>
      <c r="Y30" s="3330"/>
      <c r="Z30" s="1533">
        <f t="shared" si="15"/>
        <v>111</v>
      </c>
      <c r="AA30" s="1530">
        <f t="shared" si="3"/>
        <v>1</v>
      </c>
      <c r="AB30" s="1530">
        <f t="shared" si="4"/>
        <v>1</v>
      </c>
      <c r="AC30" s="1530">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32"/>
      <c r="M31" s="2926"/>
      <c r="N31" s="2926"/>
      <c r="O31" s="2926"/>
      <c r="P31" s="3337"/>
      <c r="Q31" s="1529">
        <f t="shared" si="11"/>
        <v>111</v>
      </c>
      <c r="R31" s="712" t="s">
        <v>17</v>
      </c>
      <c r="S31" s="713">
        <f t="shared" si="12"/>
        <v>100</v>
      </c>
      <c r="T31" s="712" t="s">
        <v>17</v>
      </c>
      <c r="U31" s="713">
        <f t="shared" si="13"/>
        <v>100</v>
      </c>
      <c r="V31" s="712" t="s">
        <v>17</v>
      </c>
      <c r="W31" s="713">
        <f t="shared" si="14"/>
        <v>100</v>
      </c>
      <c r="X31" s="1532"/>
      <c r="Y31" s="3330"/>
      <c r="Z31" s="1533">
        <f t="shared" si="15"/>
        <v>111</v>
      </c>
      <c r="AA31" s="1530">
        <f t="shared" si="3"/>
        <v>1</v>
      </c>
      <c r="AB31" s="1530">
        <f t="shared" si="4"/>
        <v>1</v>
      </c>
      <c r="AC31" s="1530">
        <f t="shared" si="5"/>
        <v>1</v>
      </c>
    </row>
    <row r="32" spans="1:29" ht="15">
      <c r="A32" s="399" t="s">
        <v>2383</v>
      </c>
      <c r="B32" s="67" t="s">
        <v>2480</v>
      </c>
      <c r="C32" s="2088" t="s">
        <v>3200</v>
      </c>
      <c r="D32" s="426">
        <v>100</v>
      </c>
      <c r="E32" s="2088" t="s">
        <v>3200</v>
      </c>
      <c r="F32" s="420">
        <f>SUMIF(100:100,E32,101:101)-SUMIF(100:100,C32,101:101)+100</f>
        <v>100</v>
      </c>
      <c r="G32" s="2088" t="s">
        <v>3200</v>
      </c>
      <c r="H32" s="394">
        <f>SUMIF(100:100,G32,101:101)-SUMIF(100:100,C32,101:101)+100</f>
        <v>100</v>
      </c>
      <c r="I32" s="2088" t="s">
        <v>3200</v>
      </c>
      <c r="J32" s="426">
        <f>SUMIF(100:100,I32,101:101)-SUMIF(100:100,C32,101:101)+100</f>
        <v>100</v>
      </c>
      <c r="K32" s="569">
        <v>3</v>
      </c>
      <c r="L32" s="2932"/>
      <c r="M32" s="2926"/>
      <c r="N32" s="2926"/>
      <c r="O32" s="2926"/>
      <c r="P32" s="3331" t="s">
        <v>2385</v>
      </c>
      <c r="Q32" s="1529" t="str">
        <f t="shared" si="11"/>
        <v>商业类型</v>
      </c>
      <c r="R32" s="712" t="s">
        <v>17</v>
      </c>
      <c r="S32" s="713">
        <f t="shared" si="12"/>
        <v>100</v>
      </c>
      <c r="T32" s="712" t="s">
        <v>17</v>
      </c>
      <c r="U32" s="713">
        <f t="shared" si="13"/>
        <v>100</v>
      </c>
      <c r="V32" s="712" t="s">
        <v>17</v>
      </c>
      <c r="W32" s="713">
        <f t="shared" si="14"/>
        <v>100</v>
      </c>
      <c r="X32" s="1532"/>
      <c r="Y32" s="3334" t="s">
        <v>2385</v>
      </c>
      <c r="Z32" s="1533" t="str">
        <f t="shared" si="15"/>
        <v>商业类型</v>
      </c>
      <c r="AA32" s="1530">
        <f t="shared" si="3"/>
        <v>1</v>
      </c>
      <c r="AB32" s="1530">
        <f t="shared" si="4"/>
        <v>1</v>
      </c>
      <c r="AC32" s="1530">
        <f t="shared" si="5"/>
        <v>1</v>
      </c>
    </row>
    <row r="33" spans="1:29" s="430" customFormat="1" ht="15">
      <c r="A33" s="427"/>
      <c r="B33" s="381" t="s">
        <v>2386</v>
      </c>
      <c r="C33" s="3077">
        <f>'数据-基础表'!K13</f>
        <v>1954.06</v>
      </c>
      <c r="D33" s="132">
        <v>100</v>
      </c>
      <c r="E33" s="389">
        <v>215</v>
      </c>
      <c r="F33" s="384">
        <f>LOOKUP(E33,103:103,104:104)-LOOKUP(C33,103:103,104:104)+100</f>
        <v>104</v>
      </c>
      <c r="G33" s="388">
        <v>90</v>
      </c>
      <c r="H33" s="132">
        <f>LOOKUP(G33,103:103,104:104)-LOOKUP(C33,103:103,104:104)+100</f>
        <v>108</v>
      </c>
      <c r="I33" s="388">
        <v>57</v>
      </c>
      <c r="J33" s="132">
        <f>LOOKUP(I33,103:103,104:104)-LOOKUP(C33,103:103,104:104)+100</f>
        <v>108</v>
      </c>
      <c r="K33" s="570"/>
      <c r="L33" s="2931"/>
      <c r="M33" s="2933"/>
      <c r="N33" s="2933"/>
      <c r="O33" s="2933"/>
      <c r="P33" s="3332"/>
      <c r="Q33" s="714" t="str">
        <f t="shared" si="11"/>
        <v>项目建筑规模</v>
      </c>
      <c r="R33" s="715" t="s">
        <v>17</v>
      </c>
      <c r="S33" s="716">
        <f t="shared" si="12"/>
        <v>104</v>
      </c>
      <c r="T33" s="715" t="s">
        <v>17</v>
      </c>
      <c r="U33" s="716">
        <f t="shared" si="13"/>
        <v>108</v>
      </c>
      <c r="V33" s="715" t="s">
        <v>17</v>
      </c>
      <c r="W33" s="716">
        <f t="shared" si="14"/>
        <v>108</v>
      </c>
      <c r="X33" s="717"/>
      <c r="Y33" s="3334"/>
      <c r="Z33" s="718" t="str">
        <f t="shared" si="15"/>
        <v>项目建筑规模</v>
      </c>
      <c r="AA33" s="1530">
        <f t="shared" si="3"/>
        <v>0.96153846153846156</v>
      </c>
      <c r="AB33" s="1530">
        <f t="shared" si="4"/>
        <v>0.92592592592592593</v>
      </c>
      <c r="AC33" s="1530">
        <f t="shared" si="5"/>
        <v>0.92592592592592593</v>
      </c>
    </row>
    <row r="34" spans="1:29" ht="15">
      <c r="A34" s="431"/>
      <c r="B34" s="381" t="s">
        <v>2387</v>
      </c>
      <c r="C34" s="2089" t="s">
        <v>3064</v>
      </c>
      <c r="D34" s="394">
        <v>100</v>
      </c>
      <c r="E34" s="2089" t="s">
        <v>3064</v>
      </c>
      <c r="F34" s="420">
        <f>SUMIF(105:105,E34,106:106)-SUMIF(105:105,C34,106:106)+100</f>
        <v>100</v>
      </c>
      <c r="G34" s="2089" t="s">
        <v>3064</v>
      </c>
      <c r="H34" s="394">
        <f>SUMIF(105:105,G34,106:106)-SUMIF(105:105,C34,106:106)+100</f>
        <v>100</v>
      </c>
      <c r="I34" s="2089" t="s">
        <v>3064</v>
      </c>
      <c r="J34" s="394">
        <f>SUMIF(105:105,I34,106:106)-SUMIF(105:105,C34,106:106)+100</f>
        <v>100</v>
      </c>
      <c r="K34" s="569">
        <v>2</v>
      </c>
      <c r="L34" s="2932"/>
      <c r="M34" s="2926"/>
      <c r="N34" s="2926"/>
      <c r="O34" s="2926"/>
      <c r="P34" s="3332"/>
      <c r="Q34" s="1529" t="str">
        <f t="shared" si="11"/>
        <v>建筑结构</v>
      </c>
      <c r="R34" s="712" t="s">
        <v>17</v>
      </c>
      <c r="S34" s="713">
        <f t="shared" si="12"/>
        <v>100</v>
      </c>
      <c r="T34" s="712" t="s">
        <v>17</v>
      </c>
      <c r="U34" s="713">
        <f t="shared" si="13"/>
        <v>100</v>
      </c>
      <c r="V34" s="712" t="s">
        <v>17</v>
      </c>
      <c r="W34" s="713">
        <f t="shared" si="14"/>
        <v>100</v>
      </c>
      <c r="X34" s="1532"/>
      <c r="Y34" s="3334"/>
      <c r="Z34" s="1533" t="str">
        <f t="shared" si="15"/>
        <v>建筑结构</v>
      </c>
      <c r="AA34" s="1530">
        <f t="shared" si="3"/>
        <v>1</v>
      </c>
      <c r="AB34" s="1530">
        <f t="shared" si="4"/>
        <v>1</v>
      </c>
      <c r="AC34" s="1530">
        <f t="shared" si="5"/>
        <v>1</v>
      </c>
    </row>
    <row r="35" spans="1:29" ht="15">
      <c r="A35" s="431"/>
      <c r="B35" s="381" t="s">
        <v>2481</v>
      </c>
      <c r="C35" s="2084" t="s">
        <v>3148</v>
      </c>
      <c r="D35" s="394">
        <v>100</v>
      </c>
      <c r="E35" s="2084" t="s">
        <v>3148</v>
      </c>
      <c r="F35" s="420">
        <f>SUMIF(107:107,E35,108:108)-SUMIF(107:107,C35,108:108)+100</f>
        <v>100</v>
      </c>
      <c r="G35" s="2084" t="s">
        <v>3148</v>
      </c>
      <c r="H35" s="394">
        <f>SUMIF(107:107,G35,108:108)-SUMIF(107:107,C35,108:108)+100</f>
        <v>100</v>
      </c>
      <c r="I35" s="2084" t="s">
        <v>3148</v>
      </c>
      <c r="J35" s="394">
        <f>SUMIF(107:107,I35,108:108)-SUMIF(107:107,C35,108:108)+100</f>
        <v>100</v>
      </c>
      <c r="K35" s="569">
        <f>'比较法-办公'!K36</f>
        <v>2</v>
      </c>
      <c r="L35" s="2932"/>
      <c r="M35" s="2926"/>
      <c r="N35" s="2926"/>
      <c r="O35" s="2926"/>
      <c r="P35" s="3332"/>
      <c r="Q35" s="1529" t="str">
        <f t="shared" si="11"/>
        <v>公共部分装修</v>
      </c>
      <c r="R35" s="712" t="s">
        <v>17</v>
      </c>
      <c r="S35" s="713">
        <f t="shared" si="12"/>
        <v>100</v>
      </c>
      <c r="T35" s="712" t="s">
        <v>17</v>
      </c>
      <c r="U35" s="713">
        <f t="shared" si="13"/>
        <v>100</v>
      </c>
      <c r="V35" s="712" t="s">
        <v>17</v>
      </c>
      <c r="W35" s="713">
        <f t="shared" si="14"/>
        <v>100</v>
      </c>
      <c r="X35" s="1532"/>
      <c r="Y35" s="3334"/>
      <c r="Z35" s="1533" t="str">
        <f t="shared" si="15"/>
        <v>公共部分装修</v>
      </c>
      <c r="AA35" s="1530">
        <f t="shared" si="3"/>
        <v>1</v>
      </c>
      <c r="AB35" s="1530">
        <f t="shared" si="4"/>
        <v>1</v>
      </c>
      <c r="AC35" s="1530">
        <f t="shared" si="5"/>
        <v>1</v>
      </c>
    </row>
    <row r="36" spans="1:29" ht="15">
      <c r="A36" s="431"/>
      <c r="B36" s="381" t="s">
        <v>2482</v>
      </c>
      <c r="C36" s="433">
        <v>0.72</v>
      </c>
      <c r="D36" s="394">
        <v>100</v>
      </c>
      <c r="E36" s="433">
        <f>C36</f>
        <v>0.72</v>
      </c>
      <c r="F36" s="420">
        <f>LOOKUP(E36,110:110,111:111)-LOOKUP(C36,110:110,111:111)+100</f>
        <v>100</v>
      </c>
      <c r="G36" s="433">
        <f>E36</f>
        <v>0.72</v>
      </c>
      <c r="H36" s="420">
        <f>LOOKUP(G36,110:110,111:111)-LOOKUP(C36,110:110,111:111)+100</f>
        <v>100</v>
      </c>
      <c r="I36" s="738">
        <f>G36</f>
        <v>0.72</v>
      </c>
      <c r="J36" s="394">
        <f>LOOKUP(I36,110:110,111:111)-LOOKUP(C36,110:110,111:111)+100</f>
        <v>100</v>
      </c>
      <c r="K36" s="569">
        <v>1</v>
      </c>
      <c r="L36" s="2932"/>
      <c r="M36" s="2926"/>
      <c r="N36" s="2926"/>
      <c r="O36" s="2926"/>
      <c r="P36" s="3332"/>
      <c r="Q36" s="1529" t="str">
        <f t="shared" si="11"/>
        <v>成新度</v>
      </c>
      <c r="R36" s="712" t="s">
        <v>17</v>
      </c>
      <c r="S36" s="713">
        <f t="shared" si="12"/>
        <v>100</v>
      </c>
      <c r="T36" s="712" t="s">
        <v>17</v>
      </c>
      <c r="U36" s="713">
        <f t="shared" si="13"/>
        <v>100</v>
      </c>
      <c r="V36" s="712" t="s">
        <v>17</v>
      </c>
      <c r="W36" s="713">
        <f t="shared" si="14"/>
        <v>100</v>
      </c>
      <c r="X36" s="1532"/>
      <c r="Y36" s="3334"/>
      <c r="Z36" s="1533" t="str">
        <f t="shared" si="15"/>
        <v>成新度</v>
      </c>
      <c r="AA36" s="1530">
        <f t="shared" si="3"/>
        <v>1</v>
      </c>
      <c r="AB36" s="1530">
        <f t="shared" si="4"/>
        <v>1</v>
      </c>
      <c r="AC36" s="1530">
        <f t="shared" si="5"/>
        <v>1</v>
      </c>
    </row>
    <row r="37" spans="1:29" s="113" customFormat="1" ht="15">
      <c r="A37" s="432"/>
      <c r="B37" s="381" t="s">
        <v>2483</v>
      </c>
      <c r="C37" s="2084" t="s">
        <v>3180</v>
      </c>
      <c r="D37" s="132">
        <v>100</v>
      </c>
      <c r="E37" s="2084" t="s">
        <v>3180</v>
      </c>
      <c r="F37" s="420">
        <f>SUMIF(112:112,E37,113:113)-SUMIF(112:112,C37,113:113)+100</f>
        <v>100</v>
      </c>
      <c r="G37" s="2084" t="s">
        <v>3180</v>
      </c>
      <c r="H37" s="394">
        <f>SUMIF(112:112,G37,113:113)-SUMIF(112:112,C37,113:113)+100</f>
        <v>100</v>
      </c>
      <c r="I37" s="2084" t="s">
        <v>3180</v>
      </c>
      <c r="J37" s="394">
        <f>SUMIF(112:112,I37,113:113)-SUMIF(112:112,C37,113:113)+100</f>
        <v>100</v>
      </c>
      <c r="K37" s="569">
        <v>1</v>
      </c>
      <c r="L37" s="2927"/>
      <c r="M37" s="2928"/>
      <c r="N37" s="2928"/>
      <c r="O37" s="2928"/>
      <c r="P37" s="3332"/>
      <c r="Q37" s="1520" t="str">
        <f t="shared" si="11"/>
        <v>市政基础设施</v>
      </c>
      <c r="R37" s="708" t="s">
        <v>17</v>
      </c>
      <c r="S37" s="709">
        <f t="shared" si="12"/>
        <v>100</v>
      </c>
      <c r="T37" s="708" t="s">
        <v>17</v>
      </c>
      <c r="U37" s="709">
        <f t="shared" si="13"/>
        <v>100</v>
      </c>
      <c r="V37" s="708" t="s">
        <v>17</v>
      </c>
      <c r="W37" s="709">
        <f t="shared" si="14"/>
        <v>100</v>
      </c>
      <c r="X37" s="710"/>
      <c r="Y37" s="3334"/>
      <c r="Z37" s="55" t="str">
        <f t="shared" si="15"/>
        <v>市政基础设施</v>
      </c>
      <c r="AA37" s="711">
        <f t="shared" si="3"/>
        <v>1</v>
      </c>
      <c r="AB37" s="711">
        <f t="shared" si="4"/>
        <v>1</v>
      </c>
      <c r="AC37" s="711">
        <f t="shared" si="5"/>
        <v>1</v>
      </c>
    </row>
    <row r="38" spans="1:29" ht="15">
      <c r="A38" s="431"/>
      <c r="B38" s="381" t="s">
        <v>2484</v>
      </c>
      <c r="C38" s="2084" t="s">
        <v>3181</v>
      </c>
      <c r="D38" s="394">
        <v>100</v>
      </c>
      <c r="E38" s="2084" t="s">
        <v>3181</v>
      </c>
      <c r="F38" s="420">
        <f>SUMIF(114:114,E38,115:115)-SUMIF(114:114,C38,115:115)+100</f>
        <v>100</v>
      </c>
      <c r="G38" s="2084" t="s">
        <v>3181</v>
      </c>
      <c r="H38" s="394">
        <f>SUMIF(114:114,G38,115:115)-SUMIF(114:114,C38,115:115)+100</f>
        <v>100</v>
      </c>
      <c r="I38" s="2084" t="s">
        <v>3181</v>
      </c>
      <c r="J38" s="394">
        <f>SUMIF(114:114,I38,115:115)-SUMIF(114:114,C38,115:115)+100</f>
        <v>100</v>
      </c>
      <c r="K38" s="569">
        <v>3</v>
      </c>
      <c r="L38" s="2932"/>
      <c r="M38" s="2926"/>
      <c r="N38" s="2926"/>
      <c r="O38" s="2926"/>
      <c r="P38" s="3332" t="s">
        <v>2385</v>
      </c>
      <c r="Q38" s="1529" t="str">
        <f t="shared" si="11"/>
        <v>业态</v>
      </c>
      <c r="R38" s="712" t="s">
        <v>17</v>
      </c>
      <c r="S38" s="713">
        <f t="shared" si="12"/>
        <v>100</v>
      </c>
      <c r="T38" s="712" t="s">
        <v>17</v>
      </c>
      <c r="U38" s="713">
        <f t="shared" si="13"/>
        <v>100</v>
      </c>
      <c r="V38" s="712" t="s">
        <v>17</v>
      </c>
      <c r="W38" s="713">
        <f t="shared" si="14"/>
        <v>100</v>
      </c>
      <c r="X38" s="1532"/>
      <c r="Y38" s="3334" t="s">
        <v>2385</v>
      </c>
      <c r="Z38" s="1533" t="str">
        <f t="shared" si="15"/>
        <v>业态</v>
      </c>
      <c r="AA38" s="1530">
        <f t="shared" si="3"/>
        <v>1</v>
      </c>
      <c r="AB38" s="1530">
        <f t="shared" si="4"/>
        <v>1</v>
      </c>
      <c r="AC38" s="1530">
        <f t="shared" si="5"/>
        <v>1</v>
      </c>
    </row>
    <row r="39" spans="1:29" ht="15">
      <c r="A39" s="431"/>
      <c r="B39" s="381" t="s">
        <v>2485</v>
      </c>
      <c r="C39" s="2084" t="s">
        <v>3151</v>
      </c>
      <c r="D39" s="394">
        <v>100</v>
      </c>
      <c r="E39" s="2084" t="s">
        <v>3151</v>
      </c>
      <c r="F39" s="420">
        <f>SUMIF(116:116,E39,117:117)-SUMIF(116:116,C39,117:117)+100</f>
        <v>100</v>
      </c>
      <c r="G39" s="2084" t="s">
        <v>3151</v>
      </c>
      <c r="H39" s="394">
        <f>SUMIF(116:116,G39,117:117)-SUMIF(116:116,C39,117:117)+100</f>
        <v>100</v>
      </c>
      <c r="I39" s="2084" t="s">
        <v>3151</v>
      </c>
      <c r="J39" s="394">
        <f>SUMIF(116:116,I39,117:117)-SUMIF(116:116,C39,117:117)+100</f>
        <v>100</v>
      </c>
      <c r="K39" s="569">
        <v>2</v>
      </c>
      <c r="L39" s="2932"/>
      <c r="M39" s="2926"/>
      <c r="N39" s="2926"/>
      <c r="O39" s="2926"/>
      <c r="P39" s="3332"/>
      <c r="Q39" s="1529" t="str">
        <f t="shared" si="11"/>
        <v>层高</v>
      </c>
      <c r="R39" s="712" t="s">
        <v>17</v>
      </c>
      <c r="S39" s="713">
        <f t="shared" si="12"/>
        <v>100</v>
      </c>
      <c r="T39" s="712" t="s">
        <v>17</v>
      </c>
      <c r="U39" s="713">
        <f t="shared" si="13"/>
        <v>100</v>
      </c>
      <c r="V39" s="712" t="s">
        <v>17</v>
      </c>
      <c r="W39" s="713">
        <f t="shared" si="14"/>
        <v>100</v>
      </c>
      <c r="X39" s="1532"/>
      <c r="Y39" s="3334"/>
      <c r="Z39" s="1533" t="str">
        <f t="shared" si="15"/>
        <v>层高</v>
      </c>
      <c r="AA39" s="1530">
        <f t="shared" si="3"/>
        <v>1</v>
      </c>
      <c r="AB39" s="1530">
        <f t="shared" si="4"/>
        <v>1</v>
      </c>
      <c r="AC39" s="1530">
        <f t="shared" si="5"/>
        <v>1</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32"/>
      <c r="M40" s="2926"/>
      <c r="N40" s="2926"/>
      <c r="O40" s="2926"/>
      <c r="P40" s="3332"/>
      <c r="Q40" s="1529" t="str">
        <f t="shared" si="11"/>
        <v>单套建筑面积</v>
      </c>
      <c r="R40" s="712" t="s">
        <v>17</v>
      </c>
      <c r="S40" s="713">
        <f t="shared" si="12"/>
        <v>100</v>
      </c>
      <c r="T40" s="712" t="s">
        <v>17</v>
      </c>
      <c r="U40" s="713">
        <f t="shared" si="13"/>
        <v>100</v>
      </c>
      <c r="V40" s="712" t="s">
        <v>17</v>
      </c>
      <c r="W40" s="713">
        <f t="shared" si="14"/>
        <v>100</v>
      </c>
      <c r="X40" s="1532"/>
      <c r="Y40" s="3334"/>
      <c r="Z40" s="1533" t="str">
        <f t="shared" si="15"/>
        <v>单套建筑面积</v>
      </c>
      <c r="AA40" s="1530">
        <f t="shared" si="3"/>
        <v>1</v>
      </c>
      <c r="AB40" s="1530">
        <f t="shared" si="4"/>
        <v>1</v>
      </c>
      <c r="AC40" s="1530">
        <f t="shared" si="5"/>
        <v>1</v>
      </c>
    </row>
    <row r="41" spans="1:29" s="430" customFormat="1" ht="15">
      <c r="A41" s="427"/>
      <c r="B41" s="153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1"/>
      <c r="M41" s="2933"/>
      <c r="N41" s="2933"/>
      <c r="O41" s="2933"/>
      <c r="P41" s="3332"/>
      <c r="Q41" s="714" t="str">
        <f t="shared" si="11"/>
        <v>进深比</v>
      </c>
      <c r="R41" s="715" t="s">
        <v>17</v>
      </c>
      <c r="S41" s="716">
        <f t="shared" si="12"/>
        <v>100</v>
      </c>
      <c r="T41" s="715" t="s">
        <v>17</v>
      </c>
      <c r="U41" s="716">
        <f t="shared" si="13"/>
        <v>100</v>
      </c>
      <c r="V41" s="715" t="s">
        <v>17</v>
      </c>
      <c r="W41" s="716">
        <f t="shared" si="14"/>
        <v>100</v>
      </c>
      <c r="X41" s="717"/>
      <c r="Y41" s="3334"/>
      <c r="Z41" s="718" t="str">
        <f t="shared" si="15"/>
        <v>进深比</v>
      </c>
      <c r="AA41" s="1530">
        <f t="shared" si="3"/>
        <v>1</v>
      </c>
      <c r="AB41" s="1530">
        <f t="shared" si="4"/>
        <v>1</v>
      </c>
      <c r="AC41" s="1530">
        <f t="shared" si="5"/>
        <v>1</v>
      </c>
    </row>
    <row r="42" spans="1:29" ht="15">
      <c r="A42" s="431"/>
      <c r="B42" s="381" t="s">
        <v>2488</v>
      </c>
      <c r="C42" s="2084" t="s">
        <v>3148</v>
      </c>
      <c r="D42" s="394">
        <v>100</v>
      </c>
      <c r="E42" s="2084" t="s">
        <v>3148</v>
      </c>
      <c r="F42" s="420">
        <f>SUMIF(122:122,E42,123:123)-SUMIF(122:122,C42,123:123)+100</f>
        <v>100</v>
      </c>
      <c r="G42" s="2084" t="s">
        <v>3148</v>
      </c>
      <c r="H42" s="394">
        <f>SUMIF(122:122,G42,123:123)-SUMIF(122:122,C42,123:123)+100</f>
        <v>100</v>
      </c>
      <c r="I42" s="2084" t="s">
        <v>3148</v>
      </c>
      <c r="J42" s="394">
        <f>SUMIF(122:122,I42,123:123)-SUMIF(122:122,C42,123:123)+100</f>
        <v>100</v>
      </c>
      <c r="K42" s="569">
        <f>K35</f>
        <v>2</v>
      </c>
      <c r="L42" s="2932"/>
      <c r="M42" s="2926"/>
      <c r="N42" s="2926"/>
      <c r="O42" s="2926"/>
      <c r="P42" s="3332"/>
      <c r="Q42" s="1529" t="str">
        <f t="shared" si="11"/>
        <v>内部装修</v>
      </c>
      <c r="R42" s="712" t="s">
        <v>17</v>
      </c>
      <c r="S42" s="713">
        <f t="shared" si="12"/>
        <v>100</v>
      </c>
      <c r="T42" s="712" t="s">
        <v>17</v>
      </c>
      <c r="U42" s="713">
        <f t="shared" si="13"/>
        <v>100</v>
      </c>
      <c r="V42" s="712" t="s">
        <v>17</v>
      </c>
      <c r="W42" s="713">
        <f t="shared" si="14"/>
        <v>100</v>
      </c>
      <c r="X42" s="1532"/>
      <c r="Y42" s="3334"/>
      <c r="Z42" s="1533" t="str">
        <f t="shared" si="15"/>
        <v>内部装修</v>
      </c>
      <c r="AA42" s="1530">
        <f t="shared" si="3"/>
        <v>1</v>
      </c>
      <c r="AB42" s="1530">
        <f t="shared" si="4"/>
        <v>1</v>
      </c>
      <c r="AC42" s="1530">
        <f t="shared" si="5"/>
        <v>1</v>
      </c>
    </row>
    <row r="43" spans="1:29" ht="15">
      <c r="A43" s="431"/>
      <c r="B43" s="381" t="s">
        <v>2396</v>
      </c>
      <c r="C43" s="2084" t="s">
        <v>3085</v>
      </c>
      <c r="D43" s="394">
        <v>100</v>
      </c>
      <c r="E43" s="2084" t="s">
        <v>3085</v>
      </c>
      <c r="F43" s="420">
        <f>SUMIF(124:124,E43,125:125)-SUMIF(124:124,C43,125:125)+100</f>
        <v>100</v>
      </c>
      <c r="G43" s="2084" t="s">
        <v>3085</v>
      </c>
      <c r="H43" s="394">
        <f>SUMIF(124:124,G43,125:125)-SUMIF(124:124,C43,125:125)+100</f>
        <v>100</v>
      </c>
      <c r="I43" s="2084" t="s">
        <v>3085</v>
      </c>
      <c r="J43" s="394">
        <f>SUMIF(124:124,I43,125:125)-SUMIF(124:124,C43,125:125)+100</f>
        <v>100</v>
      </c>
      <c r="K43" s="569">
        <v>2</v>
      </c>
      <c r="L43" s="2932"/>
      <c r="M43" s="2926"/>
      <c r="N43" s="2926"/>
      <c r="O43" s="2926"/>
      <c r="P43" s="3332"/>
      <c r="Q43" s="1529" t="str">
        <f t="shared" si="11"/>
        <v>内部装修维护情况</v>
      </c>
      <c r="R43" s="712" t="s">
        <v>17</v>
      </c>
      <c r="S43" s="713">
        <f t="shared" si="12"/>
        <v>100</v>
      </c>
      <c r="T43" s="712" t="s">
        <v>17</v>
      </c>
      <c r="U43" s="713">
        <f t="shared" si="13"/>
        <v>100</v>
      </c>
      <c r="V43" s="712" t="s">
        <v>17</v>
      </c>
      <c r="W43" s="713">
        <f t="shared" si="14"/>
        <v>100</v>
      </c>
      <c r="X43" s="1532"/>
      <c r="Y43" s="3334"/>
      <c r="Z43" s="1533" t="str">
        <f t="shared" si="15"/>
        <v>内部装修维护情况</v>
      </c>
      <c r="AA43" s="1530">
        <f t="shared" si="3"/>
        <v>1</v>
      </c>
      <c r="AB43" s="1530">
        <f t="shared" si="4"/>
        <v>1</v>
      </c>
      <c r="AC43" s="1530">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7"/>
      <c r="M44" s="2928"/>
      <c r="N44" s="2928"/>
      <c r="O44" s="2928"/>
      <c r="P44" s="3332"/>
      <c r="Q44" s="1520">
        <f t="shared" si="11"/>
        <v>111</v>
      </c>
      <c r="R44" s="708" t="s">
        <v>17</v>
      </c>
      <c r="S44" s="709">
        <f t="shared" si="12"/>
        <v>100</v>
      </c>
      <c r="T44" s="708" t="s">
        <v>17</v>
      </c>
      <c r="U44" s="709">
        <f t="shared" si="13"/>
        <v>100</v>
      </c>
      <c r="V44" s="708" t="s">
        <v>17</v>
      </c>
      <c r="W44" s="709">
        <f t="shared" si="14"/>
        <v>100</v>
      </c>
      <c r="X44" s="710"/>
      <c r="Y44" s="3334"/>
      <c r="Z44" s="55">
        <f t="shared" si="15"/>
        <v>111</v>
      </c>
      <c r="AA44" s="711">
        <f t="shared" si="3"/>
        <v>1</v>
      </c>
      <c r="AB44" s="711">
        <f t="shared" si="4"/>
        <v>1</v>
      </c>
      <c r="AC44" s="711">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2"/>
      <c r="M45" s="2926"/>
      <c r="N45" s="2926"/>
      <c r="O45" s="2926"/>
      <c r="P45" s="3332"/>
      <c r="Q45" s="1529">
        <f t="shared" si="11"/>
        <v>111</v>
      </c>
      <c r="R45" s="712" t="s">
        <v>17</v>
      </c>
      <c r="S45" s="713">
        <f t="shared" si="12"/>
        <v>100</v>
      </c>
      <c r="T45" s="712" t="s">
        <v>17</v>
      </c>
      <c r="U45" s="713">
        <f t="shared" si="13"/>
        <v>100</v>
      </c>
      <c r="V45" s="712" t="s">
        <v>17</v>
      </c>
      <c r="W45" s="713">
        <f t="shared" si="14"/>
        <v>100</v>
      </c>
      <c r="X45" s="1532"/>
      <c r="Y45" s="3334"/>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2"/>
      <c r="M46" s="2926"/>
      <c r="N46" s="2926"/>
      <c r="O46" s="2926"/>
      <c r="P46" s="3333"/>
      <c r="Q46" s="1529">
        <f t="shared" si="11"/>
        <v>111</v>
      </c>
      <c r="R46" s="712" t="s">
        <v>17</v>
      </c>
      <c r="S46" s="713">
        <f t="shared" si="12"/>
        <v>100</v>
      </c>
      <c r="T46" s="712" t="s">
        <v>17</v>
      </c>
      <c r="U46" s="713">
        <f t="shared" si="13"/>
        <v>100</v>
      </c>
      <c r="V46" s="712" t="s">
        <v>17</v>
      </c>
      <c r="W46" s="713">
        <f t="shared" si="14"/>
        <v>100</v>
      </c>
      <c r="X46" s="1532"/>
      <c r="Y46" s="3335"/>
      <c r="Z46" s="1533">
        <f t="shared" si="15"/>
        <v>111</v>
      </c>
      <c r="AA46" s="1530">
        <f t="shared" si="3"/>
        <v>1</v>
      </c>
      <c r="AB46" s="1530">
        <f t="shared" si="4"/>
        <v>1</v>
      </c>
      <c r="AC46" s="1530">
        <f t="shared" si="5"/>
        <v>1</v>
      </c>
    </row>
    <row r="47" spans="1:29" ht="15">
      <c r="A47" s="438" t="s">
        <v>2397</v>
      </c>
      <c r="B47" s="439"/>
      <c r="C47" s="1311" t="s">
        <v>1</v>
      </c>
      <c r="D47" s="1312"/>
      <c r="E47" s="1313">
        <f>ROUND(D50*39300,0)</f>
        <v>37335</v>
      </c>
      <c r="F47" s="1314"/>
      <c r="G47" s="1313">
        <f>ROUND(D50*40000,0)</f>
        <v>38000</v>
      </c>
      <c r="H47" s="1316"/>
      <c r="I47" s="1313">
        <f>ROUND(D50*39100,0)</f>
        <v>37145</v>
      </c>
      <c r="J47" s="1316"/>
      <c r="K47" s="721"/>
      <c r="L47" s="2934"/>
      <c r="M47" s="2935"/>
      <c r="N47" s="2926"/>
      <c r="O47" s="2935"/>
      <c r="P47" s="3327" t="str">
        <f>A47</f>
        <v>成交单价（元/平方米）</v>
      </c>
      <c r="Q47" s="3327"/>
      <c r="R47" s="3322">
        <f>E47</f>
        <v>37335</v>
      </c>
      <c r="S47" s="3322"/>
      <c r="T47" s="3322">
        <f>G47</f>
        <v>38000</v>
      </c>
      <c r="U47" s="3322"/>
      <c r="V47" s="3322">
        <f>I47</f>
        <v>37145</v>
      </c>
      <c r="W47" s="3322"/>
      <c r="X47" s="697"/>
      <c r="Y47" s="719"/>
      <c r="Z47" s="697"/>
      <c r="AA47" s="697"/>
      <c r="AB47" s="697"/>
      <c r="AC47" s="697"/>
    </row>
    <row r="48" spans="1:29" ht="15.75" thickBot="1">
      <c r="A48" s="445" t="s">
        <v>2489</v>
      </c>
      <c r="B48" s="446"/>
      <c r="C48" s="1317">
        <f>R49</f>
        <v>34472</v>
      </c>
      <c r="D48" s="2528" t="s">
        <v>2876</v>
      </c>
      <c r="E48" s="1318">
        <f>R48</f>
        <v>33838</v>
      </c>
      <c r="F48" s="2529"/>
      <c r="G48" s="1317">
        <f>T48</f>
        <v>35185</v>
      </c>
      <c r="H48" s="2529"/>
      <c r="I48" s="1318">
        <f>V48</f>
        <v>34394</v>
      </c>
      <c r="J48" s="2529"/>
      <c r="K48" s="2531">
        <f>F48+H48+J48</f>
        <v>0</v>
      </c>
      <c r="L48" s="2934"/>
      <c r="M48" s="2935"/>
      <c r="N48" s="2926"/>
      <c r="O48" s="2935"/>
      <c r="P48" s="3327" t="str">
        <f>A48</f>
        <v>比较价值（元/平方米）</v>
      </c>
      <c r="Q48" s="3327"/>
      <c r="R48" s="3328">
        <f>IF(F1="售价",ROUND(PRODUCT(R47,AA7:AA46),0),ROUND(PRODUCT(R47,AA7:AA46),1))</f>
        <v>33838</v>
      </c>
      <c r="S48" s="3328"/>
      <c r="T48" s="3328">
        <f>IF(F1="售价",ROUND(PRODUCT(T47,AB7:AB46),0),ROUND(PRODUCT(T47,AB7:AB46),1))</f>
        <v>35185</v>
      </c>
      <c r="U48" s="3328"/>
      <c r="V48" s="3328">
        <f>IF(F1="售价",ROUND(PRODUCT(V47,AC7:AC46),0),ROUND(PRODUCT(V47,AC7:AC46),1))</f>
        <v>34394</v>
      </c>
      <c r="W48" s="3328"/>
      <c r="X48" s="697"/>
      <c r="Y48" s="697"/>
      <c r="Z48" s="697"/>
      <c r="AA48" s="697"/>
      <c r="AB48" s="697"/>
      <c r="AC48" s="697"/>
    </row>
    <row r="49" spans="1:29" ht="15.75" thickBot="1">
      <c r="A49" s="449" t="s">
        <v>2490</v>
      </c>
      <c r="B49" s="450"/>
      <c r="C49" s="1320">
        <f>R49</f>
        <v>34472</v>
      </c>
      <c r="D49" s="1320"/>
      <c r="E49" s="1320"/>
      <c r="F49" s="1320"/>
      <c r="G49" s="1320"/>
      <c r="H49" s="1320"/>
      <c r="I49" s="1320"/>
      <c r="J49" s="1320"/>
      <c r="K49" s="722"/>
      <c r="L49" s="2934"/>
      <c r="M49" s="2935"/>
      <c r="N49" s="2926"/>
      <c r="O49" s="2935"/>
      <c r="P49" s="3324" t="str">
        <f>A49</f>
        <v>估价对象XX用房的比较价值（楼面单价，元/平方米）</v>
      </c>
      <c r="Q49" s="3325"/>
      <c r="R49" s="3326">
        <f>IF(F1="售价",ROUND(IF(D48="简单平均",AVERAGE(R48:V48),R48*F48+T48*H48+V48*J48),0),ROUND(IF(D48="简单平均",AVERAGE(R48:V48),R48*F48+T48*H48+V48*J48),1))</f>
        <v>34472</v>
      </c>
      <c r="S49" s="3326"/>
      <c r="T49" s="3326"/>
      <c r="U49" s="3326"/>
      <c r="V49" s="3326"/>
      <c r="W49" s="3326"/>
      <c r="X49" s="697"/>
      <c r="Y49" s="697"/>
      <c r="Z49" s="697"/>
      <c r="AA49" s="697"/>
      <c r="AB49" s="697"/>
      <c r="AC49" s="697"/>
    </row>
    <row r="50" spans="1:29">
      <c r="A50" s="2935"/>
      <c r="B50" s="2935"/>
      <c r="C50" s="2935"/>
      <c r="D50" s="2935">
        <v>0.95</v>
      </c>
      <c r="E50" s="2935"/>
      <c r="F50" s="2935"/>
      <c r="G50" s="2939"/>
      <c r="H50" s="2935"/>
      <c r="I50" s="2935"/>
      <c r="J50" s="2935"/>
      <c r="K50" s="2940"/>
      <c r="L50" s="2936"/>
      <c r="M50" s="2935"/>
      <c r="N50" s="2935"/>
      <c r="O50" s="2935"/>
      <c r="P50" s="2946"/>
      <c r="Q50" s="2935"/>
      <c r="R50" s="2935"/>
      <c r="S50" s="2935"/>
      <c r="T50" s="2935"/>
      <c r="U50" s="2935"/>
      <c r="V50" s="2935"/>
      <c r="W50" s="2935"/>
      <c r="X50" s="2935"/>
      <c r="Y50" s="2935"/>
      <c r="Z50" s="2935"/>
      <c r="AA50" s="2935"/>
      <c r="AB50" s="2935"/>
      <c r="AC50" s="2935"/>
    </row>
    <row r="51" spans="1:29">
      <c r="A51" s="2935"/>
      <c r="B51" s="2935"/>
      <c r="C51" s="2935"/>
      <c r="D51" s="2935"/>
      <c r="E51" s="2935"/>
      <c r="F51" s="2935"/>
      <c r="G51" s="2935"/>
      <c r="H51" s="2935"/>
      <c r="I51" s="2935"/>
      <c r="J51" s="2935"/>
      <c r="K51" s="2940"/>
      <c r="L51" s="2936"/>
      <c r="M51" s="2935"/>
      <c r="N51" s="2935"/>
      <c r="O51" s="2935"/>
      <c r="P51" s="2946"/>
      <c r="Q51" s="2935"/>
      <c r="R51" s="2935"/>
      <c r="S51" s="2935"/>
      <c r="T51" s="2935"/>
      <c r="U51" s="2935"/>
      <c r="V51" s="2935"/>
      <c r="W51" s="2935"/>
      <c r="X51" s="2935"/>
      <c r="Y51" s="2935"/>
      <c r="Z51" s="2935"/>
      <c r="AA51" s="2935"/>
      <c r="AB51" s="2935"/>
      <c r="AC51" s="2935"/>
    </row>
    <row r="52" spans="1:29" ht="13.5" customHeight="1">
      <c r="A52" s="2935"/>
      <c r="B52" s="2935"/>
      <c r="C52" s="454" t="s">
        <v>2491</v>
      </c>
      <c r="D52" s="455"/>
      <c r="E52" s="456">
        <f>IF(E47&lt;E48,E48/E47-1,E47/E48-1)</f>
        <v>0.10334535138010525</v>
      </c>
      <c r="F52" s="457" t="str">
        <f>IF(OR(E52&gt;=0.3,E52&lt;=-0.3),"超过30%","")</f>
        <v/>
      </c>
      <c r="G52" s="456">
        <f>IF(G47&lt;G48,G48/G47-1,G47/G48-1)</f>
        <v>8.0005684240443298E-2</v>
      </c>
      <c r="H52" s="457" t="str">
        <f>IF(OR(G52&gt;=0.3,G52&lt;=-0.3),"超过30%","")</f>
        <v/>
      </c>
      <c r="I52" s="456">
        <f>IF(I47&lt;I48,I48/I47-1,I47/I48-1)</f>
        <v>7.9984881083909887E-2</v>
      </c>
      <c r="J52" s="457" t="str">
        <f>IF(OR(I52&gt;=0.3,I52&lt;=-0.3),"超过30%","")</f>
        <v/>
      </c>
      <c r="K52" s="2940"/>
      <c r="L52" s="2936"/>
      <c r="M52" s="2935"/>
      <c r="N52" s="2935"/>
      <c r="O52" s="2935"/>
      <c r="P52" s="2946"/>
      <c r="Q52" s="2935"/>
      <c r="R52" s="2935"/>
      <c r="S52" s="2935"/>
      <c r="T52" s="2935"/>
      <c r="U52" s="2935"/>
      <c r="V52" s="2935"/>
      <c r="W52" s="2935"/>
      <c r="X52" s="2935"/>
      <c r="Y52" s="2935"/>
      <c r="Z52" s="2935"/>
      <c r="AA52" s="2935"/>
      <c r="AB52" s="2935"/>
      <c r="AC52" s="2935"/>
    </row>
    <row r="53" spans="1:29" ht="13.5" customHeight="1">
      <c r="A53" s="2935"/>
      <c r="B53" s="2935"/>
      <c r="C53" s="454" t="s">
        <v>2492</v>
      </c>
      <c r="D53" s="458"/>
      <c r="E53" s="456">
        <f>IF(E48&lt;G48,G48/E48-1,E48/G48-1)</f>
        <v>3.9807317217329663E-2</v>
      </c>
      <c r="F53" s="457" t="str">
        <f>IF(OR(E53&gt;=0.2,E53&lt;=-0.2),"超过20%","")</f>
        <v/>
      </c>
      <c r="G53" s="456">
        <f>IF(G48&lt;I48,I48/G48-1,G48/I48-1)</f>
        <v>2.2998197360004635E-2</v>
      </c>
      <c r="H53" s="457" t="str">
        <f>IF(OR(G53&gt;=0.2,G53&lt;=-0.2),"超过20%","")</f>
        <v/>
      </c>
      <c r="I53" s="456">
        <f>IF(I48&lt;E48,E48/I48-1,I48/E48-1)</f>
        <v>1.643123116023415E-2</v>
      </c>
      <c r="J53" s="457" t="str">
        <f>IF(OR(I53&gt;=0.2,I53&lt;=-0.2),"超过20%","")</f>
        <v/>
      </c>
      <c r="K53" s="2940"/>
      <c r="L53" s="2936"/>
      <c r="M53" s="2935"/>
      <c r="N53" s="2935"/>
      <c r="O53" s="2935"/>
      <c r="P53" s="2946"/>
      <c r="Q53" s="2935"/>
      <c r="R53" s="2935"/>
      <c r="S53" s="2935"/>
      <c r="T53" s="2935"/>
      <c r="U53" s="2935"/>
      <c r="V53" s="2935"/>
      <c r="W53" s="2935"/>
      <c r="X53" s="2935"/>
      <c r="Y53" s="2935"/>
      <c r="Z53" s="2935"/>
      <c r="AA53" s="2935"/>
      <c r="AB53" s="2935"/>
      <c r="AC53" s="2935"/>
    </row>
    <row r="54" spans="1:29" s="459" customFormat="1" ht="13.5" customHeight="1">
      <c r="A54" s="2938"/>
      <c r="B54" s="2938"/>
      <c r="C54" s="454" t="s">
        <v>2493</v>
      </c>
      <c r="D54" s="458"/>
      <c r="E54" s="456">
        <f>IF(E47&lt;G47,G47/E47-1,E47/G47-1)</f>
        <v>1.7811704834605591E-2</v>
      </c>
      <c r="F54" s="457" t="str">
        <f>IF(OR(E54&gt;=0.3,E54&lt;=-0.3),"超过30%","")</f>
        <v/>
      </c>
      <c r="G54" s="456">
        <f>IF(G47&lt;I47,I47/G47-1,G47/I47-1)</f>
        <v>2.3017902813299296E-2</v>
      </c>
      <c r="H54" s="457" t="str">
        <f>IF(OR(G54&gt;=0.3,G54&lt;=-0.3),"超过30%","")</f>
        <v/>
      </c>
      <c r="I54" s="456">
        <f>IF(I47&lt;E47,E47/I47-1,I47/E47-1)</f>
        <v>5.1150895140665842E-3</v>
      </c>
      <c r="J54" s="457" t="str">
        <f>IF(OR(I54&gt;=0.3,I54&lt;=-0.3),"超过30%","")</f>
        <v/>
      </c>
      <c r="K54" s="2943"/>
      <c r="L54" s="2937"/>
      <c r="M54" s="2938"/>
      <c r="N54" s="2938"/>
      <c r="O54" s="2938"/>
      <c r="P54" s="2947"/>
      <c r="Q54" s="2938"/>
      <c r="R54" s="2938"/>
      <c r="S54" s="2938"/>
      <c r="T54" s="2938"/>
      <c r="U54" s="2938"/>
      <c r="V54" s="2938"/>
      <c r="W54" s="2938"/>
      <c r="X54" s="2938"/>
      <c r="Y54" s="2938"/>
      <c r="Z54" s="2938"/>
      <c r="AA54" s="2938"/>
      <c r="AB54" s="2938"/>
      <c r="AC54" s="2938"/>
    </row>
    <row r="55" spans="1:29" s="459" customFormat="1">
      <c r="A55" s="2938"/>
      <c r="B55" s="2941"/>
      <c r="C55" s="2942"/>
      <c r="D55" s="2938"/>
      <c r="E55" s="2938"/>
      <c r="F55" s="2938"/>
      <c r="G55" s="2938"/>
      <c r="H55" s="2938"/>
      <c r="I55" s="2938"/>
      <c r="J55" s="2938"/>
      <c r="K55" s="2943"/>
      <c r="L55" s="2937"/>
      <c r="M55" s="2938"/>
      <c r="N55" s="2938"/>
      <c r="O55" s="2938"/>
      <c r="P55" s="2947"/>
      <c r="Q55" s="2938"/>
      <c r="R55" s="2938"/>
      <c r="S55" s="2938"/>
      <c r="T55" s="2938"/>
      <c r="U55" s="2938"/>
      <c r="V55" s="2938"/>
      <c r="W55" s="2938"/>
      <c r="X55" s="2938"/>
      <c r="Y55" s="2938"/>
      <c r="Z55" s="2938"/>
      <c r="AA55" s="2938"/>
      <c r="AB55" s="2938"/>
      <c r="AC55" s="2938"/>
    </row>
    <row r="56" spans="1:29">
      <c r="A56" s="2935"/>
      <c r="B56" s="2941"/>
      <c r="C56" s="2942"/>
      <c r="D56" s="2935"/>
      <c r="E56" s="2935"/>
      <c r="F56" s="2935"/>
      <c r="G56" s="2935"/>
      <c r="H56" s="2935"/>
      <c r="I56" s="2935"/>
      <c r="J56" s="2935"/>
      <c r="K56" s="2940"/>
      <c r="L56" s="2936"/>
      <c r="M56" s="2935"/>
      <c r="N56" s="2935"/>
      <c r="O56" s="2935"/>
      <c r="P56" s="2946"/>
      <c r="Q56" s="2935"/>
      <c r="R56" s="2935"/>
      <c r="S56" s="2935"/>
      <c r="T56" s="2935"/>
      <c r="U56" s="2935"/>
      <c r="V56" s="2935"/>
      <c r="W56" s="2935"/>
      <c r="X56" s="2935"/>
      <c r="Y56" s="2935"/>
      <c r="Z56" s="2935"/>
      <c r="AA56" s="2935"/>
      <c r="AB56" s="2935"/>
      <c r="AC56" s="2935"/>
    </row>
    <row r="57" spans="1:29" ht="21.75" thickBot="1">
      <c r="A57" s="701" t="s">
        <v>2494</v>
      </c>
      <c r="B57" s="697"/>
      <c r="C57" s="702"/>
      <c r="D57" s="702"/>
      <c r="E57" s="702"/>
      <c r="F57" s="703"/>
      <c r="G57" s="703"/>
      <c r="H57" s="702"/>
      <c r="I57" s="702"/>
      <c r="J57" s="702"/>
      <c r="K57" s="704"/>
      <c r="L57" s="1070"/>
      <c r="M57" s="1068"/>
      <c r="N57" s="1068"/>
      <c r="O57" s="1068"/>
      <c r="P57" s="2948"/>
      <c r="Q57" s="2949"/>
      <c r="R57" s="2935"/>
      <c r="S57" s="2935"/>
      <c r="T57" s="2935"/>
      <c r="U57" s="2935"/>
      <c r="V57" s="2935"/>
      <c r="W57" s="2935"/>
      <c r="X57" s="2935"/>
      <c r="Y57" s="2935"/>
      <c r="Z57" s="2935"/>
      <c r="AA57" s="2935"/>
      <c r="AB57" s="2935"/>
      <c r="AC57" s="2935"/>
    </row>
    <row r="58" spans="1:29" s="465" customFormat="1" ht="15">
      <c r="A58" s="462" t="s">
        <v>2368</v>
      </c>
      <c r="B58" s="463"/>
      <c r="C58" s="1341" t="str">
        <f>YEAR(C7)&amp;"-"&amp;MONTH(C7)</f>
        <v>2021-5</v>
      </c>
      <c r="D58" s="1342">
        <f>EDATE(C58,-1)</f>
        <v>44287</v>
      </c>
      <c r="E58" s="1342">
        <f t="shared" ref="E58:N58" si="16">EDATE(D58,-1)</f>
        <v>44256</v>
      </c>
      <c r="F58" s="1342">
        <f t="shared" si="16"/>
        <v>44228</v>
      </c>
      <c r="G58" s="1342">
        <f t="shared" si="16"/>
        <v>44197</v>
      </c>
      <c r="H58" s="1342">
        <f t="shared" si="16"/>
        <v>44166</v>
      </c>
      <c r="I58" s="1342">
        <f t="shared" si="16"/>
        <v>44136</v>
      </c>
      <c r="J58" s="1342">
        <f t="shared" si="16"/>
        <v>44105</v>
      </c>
      <c r="K58" s="1342">
        <f t="shared" si="16"/>
        <v>44075</v>
      </c>
      <c r="L58" s="1342">
        <f t="shared" si="16"/>
        <v>44044</v>
      </c>
      <c r="M58" s="1342">
        <f t="shared" si="16"/>
        <v>44013</v>
      </c>
      <c r="N58" s="1342">
        <f t="shared" si="16"/>
        <v>43983</v>
      </c>
      <c r="O58" s="1342">
        <f>EDATE(N58,-1)</f>
        <v>43952</v>
      </c>
      <c r="P58" s="2950"/>
      <c r="Q58" s="2951"/>
      <c r="R58" s="2951"/>
      <c r="S58" s="2951"/>
      <c r="T58" s="2951"/>
      <c r="U58" s="2951"/>
      <c r="V58" s="2951"/>
      <c r="W58" s="2951"/>
      <c r="X58" s="2951"/>
      <c r="Y58" s="2951"/>
      <c r="Z58" s="2951"/>
      <c r="AA58" s="2951"/>
      <c r="AB58" s="2951"/>
      <c r="AC58" s="2951"/>
    </row>
    <row r="59" spans="1:29" s="113" customFormat="1" ht="15">
      <c r="A59" s="466"/>
      <c r="B59" s="467"/>
      <c r="C59" s="1340">
        <v>100</v>
      </c>
      <c r="D59" s="469"/>
      <c r="E59" s="469"/>
      <c r="F59" s="469"/>
      <c r="G59" s="469"/>
      <c r="H59" s="469"/>
      <c r="I59" s="469"/>
      <c r="J59" s="469"/>
      <c r="K59" s="469"/>
      <c r="L59" s="469"/>
      <c r="M59" s="470"/>
      <c r="N59" s="469"/>
      <c r="O59" s="470"/>
      <c r="P59" s="2952"/>
      <c r="Q59" s="2870"/>
      <c r="R59" s="2870"/>
      <c r="S59" s="2870"/>
      <c r="T59" s="2870"/>
      <c r="U59" s="2870"/>
      <c r="V59" s="2870"/>
      <c r="W59" s="2870"/>
      <c r="X59" s="2870"/>
      <c r="Y59" s="2870"/>
      <c r="Z59" s="2870"/>
      <c r="AA59" s="2870"/>
      <c r="AB59" s="2870"/>
      <c r="AC59" s="2870"/>
    </row>
    <row r="60" spans="1:29" s="113" customFormat="1" ht="15.75" thickBot="1">
      <c r="A60" s="472" t="s">
        <v>2405</v>
      </c>
      <c r="B60" s="473"/>
      <c r="C60" s="474"/>
      <c r="D60" s="475"/>
      <c r="E60" s="475"/>
      <c r="F60" s="475"/>
      <c r="G60" s="475"/>
      <c r="H60" s="475"/>
      <c r="I60" s="475"/>
      <c r="J60" s="475"/>
      <c r="K60" s="475"/>
      <c r="L60" s="475"/>
      <c r="M60" s="476"/>
      <c r="N60" s="475"/>
      <c r="O60" s="476"/>
      <c r="P60" s="2952"/>
      <c r="Q60" s="2949"/>
      <c r="R60" s="2870"/>
      <c r="S60" s="2870"/>
      <c r="T60" s="2870"/>
      <c r="U60" s="2870"/>
      <c r="V60" s="2870"/>
      <c r="W60" s="2870"/>
      <c r="X60" s="2870"/>
      <c r="Y60" s="2870"/>
      <c r="Z60" s="2870"/>
      <c r="AA60" s="2870"/>
      <c r="AB60" s="2870"/>
      <c r="AC60" s="2870"/>
    </row>
    <row r="61" spans="1:29" s="113" customFormat="1" ht="15">
      <c r="A61" s="478" t="s">
        <v>2370</v>
      </c>
      <c r="B61" s="467"/>
      <c r="C61" s="479" t="s">
        <v>2472</v>
      </c>
      <c r="D61" s="480"/>
      <c r="E61" s="480"/>
      <c r="F61" s="480"/>
      <c r="G61" s="480"/>
      <c r="H61" s="480"/>
      <c r="I61" s="480"/>
      <c r="J61" s="480"/>
      <c r="K61" s="480"/>
      <c r="L61" s="481"/>
      <c r="M61" s="482"/>
      <c r="N61" s="2962"/>
      <c r="O61" s="2962"/>
      <c r="P61" s="2953"/>
      <c r="Q61" s="2949"/>
      <c r="R61" s="2870"/>
      <c r="S61" s="2870"/>
      <c r="T61" s="2870"/>
      <c r="U61" s="2870"/>
      <c r="V61" s="2870"/>
      <c r="W61" s="2870"/>
      <c r="X61" s="2870"/>
      <c r="Y61" s="2870"/>
      <c r="Z61" s="2870"/>
      <c r="AA61" s="2870"/>
      <c r="AB61" s="2870"/>
      <c r="AC61" s="2870"/>
    </row>
    <row r="62" spans="1:29" s="113" customFormat="1" ht="15.75" thickBot="1">
      <c r="A62" s="478"/>
      <c r="B62" s="467"/>
      <c r="C62" s="468">
        <v>100</v>
      </c>
      <c r="D62" s="469"/>
      <c r="E62" s="469"/>
      <c r="F62" s="469"/>
      <c r="G62" s="469"/>
      <c r="H62" s="469"/>
      <c r="I62" s="469"/>
      <c r="J62" s="469"/>
      <c r="K62" s="469"/>
      <c r="L62" s="469"/>
      <c r="M62" s="471"/>
      <c r="N62" s="2962"/>
      <c r="O62" s="2962"/>
      <c r="P62" s="2952"/>
      <c r="Q62" s="2949"/>
      <c r="R62" s="2870"/>
      <c r="S62" s="2870"/>
      <c r="T62" s="2870"/>
      <c r="U62" s="2870"/>
      <c r="V62" s="2870"/>
      <c r="W62" s="2870"/>
      <c r="X62" s="2870"/>
      <c r="Y62" s="2870"/>
      <c r="Z62" s="2870"/>
      <c r="AA62" s="2870"/>
      <c r="AB62" s="2870"/>
      <c r="AC62" s="2870"/>
    </row>
    <row r="63" spans="1:29">
      <c r="A63" s="484" t="s">
        <v>2408</v>
      </c>
      <c r="B63" s="485" t="s">
        <v>2374</v>
      </c>
      <c r="C63" s="486" t="str">
        <f>C9</f>
        <v>商业</v>
      </c>
      <c r="D63" s="487"/>
      <c r="E63" s="487"/>
      <c r="F63" s="487"/>
      <c r="G63" s="487"/>
      <c r="H63" s="487"/>
      <c r="I63" s="487"/>
      <c r="J63" s="487"/>
      <c r="K63" s="488"/>
      <c r="L63" s="489"/>
      <c r="M63" s="490"/>
      <c r="N63" s="2963"/>
      <c r="O63" s="2963"/>
      <c r="P63" s="2954"/>
      <c r="Q63" s="2949"/>
      <c r="R63" s="2935"/>
      <c r="S63" s="2935"/>
      <c r="T63" s="2935"/>
      <c r="U63" s="2935"/>
      <c r="V63" s="2935"/>
      <c r="W63" s="2935"/>
      <c r="X63" s="2935"/>
      <c r="Y63" s="2935"/>
      <c r="Z63" s="2935"/>
      <c r="AA63" s="2935"/>
      <c r="AB63" s="2935"/>
      <c r="AC63" s="2935"/>
    </row>
    <row r="64" spans="1:29" ht="15.75" thickBot="1">
      <c r="A64" s="491"/>
      <c r="B64" s="492"/>
      <c r="C64" s="493">
        <v>100</v>
      </c>
      <c r="D64" s="493"/>
      <c r="E64" s="493"/>
      <c r="F64" s="493"/>
      <c r="G64" s="493"/>
      <c r="H64" s="493"/>
      <c r="I64" s="493"/>
      <c r="J64" s="493"/>
      <c r="K64" s="493"/>
      <c r="L64" s="493"/>
      <c r="M64" s="494"/>
      <c r="N64" s="2964"/>
      <c r="O64" s="2964"/>
      <c r="P64" s="2954"/>
      <c r="Q64" s="2949"/>
      <c r="R64" s="2935"/>
      <c r="S64" s="2935"/>
      <c r="T64" s="2935"/>
      <c r="U64" s="2935"/>
      <c r="V64" s="2935"/>
      <c r="W64" s="2935"/>
      <c r="X64" s="2935"/>
      <c r="Y64" s="2935"/>
      <c r="Z64" s="2935"/>
      <c r="AA64" s="2935"/>
      <c r="AB64" s="2935"/>
      <c r="AC64" s="2935"/>
    </row>
    <row r="65" spans="1:29" ht="15.75" thickTop="1">
      <c r="A65" s="491"/>
      <c r="B65" s="495" t="s">
        <v>2377</v>
      </c>
      <c r="C65" s="496" t="s">
        <v>2409</v>
      </c>
      <c r="D65" s="496" t="s">
        <v>2410</v>
      </c>
      <c r="E65" s="496" t="s">
        <v>2411</v>
      </c>
      <c r="F65" s="496" t="s">
        <v>2412</v>
      </c>
      <c r="G65" s="496" t="s">
        <v>2413</v>
      </c>
      <c r="H65" s="496" t="s">
        <v>2414</v>
      </c>
      <c r="I65" s="496" t="s">
        <v>2415</v>
      </c>
      <c r="J65" s="496"/>
      <c r="K65" s="497"/>
      <c r="L65" s="498"/>
      <c r="M65" s="499"/>
      <c r="N65" s="2963"/>
      <c r="O65" s="2963"/>
      <c r="P65" s="2954"/>
      <c r="Q65" s="2949"/>
      <c r="R65" s="2935"/>
      <c r="S65" s="2935"/>
      <c r="T65" s="2935"/>
      <c r="U65" s="2935"/>
      <c r="V65" s="2935"/>
      <c r="W65" s="2935"/>
      <c r="X65" s="2935"/>
      <c r="Y65" s="2935"/>
      <c r="Z65" s="2935"/>
      <c r="AA65" s="2935"/>
      <c r="AB65" s="2935"/>
      <c r="AC65" s="293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4"/>
      <c r="O66" s="2964"/>
      <c r="P66" s="2954"/>
      <c r="Q66" s="2949"/>
      <c r="R66" s="2935"/>
      <c r="S66" s="2935"/>
      <c r="T66" s="2935"/>
      <c r="U66" s="2935"/>
      <c r="V66" s="2935"/>
      <c r="W66" s="2935"/>
      <c r="X66" s="2935"/>
      <c r="Y66" s="2935"/>
      <c r="Z66" s="2935"/>
      <c r="AA66" s="2935"/>
      <c r="AB66" s="2935"/>
      <c r="AC66" s="2935"/>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4"/>
      <c r="O67" s="2964"/>
      <c r="P67" s="2954"/>
      <c r="Q67" s="2949"/>
      <c r="R67" s="2935"/>
      <c r="S67" s="2935"/>
      <c r="T67" s="2935"/>
      <c r="U67" s="2935"/>
      <c r="V67" s="2935"/>
      <c r="W67" s="2935"/>
      <c r="X67" s="2935"/>
      <c r="Y67" s="2935"/>
      <c r="Z67" s="2935"/>
      <c r="AA67" s="2935"/>
      <c r="AB67" s="2935"/>
      <c r="AC67" s="2935"/>
    </row>
    <row r="68" spans="1:29" ht="15">
      <c r="A68" s="491"/>
      <c r="B68" s="505"/>
      <c r="C68" s="506">
        <v>0</v>
      </c>
      <c r="D68" s="506">
        <v>1</v>
      </c>
      <c r="E68" s="506">
        <v>2</v>
      </c>
      <c r="F68" s="506">
        <v>3</v>
      </c>
      <c r="G68" s="506"/>
      <c r="H68" s="506"/>
      <c r="I68" s="506"/>
      <c r="J68" s="506"/>
      <c r="K68" s="507"/>
      <c r="L68" s="508"/>
      <c r="M68" s="509"/>
      <c r="N68" s="2963"/>
      <c r="O68" s="2963"/>
      <c r="P68" s="2954"/>
      <c r="Q68" s="2949"/>
      <c r="R68" s="2935"/>
      <c r="S68" s="2935"/>
      <c r="T68" s="2935"/>
      <c r="U68" s="2935"/>
      <c r="V68" s="2935"/>
      <c r="W68" s="2935"/>
      <c r="X68" s="2935"/>
      <c r="Y68" s="2935"/>
      <c r="Z68" s="2935"/>
      <c r="AA68" s="2935"/>
      <c r="AB68" s="2935"/>
      <c r="AC68" s="293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4"/>
      <c r="O69" s="2964"/>
      <c r="P69" s="2954"/>
      <c r="Q69" s="2949"/>
      <c r="R69" s="2935"/>
      <c r="S69" s="2935"/>
      <c r="T69" s="2935"/>
      <c r="U69" s="2935"/>
      <c r="V69" s="2935"/>
      <c r="W69" s="2935"/>
      <c r="X69" s="2935"/>
      <c r="Y69" s="2935"/>
      <c r="Z69" s="2935"/>
      <c r="AA69" s="2935"/>
      <c r="AB69" s="2935"/>
      <c r="AC69" s="2935"/>
    </row>
    <row r="70" spans="1:29" s="430" customFormat="1" ht="15.75" thickTop="1">
      <c r="A70" s="510"/>
      <c r="B70" s="495">
        <f>B12</f>
        <v>111</v>
      </c>
      <c r="C70" s="511"/>
      <c r="D70" s="511"/>
      <c r="E70" s="511"/>
      <c r="F70" s="511"/>
      <c r="G70" s="511"/>
      <c r="H70" s="512"/>
      <c r="I70" s="512"/>
      <c r="J70" s="512"/>
      <c r="K70" s="512"/>
      <c r="L70" s="513"/>
      <c r="M70" s="514"/>
      <c r="N70" s="2965"/>
      <c r="O70" s="2965"/>
      <c r="P70" s="2955"/>
      <c r="Q70" s="2956"/>
      <c r="R70" s="2957"/>
      <c r="S70" s="2957"/>
      <c r="T70" s="2957"/>
      <c r="U70" s="2957"/>
      <c r="V70" s="2957"/>
      <c r="W70" s="2957"/>
      <c r="X70" s="2957"/>
      <c r="Y70" s="2957"/>
      <c r="Z70" s="2957"/>
      <c r="AA70" s="2957"/>
      <c r="AB70" s="2957"/>
      <c r="AC70" s="2957"/>
    </row>
    <row r="71" spans="1:29" s="430" customFormat="1" ht="15.75" thickBot="1">
      <c r="A71" s="510"/>
      <c r="B71" s="500"/>
      <c r="C71" s="517"/>
      <c r="D71" s="493"/>
      <c r="E71" s="493"/>
      <c r="F71" s="493"/>
      <c r="G71" s="493"/>
      <c r="H71" s="493"/>
      <c r="I71" s="493"/>
      <c r="J71" s="493"/>
      <c r="K71" s="493"/>
      <c r="L71" s="493"/>
      <c r="M71" s="494"/>
      <c r="N71" s="2964"/>
      <c r="O71" s="2964"/>
      <c r="P71" s="2955"/>
      <c r="Q71" s="2956"/>
      <c r="R71" s="2957"/>
      <c r="S71" s="2957"/>
      <c r="T71" s="2957"/>
      <c r="U71" s="2957"/>
      <c r="V71" s="2957"/>
      <c r="W71" s="2957"/>
      <c r="X71" s="2957"/>
      <c r="Y71" s="2957"/>
      <c r="Z71" s="2957"/>
      <c r="AA71" s="2957"/>
      <c r="AB71" s="2957"/>
      <c r="AC71" s="2957"/>
    </row>
    <row r="72" spans="1:29" s="430" customFormat="1" ht="15.75" thickTop="1">
      <c r="A72" s="510"/>
      <c r="B72" s="495">
        <f>B13</f>
        <v>111</v>
      </c>
      <c r="C72" s="511"/>
      <c r="D72" s="511"/>
      <c r="E72" s="511"/>
      <c r="F72" s="511"/>
      <c r="G72" s="511"/>
      <c r="H72" s="512"/>
      <c r="I72" s="512"/>
      <c r="J72" s="512"/>
      <c r="K72" s="512"/>
      <c r="L72" s="513"/>
      <c r="M72" s="514"/>
      <c r="N72" s="2965"/>
      <c r="O72" s="2965"/>
      <c r="P72" s="2958"/>
      <c r="Q72" s="2959"/>
      <c r="R72" s="2957"/>
      <c r="S72" s="2957"/>
      <c r="T72" s="2957"/>
      <c r="U72" s="2957"/>
      <c r="V72" s="2957"/>
      <c r="W72" s="2957"/>
      <c r="X72" s="2957"/>
      <c r="Y72" s="2957"/>
      <c r="Z72" s="2957"/>
      <c r="AA72" s="2957"/>
      <c r="AB72" s="2957"/>
      <c r="AC72" s="2957"/>
    </row>
    <row r="73" spans="1:29" s="430" customFormat="1" ht="15.75" thickBot="1">
      <c r="A73" s="510"/>
      <c r="B73" s="500"/>
      <c r="C73" s="517"/>
      <c r="D73" s="493"/>
      <c r="E73" s="493"/>
      <c r="F73" s="493"/>
      <c r="G73" s="517"/>
      <c r="H73" s="519"/>
      <c r="I73" s="519"/>
      <c r="J73" s="519"/>
      <c r="K73" s="519"/>
      <c r="L73" s="519"/>
      <c r="M73" s="520"/>
      <c r="N73" s="2965"/>
      <c r="O73" s="2965"/>
      <c r="P73" s="2955"/>
      <c r="Q73" s="2956"/>
      <c r="R73" s="2957"/>
      <c r="S73" s="2957"/>
      <c r="T73" s="2957"/>
      <c r="U73" s="2957"/>
      <c r="V73" s="2957"/>
      <c r="W73" s="2957"/>
      <c r="X73" s="2957"/>
      <c r="Y73" s="2957"/>
      <c r="Z73" s="2957"/>
      <c r="AA73" s="2957"/>
      <c r="AB73" s="2957"/>
      <c r="AC73" s="2957"/>
    </row>
    <row r="74" spans="1:29" s="430" customFormat="1" ht="15.75" thickTop="1">
      <c r="A74" s="510"/>
      <c r="B74" s="503">
        <f>B14</f>
        <v>111</v>
      </c>
      <c r="C74" s="511"/>
      <c r="D74" s="511"/>
      <c r="E74" s="511"/>
      <c r="F74" s="511"/>
      <c r="G74" s="480"/>
      <c r="H74" s="521"/>
      <c r="I74" s="521"/>
      <c r="J74" s="521"/>
      <c r="K74" s="521"/>
      <c r="L74" s="522"/>
      <c r="M74" s="523"/>
      <c r="N74" s="2965"/>
      <c r="O74" s="2965"/>
      <c r="P74" s="2960"/>
      <c r="Q74" s="2956"/>
      <c r="R74" s="2957"/>
      <c r="S74" s="2957"/>
      <c r="T74" s="2957"/>
      <c r="U74" s="2957"/>
      <c r="V74" s="2957"/>
      <c r="W74" s="2957"/>
      <c r="X74" s="2957"/>
      <c r="Y74" s="2957"/>
      <c r="Z74" s="2957"/>
      <c r="AA74" s="2957"/>
      <c r="AB74" s="2957"/>
      <c r="AC74" s="2957"/>
    </row>
    <row r="75" spans="1:29" s="430" customFormat="1" ht="15.75" thickBot="1">
      <c r="A75" s="525"/>
      <c r="B75" s="526"/>
      <c r="C75" s="527"/>
      <c r="D75" s="527"/>
      <c r="E75" s="527"/>
      <c r="F75" s="527"/>
      <c r="G75" s="527"/>
      <c r="H75" s="528"/>
      <c r="I75" s="528"/>
      <c r="J75" s="528"/>
      <c r="K75" s="528"/>
      <c r="L75" s="528"/>
      <c r="M75" s="529"/>
      <c r="N75" s="2965"/>
      <c r="O75" s="2965"/>
      <c r="P75" s="2955"/>
      <c r="Q75" s="2956"/>
      <c r="R75" s="2957"/>
      <c r="S75" s="2957"/>
      <c r="T75" s="2957"/>
      <c r="U75" s="2957"/>
      <c r="V75" s="2957"/>
      <c r="W75" s="2957"/>
      <c r="X75" s="2957"/>
      <c r="Y75" s="2957"/>
      <c r="Z75" s="2957"/>
      <c r="AA75" s="2957"/>
      <c r="AB75" s="2957"/>
      <c r="AC75" s="2957"/>
    </row>
    <row r="76" spans="1:29">
      <c r="A76" s="484" t="s">
        <v>2379</v>
      </c>
      <c r="B76" s="485" t="s">
        <v>2416</v>
      </c>
      <c r="C76" s="530" t="s">
        <v>2417</v>
      </c>
      <c r="D76" s="530" t="s">
        <v>2418</v>
      </c>
      <c r="E76" s="530" t="s">
        <v>2419</v>
      </c>
      <c r="F76" s="530" t="s">
        <v>2420</v>
      </c>
      <c r="G76" s="530" t="s">
        <v>2421</v>
      </c>
      <c r="H76" s="486"/>
      <c r="I76" s="486"/>
      <c r="J76" s="486"/>
      <c r="K76" s="531"/>
      <c r="L76" s="532"/>
      <c r="M76" s="533"/>
      <c r="N76" s="2963"/>
      <c r="O76" s="2963"/>
      <c r="P76" s="2961"/>
      <c r="Q76" s="2949"/>
      <c r="R76" s="2935"/>
      <c r="S76" s="2935"/>
      <c r="T76" s="2935"/>
      <c r="U76" s="2935"/>
      <c r="V76" s="2935"/>
      <c r="W76" s="2935"/>
      <c r="X76" s="2935"/>
      <c r="Y76" s="2935"/>
      <c r="Z76" s="2935"/>
      <c r="AA76" s="2935"/>
      <c r="AB76" s="2935"/>
      <c r="AC76" s="2935"/>
    </row>
    <row r="77" spans="1:29" ht="15.75" thickBot="1">
      <c r="A77" s="491"/>
      <c r="B77" s="500"/>
      <c r="C77" s="501">
        <v>100</v>
      </c>
      <c r="D77" s="501">
        <f>C77-$K15</f>
        <v>97</v>
      </c>
      <c r="E77" s="501">
        <f>D77-$K15</f>
        <v>94</v>
      </c>
      <c r="F77" s="501">
        <f>E77-$K15</f>
        <v>91</v>
      </c>
      <c r="G77" s="501">
        <f>F77-$K15</f>
        <v>88</v>
      </c>
      <c r="H77" s="501"/>
      <c r="I77" s="501"/>
      <c r="J77" s="501"/>
      <c r="K77" s="501"/>
      <c r="L77" s="501"/>
      <c r="M77" s="502"/>
      <c r="N77" s="2964"/>
      <c r="O77" s="2964"/>
      <c r="P77" s="2954"/>
      <c r="Q77" s="2949"/>
      <c r="R77" s="2935"/>
      <c r="S77" s="2935"/>
      <c r="T77" s="2935"/>
      <c r="U77" s="2935"/>
      <c r="V77" s="2935"/>
      <c r="W77" s="2935"/>
      <c r="X77" s="2935"/>
      <c r="Y77" s="2935"/>
      <c r="Z77" s="2935"/>
      <c r="AA77" s="2935"/>
      <c r="AB77" s="2935"/>
      <c r="AC77" s="2935"/>
    </row>
    <row r="78" spans="1:29" ht="15.75" thickTop="1">
      <c r="A78" s="491"/>
      <c r="B78" s="495" t="s">
        <v>2422</v>
      </c>
      <c r="C78" s="535" t="s">
        <v>2417</v>
      </c>
      <c r="D78" s="535" t="s">
        <v>2418</v>
      </c>
      <c r="E78" s="535" t="s">
        <v>2419</v>
      </c>
      <c r="F78" s="535" t="s">
        <v>2420</v>
      </c>
      <c r="G78" s="535" t="s">
        <v>2421</v>
      </c>
      <c r="H78" s="496"/>
      <c r="I78" s="496"/>
      <c r="J78" s="496"/>
      <c r="K78" s="497"/>
      <c r="L78" s="498"/>
      <c r="M78" s="499"/>
      <c r="N78" s="2963"/>
      <c r="O78" s="2963"/>
      <c r="P78" s="2954"/>
      <c r="Q78" s="2949"/>
      <c r="R78" s="2935"/>
      <c r="S78" s="2935"/>
      <c r="T78" s="2935"/>
      <c r="U78" s="2935"/>
      <c r="V78" s="2935"/>
      <c r="W78" s="2935"/>
      <c r="X78" s="2935"/>
      <c r="Y78" s="2935"/>
      <c r="Z78" s="2935"/>
      <c r="AA78" s="2935"/>
      <c r="AB78" s="2935"/>
      <c r="AC78" s="2935"/>
    </row>
    <row r="79" spans="1:29" ht="15.75" thickBot="1">
      <c r="A79" s="491"/>
      <c r="B79" s="500"/>
      <c r="C79" s="501">
        <v>100</v>
      </c>
      <c r="D79" s="501">
        <f>C79-$K17</f>
        <v>97</v>
      </c>
      <c r="E79" s="501">
        <f>D79-$K17</f>
        <v>94</v>
      </c>
      <c r="F79" s="501">
        <f>E79-$K17</f>
        <v>91</v>
      </c>
      <c r="G79" s="501">
        <f>F79-$K17</f>
        <v>88</v>
      </c>
      <c r="H79" s="501"/>
      <c r="I79" s="501"/>
      <c r="J79" s="501"/>
      <c r="K79" s="501"/>
      <c r="L79" s="501"/>
      <c r="M79" s="502"/>
      <c r="N79" s="2964"/>
      <c r="O79" s="2964"/>
      <c r="P79" s="2954"/>
      <c r="Q79" s="2949"/>
      <c r="R79" s="2935"/>
      <c r="S79" s="2935"/>
      <c r="T79" s="2935"/>
      <c r="U79" s="2935"/>
      <c r="V79" s="2935"/>
      <c r="W79" s="2935"/>
      <c r="X79" s="2935"/>
      <c r="Y79" s="2935"/>
      <c r="Z79" s="2935"/>
      <c r="AA79" s="2935"/>
      <c r="AB79" s="2935"/>
      <c r="AC79" s="2935"/>
    </row>
    <row r="80" spans="1:29" ht="15.75" thickTop="1">
      <c r="A80" s="491"/>
      <c r="B80" s="495" t="s">
        <v>2423</v>
      </c>
      <c r="C80" s="535" t="s">
        <v>2417</v>
      </c>
      <c r="D80" s="535" t="s">
        <v>2418</v>
      </c>
      <c r="E80" s="535" t="s">
        <v>2419</v>
      </c>
      <c r="F80" s="535" t="s">
        <v>2420</v>
      </c>
      <c r="G80" s="535" t="s">
        <v>2421</v>
      </c>
      <c r="H80" s="496"/>
      <c r="I80" s="496"/>
      <c r="J80" s="496"/>
      <c r="K80" s="497"/>
      <c r="L80" s="498"/>
      <c r="M80" s="499"/>
      <c r="N80" s="2963"/>
      <c r="O80" s="2963"/>
      <c r="P80" s="2954"/>
      <c r="Q80" s="2949"/>
      <c r="R80" s="2935"/>
      <c r="S80" s="2935"/>
      <c r="T80" s="2935"/>
      <c r="U80" s="2935"/>
      <c r="V80" s="2935"/>
      <c r="W80" s="2935"/>
      <c r="X80" s="2935"/>
      <c r="Y80" s="2935"/>
      <c r="Z80" s="2935"/>
      <c r="AA80" s="2935"/>
      <c r="AB80" s="2935"/>
      <c r="AC80" s="2935"/>
    </row>
    <row r="81" spans="1:29" ht="15.75" thickBot="1">
      <c r="A81" s="491"/>
      <c r="B81" s="500"/>
      <c r="C81" s="501">
        <v>100</v>
      </c>
      <c r="D81" s="501">
        <f>C81-$K19</f>
        <v>98</v>
      </c>
      <c r="E81" s="501">
        <f>D81-$K19</f>
        <v>96</v>
      </c>
      <c r="F81" s="501">
        <f>E81-$K19</f>
        <v>94</v>
      </c>
      <c r="G81" s="501">
        <f>F81-$K19</f>
        <v>92</v>
      </c>
      <c r="H81" s="501"/>
      <c r="I81" s="501"/>
      <c r="J81" s="501"/>
      <c r="K81" s="501"/>
      <c r="L81" s="501"/>
      <c r="M81" s="502"/>
      <c r="N81" s="2964"/>
      <c r="O81" s="2964"/>
      <c r="P81" s="2954"/>
      <c r="Q81" s="2949"/>
      <c r="R81" s="2935"/>
      <c r="S81" s="2935"/>
      <c r="T81" s="2935"/>
      <c r="U81" s="2935"/>
      <c r="V81" s="2935"/>
      <c r="W81" s="2935"/>
      <c r="X81" s="2935"/>
      <c r="Y81" s="2935"/>
      <c r="Z81" s="2935"/>
      <c r="AA81" s="2935"/>
      <c r="AB81" s="2935"/>
      <c r="AC81" s="2935"/>
    </row>
    <row r="82" spans="1:29" ht="15.75" thickTop="1">
      <c r="A82" s="491"/>
      <c r="B82" s="503" t="s">
        <v>2475</v>
      </c>
      <c r="C82" s="615" t="s">
        <v>2495</v>
      </c>
      <c r="D82" s="615" t="s">
        <v>2496</v>
      </c>
      <c r="E82" s="615" t="s">
        <v>2497</v>
      </c>
      <c r="F82" s="615" t="s">
        <v>2498</v>
      </c>
      <c r="G82" s="615" t="s">
        <v>2499</v>
      </c>
      <c r="H82" s="496"/>
      <c r="I82" s="496"/>
      <c r="J82" s="496"/>
      <c r="K82" s="496"/>
      <c r="L82" s="496"/>
      <c r="M82" s="1286"/>
      <c r="N82" s="2964"/>
      <c r="O82" s="2964"/>
      <c r="P82" s="2954"/>
      <c r="Q82" s="2949"/>
      <c r="R82" s="2935"/>
      <c r="S82" s="2935"/>
      <c r="T82" s="2935"/>
      <c r="U82" s="2935"/>
      <c r="V82" s="2935"/>
      <c r="W82" s="2935"/>
      <c r="X82" s="2935"/>
      <c r="Y82" s="2935"/>
      <c r="Z82" s="2935"/>
      <c r="AA82" s="2935"/>
      <c r="AB82" s="2935"/>
      <c r="AC82" s="2935"/>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64"/>
      <c r="O83" s="2964"/>
      <c r="P83" s="2954"/>
      <c r="Q83" s="2949"/>
      <c r="R83" s="2935"/>
      <c r="S83" s="2935"/>
      <c r="T83" s="2935"/>
      <c r="U83" s="2935"/>
      <c r="V83" s="2935"/>
      <c r="W83" s="2935"/>
      <c r="X83" s="2935"/>
      <c r="Y83" s="2935"/>
      <c r="Z83" s="2935"/>
      <c r="AA83" s="2935"/>
      <c r="AB83" s="2935"/>
      <c r="AC83" s="2935"/>
    </row>
    <row r="84" spans="1:29" ht="15.75" thickTop="1">
      <c r="A84" s="491"/>
      <c r="B84" s="495" t="s">
        <v>2429</v>
      </c>
      <c r="C84" s="535" t="s">
        <v>2417</v>
      </c>
      <c r="D84" s="535" t="s">
        <v>2418</v>
      </c>
      <c r="E84" s="535" t="s">
        <v>2419</v>
      </c>
      <c r="F84" s="535" t="s">
        <v>2420</v>
      </c>
      <c r="G84" s="535" t="s">
        <v>2421</v>
      </c>
      <c r="H84" s="496"/>
      <c r="I84" s="496"/>
      <c r="J84" s="496"/>
      <c r="K84" s="497"/>
      <c r="L84" s="498"/>
      <c r="M84" s="499"/>
      <c r="N84" s="2963"/>
      <c r="O84" s="2963"/>
      <c r="P84" s="2954"/>
      <c r="Q84" s="2949"/>
      <c r="R84" s="2935"/>
      <c r="S84" s="2935"/>
      <c r="T84" s="2935"/>
      <c r="U84" s="2935"/>
      <c r="V84" s="2935"/>
      <c r="W84" s="2935"/>
      <c r="X84" s="2935"/>
      <c r="Y84" s="2935"/>
      <c r="Z84" s="2935"/>
      <c r="AA84" s="2935"/>
      <c r="AB84" s="2935"/>
      <c r="AC84" s="2935"/>
    </row>
    <row r="85" spans="1:29" ht="15.75" thickBot="1">
      <c r="A85" s="491"/>
      <c r="B85" s="500"/>
      <c r="C85" s="501">
        <v>100</v>
      </c>
      <c r="D85" s="501">
        <f>C85-$K23</f>
        <v>97</v>
      </c>
      <c r="E85" s="501">
        <f>D85-$K23</f>
        <v>94</v>
      </c>
      <c r="F85" s="501">
        <f>E85-$K23</f>
        <v>91</v>
      </c>
      <c r="G85" s="501">
        <f>F85-$K23</f>
        <v>88</v>
      </c>
      <c r="H85" s="501"/>
      <c r="I85" s="501"/>
      <c r="J85" s="501"/>
      <c r="K85" s="501"/>
      <c r="L85" s="501"/>
      <c r="M85" s="502"/>
      <c r="N85" s="2964"/>
      <c r="O85" s="2964"/>
      <c r="P85" s="2954"/>
      <c r="Q85" s="2949"/>
      <c r="R85" s="2935"/>
      <c r="S85" s="2935"/>
      <c r="T85" s="2935"/>
      <c r="U85" s="2935"/>
      <c r="V85" s="2935"/>
      <c r="W85" s="2935"/>
      <c r="X85" s="2935"/>
      <c r="Y85" s="2935"/>
      <c r="Z85" s="2935"/>
      <c r="AA85" s="2935"/>
      <c r="AB85" s="2935"/>
      <c r="AC85" s="2935"/>
    </row>
    <row r="86" spans="1:29" s="113" customFormat="1" ht="15.75" thickTop="1">
      <c r="A86" s="536"/>
      <c r="B86" s="495" t="s">
        <v>2500</v>
      </c>
      <c r="C86" s="3069" t="s">
        <v>3157</v>
      </c>
      <c r="D86" s="3069" t="s">
        <v>3158</v>
      </c>
      <c r="E86" s="3069" t="s">
        <v>3159</v>
      </c>
      <c r="F86" s="3069" t="s">
        <v>3160</v>
      </c>
      <c r="G86" s="511"/>
      <c r="H86" s="511"/>
      <c r="I86" s="511"/>
      <c r="J86" s="511"/>
      <c r="K86" s="511"/>
      <c r="L86" s="537"/>
      <c r="M86" s="538"/>
      <c r="N86" s="2962"/>
      <c r="O86" s="2962"/>
      <c r="P86" s="2954"/>
      <c r="Q86" s="2949"/>
      <c r="R86" s="2870"/>
      <c r="S86" s="2870"/>
      <c r="T86" s="2870"/>
      <c r="U86" s="2870"/>
      <c r="V86" s="2870"/>
      <c r="W86" s="2870"/>
      <c r="X86" s="2870"/>
      <c r="Y86" s="2870"/>
      <c r="Z86" s="2870"/>
      <c r="AA86" s="2870"/>
      <c r="AB86" s="2870"/>
      <c r="AC86" s="2870"/>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4"/>
      <c r="O87" s="2964"/>
      <c r="P87" s="2954"/>
      <c r="Q87" s="2949"/>
      <c r="R87" s="2870"/>
      <c r="S87" s="2870"/>
      <c r="T87" s="2870"/>
      <c r="U87" s="2870"/>
      <c r="V87" s="2870"/>
      <c r="W87" s="2870"/>
      <c r="X87" s="2870"/>
      <c r="Y87" s="2870"/>
      <c r="Z87" s="2870"/>
      <c r="AA87" s="2870"/>
      <c r="AB87" s="2870"/>
      <c r="AC87" s="2870"/>
    </row>
    <row r="88" spans="1:29" s="113" customFormat="1" ht="16.5" thickTop="1" thickBot="1">
      <c r="A88" s="536"/>
      <c r="B88" s="495" t="str">
        <f>B26</f>
        <v>平面位置/可视性</v>
      </c>
      <c r="C88" s="3072" t="s">
        <v>3165</v>
      </c>
      <c r="D88" s="3071" t="s">
        <v>3085</v>
      </c>
      <c r="E88" s="3071" t="s">
        <v>3084</v>
      </c>
      <c r="F88" s="3071" t="s">
        <v>3166</v>
      </c>
      <c r="G88" s="3071" t="s">
        <v>3167</v>
      </c>
      <c r="H88" s="511"/>
      <c r="I88" s="511"/>
      <c r="J88" s="511"/>
      <c r="K88" s="511"/>
      <c r="L88" s="511"/>
      <c r="M88" s="538"/>
      <c r="N88" s="2962"/>
      <c r="O88" s="2962"/>
      <c r="P88" s="2954"/>
      <c r="Q88" s="2949"/>
      <c r="R88" s="2870"/>
      <c r="S88" s="2870"/>
      <c r="T88" s="2870"/>
      <c r="U88" s="2870"/>
      <c r="V88" s="2870"/>
      <c r="W88" s="2870"/>
      <c r="X88" s="2870"/>
      <c r="Y88" s="2870"/>
      <c r="Z88" s="2870"/>
      <c r="AA88" s="2870"/>
      <c r="AB88" s="2870"/>
      <c r="AC88" s="2870"/>
    </row>
    <row r="89" spans="1:29" s="113" customFormat="1" ht="16.5" thickTop="1" thickBot="1">
      <c r="A89" s="536"/>
      <c r="B89" s="500"/>
      <c r="C89" s="3070">
        <v>100</v>
      </c>
      <c r="D89" s="3071">
        <v>97</v>
      </c>
      <c r="E89" s="3071">
        <v>94</v>
      </c>
      <c r="F89" s="3071">
        <v>91</v>
      </c>
      <c r="G89" s="3071">
        <v>88</v>
      </c>
      <c r="H89" s="493"/>
      <c r="I89" s="493"/>
      <c r="J89" s="493"/>
      <c r="K89" s="493"/>
      <c r="L89" s="493"/>
      <c r="M89" s="493"/>
      <c r="N89" s="2964"/>
      <c r="O89" s="2964"/>
      <c r="P89" s="2954"/>
      <c r="Q89" s="2949"/>
      <c r="R89" s="2870"/>
      <c r="S89" s="2870"/>
      <c r="T89" s="2870"/>
      <c r="U89" s="2870"/>
      <c r="V89" s="2870"/>
      <c r="W89" s="2870"/>
      <c r="X89" s="2870"/>
      <c r="Y89" s="2870"/>
      <c r="Z89" s="2870"/>
      <c r="AA89" s="2870"/>
      <c r="AB89" s="2870"/>
      <c r="AC89" s="2870"/>
    </row>
    <row r="90" spans="1:29" s="430" customFormat="1" ht="15.75" thickTop="1">
      <c r="A90" s="510"/>
      <c r="B90" s="495" t="str">
        <f>B27</f>
        <v>人流量</v>
      </c>
      <c r="C90" s="3069" t="s">
        <v>1074</v>
      </c>
      <c r="D90" s="3069" t="s">
        <v>3161</v>
      </c>
      <c r="E90" s="3069" t="s">
        <v>3162</v>
      </c>
      <c r="F90" s="3069" t="s">
        <v>3163</v>
      </c>
      <c r="G90" s="3069" t="s">
        <v>3164</v>
      </c>
      <c r="H90" s="512"/>
      <c r="I90" s="512"/>
      <c r="J90" s="512"/>
      <c r="K90" s="512"/>
      <c r="L90" s="513"/>
      <c r="M90" s="514"/>
      <c r="N90" s="2965"/>
      <c r="O90" s="2965"/>
      <c r="P90" s="2955"/>
      <c r="Q90" s="2956"/>
      <c r="R90" s="2957"/>
      <c r="S90" s="2957"/>
      <c r="T90" s="2957"/>
      <c r="U90" s="2957"/>
      <c r="V90" s="2957"/>
      <c r="W90" s="2957"/>
      <c r="X90" s="2957"/>
      <c r="Y90" s="2957"/>
      <c r="Z90" s="2957"/>
      <c r="AA90" s="2957"/>
      <c r="AB90" s="2957"/>
      <c r="AC90" s="2957"/>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65"/>
      <c r="O91" s="2965"/>
      <c r="P91" s="2955"/>
      <c r="Q91" s="2956"/>
      <c r="R91" s="2957"/>
      <c r="S91" s="2957"/>
      <c r="T91" s="2957"/>
      <c r="U91" s="2957"/>
      <c r="V91" s="2957"/>
      <c r="W91" s="2957"/>
      <c r="X91" s="2957"/>
      <c r="Y91" s="2957"/>
      <c r="Z91" s="2957"/>
      <c r="AA91" s="2957"/>
      <c r="AB91" s="2957"/>
      <c r="AC91" s="2957"/>
    </row>
    <row r="92" spans="1:29" ht="15.75" thickTop="1">
      <c r="A92" s="491"/>
      <c r="B92" s="495" t="str">
        <f>B28</f>
        <v>楼层</v>
      </c>
      <c r="C92" s="511" t="s">
        <v>3168</v>
      </c>
      <c r="D92" s="511"/>
      <c r="E92" s="511"/>
      <c r="F92" s="511"/>
      <c r="G92" s="511"/>
      <c r="H92" s="511"/>
      <c r="I92" s="511"/>
      <c r="J92" s="511"/>
      <c r="K92" s="511"/>
      <c r="L92" s="537"/>
      <c r="M92" s="538"/>
      <c r="N92" s="2963"/>
      <c r="O92" s="2963"/>
      <c r="P92" s="2954"/>
      <c r="Q92" s="2949"/>
      <c r="R92" s="2935"/>
      <c r="S92" s="2935"/>
      <c r="T92" s="2935"/>
      <c r="U92" s="2935"/>
      <c r="V92" s="2935"/>
      <c r="W92" s="2935"/>
      <c r="X92" s="2935"/>
      <c r="Y92" s="2935"/>
      <c r="Z92" s="2935"/>
      <c r="AA92" s="2935"/>
      <c r="AB92" s="2935"/>
      <c r="AC92" s="2935"/>
    </row>
    <row r="93" spans="1:29" ht="15.75" thickBot="1">
      <c r="A93" s="491"/>
      <c r="B93" s="500"/>
      <c r="C93" s="493"/>
      <c r="D93" s="493"/>
      <c r="E93" s="493"/>
      <c r="F93" s="493"/>
      <c r="G93" s="493"/>
      <c r="H93" s="493"/>
      <c r="I93" s="493"/>
      <c r="J93" s="493"/>
      <c r="K93" s="493"/>
      <c r="L93" s="493"/>
      <c r="M93" s="494"/>
      <c r="N93" s="2964"/>
      <c r="O93" s="2964"/>
      <c r="P93" s="2954"/>
      <c r="Q93" s="2949"/>
      <c r="R93" s="2935"/>
      <c r="S93" s="2935"/>
      <c r="T93" s="2935"/>
      <c r="U93" s="2935"/>
      <c r="V93" s="2935"/>
      <c r="W93" s="2935"/>
      <c r="X93" s="2935"/>
      <c r="Y93" s="2935"/>
      <c r="Z93" s="2935"/>
      <c r="AA93" s="2935"/>
      <c r="AB93" s="2935"/>
      <c r="AC93" s="2935"/>
    </row>
    <row r="94" spans="1:29" ht="15.75" thickTop="1">
      <c r="A94" s="491"/>
      <c r="B94" s="495">
        <f>B29</f>
        <v>111</v>
      </c>
      <c r="C94" s="511"/>
      <c r="D94" s="511"/>
      <c r="E94" s="511"/>
      <c r="F94" s="511"/>
      <c r="G94" s="540"/>
      <c r="H94" s="540"/>
      <c r="I94" s="540"/>
      <c r="J94" s="540"/>
      <c r="K94" s="541"/>
      <c r="L94" s="542"/>
      <c r="M94" s="543"/>
      <c r="N94" s="2963"/>
      <c r="O94" s="2963"/>
      <c r="P94" s="2954"/>
      <c r="Q94" s="2949"/>
      <c r="R94" s="2935"/>
      <c r="S94" s="2935"/>
      <c r="T94" s="2935"/>
      <c r="U94" s="2935"/>
      <c r="V94" s="2935"/>
      <c r="W94" s="2935"/>
      <c r="X94" s="2935"/>
      <c r="Y94" s="2935"/>
      <c r="Z94" s="2935"/>
      <c r="AA94" s="2935"/>
      <c r="AB94" s="2935"/>
      <c r="AC94" s="2935"/>
    </row>
    <row r="95" spans="1:29" ht="15.75" thickBot="1">
      <c r="A95" s="491"/>
      <c r="B95" s="500"/>
      <c r="C95" s="517"/>
      <c r="D95" s="493"/>
      <c r="E95" s="493"/>
      <c r="F95" s="493"/>
      <c r="G95" s="493"/>
      <c r="H95" s="493"/>
      <c r="I95" s="493"/>
      <c r="J95" s="493"/>
      <c r="K95" s="493"/>
      <c r="L95" s="493"/>
      <c r="M95" s="494"/>
      <c r="N95" s="2964"/>
      <c r="O95" s="2964"/>
      <c r="P95" s="2954"/>
      <c r="Q95" s="2949"/>
      <c r="R95" s="2935"/>
      <c r="S95" s="2935"/>
      <c r="T95" s="2935"/>
      <c r="U95" s="2935"/>
      <c r="V95" s="2935"/>
      <c r="W95" s="2935"/>
      <c r="X95" s="2935"/>
      <c r="Y95" s="2935"/>
      <c r="Z95" s="2935"/>
      <c r="AA95" s="2935"/>
      <c r="AB95" s="2935"/>
      <c r="AC95" s="2935"/>
    </row>
    <row r="96" spans="1:29" ht="15.75" thickTop="1">
      <c r="A96" s="491"/>
      <c r="B96" s="495">
        <f>B30</f>
        <v>111</v>
      </c>
      <c r="C96" s="511"/>
      <c r="D96" s="511"/>
      <c r="E96" s="511"/>
      <c r="F96" s="511"/>
      <c r="G96" s="540"/>
      <c r="H96" s="540"/>
      <c r="I96" s="540"/>
      <c r="J96" s="540"/>
      <c r="K96" s="541"/>
      <c r="L96" s="542"/>
      <c r="M96" s="543"/>
      <c r="N96" s="2963"/>
      <c r="O96" s="2963"/>
      <c r="P96" s="2954"/>
      <c r="Q96" s="2949"/>
      <c r="R96" s="2935"/>
      <c r="S96" s="2935"/>
      <c r="T96" s="2935"/>
      <c r="U96" s="2935"/>
      <c r="V96" s="2935"/>
      <c r="W96" s="2935"/>
      <c r="X96" s="2935"/>
      <c r="Y96" s="2935"/>
      <c r="Z96" s="2935"/>
      <c r="AA96" s="2935"/>
      <c r="AB96" s="2935"/>
      <c r="AC96" s="2935"/>
    </row>
    <row r="97" spans="1:29" ht="15.75" thickBot="1">
      <c r="A97" s="491"/>
      <c r="B97" s="500"/>
      <c r="C97" s="517"/>
      <c r="D97" s="493"/>
      <c r="E97" s="493"/>
      <c r="F97" s="493"/>
      <c r="G97" s="493"/>
      <c r="H97" s="493"/>
      <c r="I97" s="493"/>
      <c r="J97" s="493"/>
      <c r="K97" s="493"/>
      <c r="L97" s="493"/>
      <c r="M97" s="494"/>
      <c r="N97" s="2964"/>
      <c r="O97" s="2964"/>
      <c r="P97" s="2954"/>
      <c r="Q97" s="2949"/>
      <c r="R97" s="2935"/>
      <c r="S97" s="2935"/>
      <c r="T97" s="2935"/>
      <c r="U97" s="2935"/>
      <c r="V97" s="2935"/>
      <c r="W97" s="2935"/>
      <c r="X97" s="2935"/>
      <c r="Y97" s="2935"/>
      <c r="Z97" s="2935"/>
      <c r="AA97" s="2935"/>
      <c r="AB97" s="2935"/>
      <c r="AC97" s="2935"/>
    </row>
    <row r="98" spans="1:29" ht="15.75" thickTop="1">
      <c r="A98" s="491"/>
      <c r="B98" s="503">
        <f>B31</f>
        <v>111</v>
      </c>
      <c r="C98" s="511"/>
      <c r="D98" s="511"/>
      <c r="E98" s="511"/>
      <c r="F98" s="511"/>
      <c r="G98" s="544"/>
      <c r="H98" s="544"/>
      <c r="I98" s="544"/>
      <c r="J98" s="544"/>
      <c r="K98" s="545"/>
      <c r="L98" s="546"/>
      <c r="M98" s="547"/>
      <c r="N98" s="2963"/>
      <c r="O98" s="2963"/>
      <c r="P98" s="2954"/>
      <c r="Q98" s="2949"/>
      <c r="R98" s="2935"/>
      <c r="S98" s="2935"/>
      <c r="T98" s="2935"/>
      <c r="U98" s="2935"/>
      <c r="V98" s="2935"/>
      <c r="W98" s="2935"/>
      <c r="X98" s="2935"/>
      <c r="Y98" s="2935"/>
      <c r="Z98" s="2935"/>
      <c r="AA98" s="2935"/>
      <c r="AB98" s="2935"/>
      <c r="AC98" s="2935"/>
    </row>
    <row r="99" spans="1:29" ht="15.75" thickBot="1">
      <c r="A99" s="2104"/>
      <c r="B99" s="526"/>
      <c r="C99" s="527"/>
      <c r="D99" s="527"/>
      <c r="E99" s="527"/>
      <c r="F99" s="527"/>
      <c r="G99" s="548"/>
      <c r="H99" s="548"/>
      <c r="I99" s="548"/>
      <c r="J99" s="548"/>
      <c r="K99" s="548"/>
      <c r="L99" s="548"/>
      <c r="M99" s="549"/>
      <c r="N99" s="2964"/>
      <c r="O99" s="2964"/>
      <c r="P99" s="2954"/>
      <c r="Q99" s="2949"/>
      <c r="R99" s="2935"/>
      <c r="S99" s="2935"/>
      <c r="T99" s="2935"/>
      <c r="U99" s="2935"/>
      <c r="V99" s="2935"/>
      <c r="W99" s="2935"/>
      <c r="X99" s="2935"/>
      <c r="Y99" s="2935"/>
      <c r="Z99" s="2935"/>
      <c r="AA99" s="2935"/>
      <c r="AB99" s="2935"/>
      <c r="AC99" s="2935"/>
    </row>
    <row r="100" spans="1:29">
      <c r="A100" s="484" t="s">
        <v>2383</v>
      </c>
      <c r="B100" s="485" t="s">
        <v>2501</v>
      </c>
      <c r="C100" s="3073" t="s">
        <v>3169</v>
      </c>
      <c r="D100" s="3073" t="s">
        <v>3170</v>
      </c>
      <c r="E100" s="3073" t="s">
        <v>3171</v>
      </c>
      <c r="F100" s="3073" t="s">
        <v>3172</v>
      </c>
      <c r="G100" s="3073" t="s">
        <v>3173</v>
      </c>
      <c r="H100" s="487"/>
      <c r="I100" s="487"/>
      <c r="J100" s="487"/>
      <c r="K100" s="488"/>
      <c r="L100" s="489"/>
      <c r="M100" s="490"/>
      <c r="N100" s="2963"/>
      <c r="O100" s="2963"/>
      <c r="P100" s="2954"/>
      <c r="Q100" s="2949"/>
      <c r="R100" s="2935"/>
      <c r="S100" s="2935"/>
      <c r="T100" s="2935"/>
      <c r="U100" s="2935"/>
      <c r="V100" s="2935"/>
      <c r="W100" s="2935"/>
      <c r="X100" s="2935"/>
      <c r="Y100" s="2935"/>
      <c r="Z100" s="2935"/>
      <c r="AA100" s="2935"/>
      <c r="AB100" s="2935"/>
      <c r="AC100" s="2935"/>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64"/>
      <c r="O101" s="2964"/>
      <c r="P101" s="2954"/>
      <c r="Q101" s="2949"/>
      <c r="R101" s="2935"/>
      <c r="S101" s="2935"/>
      <c r="T101" s="2935"/>
      <c r="U101" s="2935"/>
      <c r="V101" s="2935"/>
      <c r="W101" s="2935"/>
      <c r="X101" s="2935"/>
      <c r="Y101" s="2935"/>
      <c r="Z101" s="2935"/>
      <c r="AA101" s="2935"/>
      <c r="AB101" s="2935"/>
      <c r="AC101" s="2935"/>
    </row>
    <row r="102" spans="1:29" ht="29.25" thickTop="1">
      <c r="A102" s="491"/>
      <c r="B102" s="495" t="s">
        <v>2433</v>
      </c>
      <c r="C102" s="535" t="str">
        <f>C103&amp;"(含)"&amp;"-"&amp;D103</f>
        <v>0(含)-100</v>
      </c>
      <c r="D102" s="535" t="str">
        <f t="shared" ref="D102:L102" si="23">D103&amp;"(含)"&amp;"-"&amp;E103</f>
        <v>100(含)-200</v>
      </c>
      <c r="E102" s="535" t="str">
        <f t="shared" si="23"/>
        <v>200(含)-500</v>
      </c>
      <c r="F102" s="535" t="str">
        <f t="shared" si="23"/>
        <v>500(含)-1000</v>
      </c>
      <c r="G102" s="535" t="str">
        <f t="shared" si="23"/>
        <v>1000(含)-2000</v>
      </c>
      <c r="H102" s="535" t="str">
        <f t="shared" si="23"/>
        <v>2000(含)-5000</v>
      </c>
      <c r="I102" s="535" t="str">
        <f t="shared" si="23"/>
        <v>5000(含)-10000</v>
      </c>
      <c r="J102" s="535" t="str">
        <f t="shared" si="23"/>
        <v>10000(含)-</v>
      </c>
      <c r="K102" s="535" t="str">
        <f t="shared" si="23"/>
        <v>(含)-</v>
      </c>
      <c r="L102" s="535" t="str">
        <f t="shared" si="23"/>
        <v>(含)-</v>
      </c>
      <c r="M102" s="577" t="str">
        <f>M103&amp;"(含)"&amp;"-"&amp;P103</f>
        <v>(含)-</v>
      </c>
      <c r="N102" s="2962"/>
      <c r="O102" s="2962"/>
      <c r="P102" s="2954"/>
      <c r="Q102" s="2949"/>
      <c r="R102" s="2935"/>
      <c r="S102" s="2935"/>
      <c r="T102" s="2935"/>
      <c r="U102" s="2935"/>
      <c r="V102" s="2935"/>
      <c r="W102" s="2935"/>
      <c r="X102" s="2935"/>
      <c r="Y102" s="2935"/>
      <c r="Z102" s="2935"/>
      <c r="AA102" s="2935"/>
      <c r="AB102" s="2935"/>
      <c r="AC102" s="2935"/>
    </row>
    <row r="103" spans="1:29" s="430" customFormat="1">
      <c r="A103" s="550"/>
      <c r="B103" s="551"/>
      <c r="C103" s="9">
        <v>0</v>
      </c>
      <c r="D103" s="9">
        <v>100</v>
      </c>
      <c r="E103" s="9">
        <v>200</v>
      </c>
      <c r="F103" s="9">
        <v>500</v>
      </c>
      <c r="G103" s="9">
        <v>1000</v>
      </c>
      <c r="H103" s="9">
        <v>2000</v>
      </c>
      <c r="I103" s="9">
        <v>5000</v>
      </c>
      <c r="J103" s="3074">
        <v>10000</v>
      </c>
      <c r="K103" s="553"/>
      <c r="L103" s="554"/>
      <c r="M103" s="555"/>
      <c r="N103" s="2965"/>
      <c r="O103" s="2965"/>
      <c r="P103" s="2955"/>
      <c r="Q103" s="2956"/>
      <c r="R103" s="2957"/>
      <c r="S103" s="2957"/>
      <c r="T103" s="2957"/>
      <c r="U103" s="2957"/>
      <c r="V103" s="2957"/>
      <c r="W103" s="2957"/>
      <c r="X103" s="2957"/>
      <c r="Y103" s="2957"/>
      <c r="Z103" s="2957"/>
      <c r="AA103" s="2957"/>
      <c r="AB103" s="2957"/>
      <c r="AC103" s="2957"/>
    </row>
    <row r="104" spans="1:29" s="430" customFormat="1" ht="15.75" thickBot="1">
      <c r="A104" s="510"/>
      <c r="B104" s="500"/>
      <c r="C104" s="3070">
        <v>100</v>
      </c>
      <c r="D104" s="3071">
        <f>C104-2</f>
        <v>98</v>
      </c>
      <c r="E104" s="3071">
        <f t="shared" ref="E104:J104" si="24">D104-2</f>
        <v>96</v>
      </c>
      <c r="F104" s="3071">
        <f t="shared" si="24"/>
        <v>94</v>
      </c>
      <c r="G104" s="3071">
        <f t="shared" si="24"/>
        <v>92</v>
      </c>
      <c r="H104" s="3071">
        <f t="shared" si="24"/>
        <v>90</v>
      </c>
      <c r="I104" s="3071">
        <f t="shared" si="24"/>
        <v>88</v>
      </c>
      <c r="J104" s="3071">
        <f t="shared" si="24"/>
        <v>86</v>
      </c>
      <c r="K104" s="493"/>
      <c r="L104" s="493"/>
      <c r="M104" s="494"/>
      <c r="N104" s="2964"/>
      <c r="O104" s="2964"/>
      <c r="P104" s="2955"/>
      <c r="Q104" s="2956"/>
      <c r="R104" s="2957"/>
      <c r="S104" s="2957"/>
      <c r="T104" s="2957"/>
      <c r="U104" s="2957"/>
      <c r="V104" s="2957"/>
      <c r="W104" s="2957"/>
      <c r="X104" s="2957"/>
      <c r="Y104" s="2957"/>
      <c r="Z104" s="2957"/>
      <c r="AA104" s="2957"/>
      <c r="AB104" s="2957"/>
      <c r="AC104" s="2957"/>
    </row>
    <row r="105" spans="1:29" ht="15" thickTop="1">
      <c r="A105" s="556"/>
      <c r="B105" s="495" t="s">
        <v>2434</v>
      </c>
      <c r="C105" s="3069" t="s">
        <v>3068</v>
      </c>
      <c r="D105" s="511"/>
      <c r="E105" s="540"/>
      <c r="F105" s="540"/>
      <c r="G105" s="540"/>
      <c r="H105" s="540"/>
      <c r="I105" s="540"/>
      <c r="J105" s="540"/>
      <c r="K105" s="541"/>
      <c r="L105" s="542"/>
      <c r="M105" s="543"/>
      <c r="N105" s="2963"/>
      <c r="O105" s="2963"/>
      <c r="P105" s="2954"/>
      <c r="Q105" s="2949"/>
      <c r="R105" s="2935"/>
      <c r="S105" s="2935"/>
      <c r="T105" s="2935"/>
      <c r="U105" s="2935"/>
      <c r="V105" s="2935"/>
      <c r="W105" s="2935"/>
      <c r="X105" s="2935"/>
      <c r="Y105" s="2935"/>
      <c r="Z105" s="2935"/>
      <c r="AA105" s="2935"/>
      <c r="AB105" s="2935"/>
      <c r="AC105" s="2935"/>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64"/>
      <c r="O106" s="2964"/>
      <c r="P106" s="2954"/>
      <c r="Q106" s="2949"/>
      <c r="R106" s="2935"/>
      <c r="S106" s="2935"/>
      <c r="T106" s="2935"/>
      <c r="U106" s="2935"/>
      <c r="V106" s="2935"/>
      <c r="W106" s="2935"/>
      <c r="X106" s="2935"/>
      <c r="Y106" s="2935"/>
      <c r="Z106" s="2935"/>
      <c r="AA106" s="2935"/>
      <c r="AB106" s="2935"/>
      <c r="AC106" s="2935"/>
    </row>
    <row r="107" spans="1:29" ht="15" thickTop="1">
      <c r="A107" s="556"/>
      <c r="B107" s="495" t="s">
        <v>2436</v>
      </c>
      <c r="C107" s="3069" t="s">
        <v>3131</v>
      </c>
      <c r="D107" s="3069" t="s">
        <v>3141</v>
      </c>
      <c r="E107" s="3069" t="s">
        <v>3142</v>
      </c>
      <c r="F107" s="3075" t="s">
        <v>3074</v>
      </c>
      <c r="G107" s="540"/>
      <c r="H107" s="540"/>
      <c r="I107" s="540"/>
      <c r="J107" s="540"/>
      <c r="K107" s="541"/>
      <c r="L107" s="542"/>
      <c r="M107" s="543"/>
      <c r="N107" s="2963"/>
      <c r="O107" s="2963"/>
      <c r="P107" s="2954"/>
      <c r="Q107" s="2949"/>
      <c r="R107" s="2935"/>
      <c r="S107" s="2935"/>
      <c r="T107" s="2935"/>
      <c r="U107" s="2935"/>
      <c r="V107" s="2935"/>
      <c r="W107" s="2935"/>
      <c r="X107" s="2935"/>
      <c r="Y107" s="2935"/>
      <c r="Z107" s="2935"/>
      <c r="AA107" s="2935"/>
      <c r="AB107" s="2935"/>
      <c r="AC107" s="2935"/>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4"/>
      <c r="O108" s="2964"/>
      <c r="P108" s="2954"/>
      <c r="Q108" s="2949"/>
      <c r="R108" s="2935"/>
      <c r="S108" s="2935"/>
      <c r="T108" s="2935"/>
      <c r="U108" s="2935"/>
      <c r="V108" s="2935"/>
      <c r="W108" s="2935"/>
      <c r="X108" s="2935"/>
      <c r="Y108" s="2935"/>
      <c r="Z108" s="2935"/>
      <c r="AA108" s="2935"/>
      <c r="AB108" s="2935"/>
      <c r="AC108" s="293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3"/>
      <c r="O109" s="2963"/>
      <c r="P109" s="2954"/>
      <c r="Q109" s="2949"/>
      <c r="R109" s="2935"/>
      <c r="S109" s="2935"/>
      <c r="T109" s="2935"/>
      <c r="U109" s="2935"/>
      <c r="V109" s="2935"/>
      <c r="W109" s="2935"/>
      <c r="X109" s="2935"/>
      <c r="Y109" s="2935"/>
      <c r="Z109" s="2935"/>
      <c r="AA109" s="2935"/>
      <c r="AB109" s="2935"/>
      <c r="AC109" s="2935"/>
    </row>
    <row r="110" spans="1:29">
      <c r="A110" s="556"/>
      <c r="B110" s="503"/>
      <c r="C110" s="560">
        <v>0.5</v>
      </c>
      <c r="D110" s="560">
        <v>0.6</v>
      </c>
      <c r="E110" s="560">
        <v>0.7</v>
      </c>
      <c r="F110" s="560">
        <v>0.8</v>
      </c>
      <c r="G110" s="560">
        <v>0.9</v>
      </c>
      <c r="H110" s="560">
        <v>1.0001</v>
      </c>
      <c r="I110" s="578"/>
      <c r="J110" s="578"/>
      <c r="K110" s="579"/>
      <c r="L110" s="580"/>
      <c r="M110" s="581"/>
      <c r="N110" s="2963"/>
      <c r="O110" s="2963"/>
      <c r="P110" s="2954"/>
      <c r="Q110" s="2949"/>
      <c r="R110" s="2935"/>
      <c r="S110" s="2935"/>
      <c r="T110" s="2935"/>
      <c r="U110" s="2935"/>
      <c r="V110" s="2935"/>
      <c r="W110" s="2935"/>
      <c r="X110" s="2935"/>
      <c r="Y110" s="2935"/>
      <c r="Z110" s="2935"/>
      <c r="AA110" s="2935"/>
      <c r="AB110" s="2935"/>
      <c r="AC110" s="2935"/>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64"/>
      <c r="O111" s="2964"/>
      <c r="P111" s="2954"/>
      <c r="Q111" s="2949"/>
      <c r="R111" s="2935"/>
      <c r="S111" s="2935"/>
      <c r="T111" s="2935"/>
      <c r="U111" s="2935"/>
      <c r="V111" s="2935"/>
      <c r="W111" s="2935"/>
      <c r="X111" s="2935"/>
      <c r="Y111" s="2935"/>
      <c r="Z111" s="2935"/>
      <c r="AA111" s="2935"/>
      <c r="AB111" s="2935"/>
      <c r="AC111" s="2935"/>
    </row>
    <row r="112" spans="1:29" s="430" customFormat="1" ht="15" thickTop="1">
      <c r="A112" s="550"/>
      <c r="B112" s="495" t="s">
        <v>2438</v>
      </c>
      <c r="C112" s="3069" t="s">
        <v>3133</v>
      </c>
      <c r="D112" s="3069" t="s">
        <v>3134</v>
      </c>
      <c r="E112" s="3069" t="s">
        <v>3135</v>
      </c>
      <c r="F112" s="511"/>
      <c r="G112" s="511"/>
      <c r="H112" s="540"/>
      <c r="I112" s="540"/>
      <c r="J112" s="540"/>
      <c r="K112" s="541"/>
      <c r="L112" s="542"/>
      <c r="M112" s="543"/>
      <c r="N112" s="2965"/>
      <c r="O112" s="2965"/>
      <c r="P112" s="2955"/>
      <c r="Q112" s="2956"/>
      <c r="R112" s="2957"/>
      <c r="S112" s="2957"/>
      <c r="T112" s="2957"/>
      <c r="U112" s="2957"/>
      <c r="V112" s="2957"/>
      <c r="W112" s="2957"/>
      <c r="X112" s="2957"/>
      <c r="Y112" s="2957"/>
      <c r="Z112" s="2957"/>
      <c r="AA112" s="2957"/>
      <c r="AB112" s="2957"/>
      <c r="AC112" s="2957"/>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65"/>
      <c r="O113" s="2965"/>
      <c r="P113" s="2955"/>
      <c r="Q113" s="2956"/>
      <c r="R113" s="2957"/>
      <c r="S113" s="2957"/>
      <c r="T113" s="2957"/>
      <c r="U113" s="2957"/>
      <c r="V113" s="2957"/>
      <c r="W113" s="2957"/>
      <c r="X113" s="2957"/>
      <c r="Y113" s="2957"/>
      <c r="Z113" s="2957"/>
      <c r="AA113" s="2957"/>
      <c r="AB113" s="2957"/>
      <c r="AC113" s="2957"/>
    </row>
    <row r="114" spans="1:29" ht="15" thickTop="1">
      <c r="A114" s="556"/>
      <c r="B114" s="495" t="s">
        <v>2502</v>
      </c>
      <c r="C114" s="3069" t="s">
        <v>3174</v>
      </c>
      <c r="D114" s="3069" t="s">
        <v>3175</v>
      </c>
      <c r="E114" s="540"/>
      <c r="F114" s="540"/>
      <c r="G114" s="540"/>
      <c r="H114" s="540"/>
      <c r="I114" s="540"/>
      <c r="J114" s="540"/>
      <c r="K114" s="541"/>
      <c r="L114" s="542"/>
      <c r="M114" s="543"/>
      <c r="N114" s="2963"/>
      <c r="O114" s="2963"/>
      <c r="P114" s="2954"/>
      <c r="Q114" s="2949"/>
      <c r="R114" s="2935"/>
      <c r="S114" s="2935"/>
      <c r="T114" s="2935"/>
      <c r="U114" s="2935"/>
      <c r="V114" s="2935"/>
      <c r="W114" s="2935"/>
      <c r="X114" s="2935"/>
      <c r="Y114" s="2935"/>
      <c r="Z114" s="2935"/>
      <c r="AA114" s="2935"/>
      <c r="AB114" s="2935"/>
      <c r="AC114" s="2935"/>
    </row>
    <row r="115" spans="1:29" ht="15.75" thickBot="1">
      <c r="A115" s="491"/>
      <c r="B115" s="500"/>
      <c r="C115" s="501">
        <v>100</v>
      </c>
      <c r="D115" s="501">
        <f t="shared" ref="D115:M115" si="29">C115-$K38</f>
        <v>97</v>
      </c>
      <c r="E115" s="501">
        <f t="shared" si="29"/>
        <v>94</v>
      </c>
      <c r="F115" s="501">
        <f t="shared" si="29"/>
        <v>91</v>
      </c>
      <c r="G115" s="501">
        <f t="shared" si="29"/>
        <v>88</v>
      </c>
      <c r="H115" s="501">
        <f t="shared" si="29"/>
        <v>85</v>
      </c>
      <c r="I115" s="501">
        <f t="shared" si="29"/>
        <v>82</v>
      </c>
      <c r="J115" s="501">
        <f t="shared" si="29"/>
        <v>79</v>
      </c>
      <c r="K115" s="501">
        <f t="shared" si="29"/>
        <v>76</v>
      </c>
      <c r="L115" s="501">
        <f t="shared" si="29"/>
        <v>73</v>
      </c>
      <c r="M115" s="502">
        <f t="shared" si="29"/>
        <v>70</v>
      </c>
      <c r="N115" s="2964"/>
      <c r="O115" s="2964"/>
      <c r="P115" s="2954"/>
      <c r="Q115" s="2949"/>
      <c r="R115" s="2935"/>
      <c r="S115" s="2935"/>
      <c r="T115" s="2935"/>
      <c r="U115" s="2935"/>
      <c r="V115" s="2935"/>
      <c r="W115" s="2935"/>
      <c r="X115" s="2935"/>
      <c r="Y115" s="2935"/>
      <c r="Z115" s="2935"/>
      <c r="AA115" s="2935"/>
      <c r="AB115" s="2935"/>
      <c r="AC115" s="2935"/>
    </row>
    <row r="116" spans="1:29" ht="15" thickTop="1">
      <c r="A116" s="556"/>
      <c r="B116" s="495" t="s">
        <v>2503</v>
      </c>
      <c r="C116" s="3069" t="s">
        <v>3138</v>
      </c>
      <c r="D116" s="3069" t="s">
        <v>3139</v>
      </c>
      <c r="E116" s="511"/>
      <c r="F116" s="511"/>
      <c r="G116" s="511"/>
      <c r="H116" s="540"/>
      <c r="I116" s="540"/>
      <c r="J116" s="540"/>
      <c r="K116" s="541"/>
      <c r="L116" s="542"/>
      <c r="M116" s="543"/>
      <c r="N116" s="2963"/>
      <c r="O116" s="2963"/>
      <c r="P116" s="2954"/>
      <c r="Q116" s="2949"/>
      <c r="R116" s="2935"/>
      <c r="S116" s="2935"/>
      <c r="T116" s="2935"/>
      <c r="U116" s="2935"/>
      <c r="V116" s="2935"/>
      <c r="W116" s="2935"/>
      <c r="X116" s="2935"/>
      <c r="Y116" s="2935"/>
      <c r="Z116" s="2935"/>
      <c r="AA116" s="2935"/>
      <c r="AB116" s="2935"/>
      <c r="AC116" s="2935"/>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4"/>
      <c r="O117" s="2964"/>
      <c r="P117" s="2954"/>
      <c r="Q117" s="2949"/>
      <c r="R117" s="2935"/>
      <c r="S117" s="2935"/>
      <c r="T117" s="2935"/>
      <c r="U117" s="2935"/>
      <c r="V117" s="2935"/>
      <c r="W117" s="2935"/>
      <c r="X117" s="2935"/>
      <c r="Y117" s="2935"/>
      <c r="Z117" s="2935"/>
      <c r="AA117" s="2935"/>
      <c r="AB117" s="2935"/>
      <c r="AC117" s="2935"/>
    </row>
    <row r="118" spans="1:29" ht="15" thickTop="1">
      <c r="A118" s="556"/>
      <c r="B118" s="495" t="s">
        <v>2504</v>
      </c>
      <c r="C118" s="582"/>
      <c r="D118" s="582"/>
      <c r="E118" s="582"/>
      <c r="F118" s="582"/>
      <c r="G118" s="582"/>
      <c r="H118" s="512"/>
      <c r="I118" s="512"/>
      <c r="J118" s="512"/>
      <c r="K118" s="512"/>
      <c r="L118" s="513"/>
      <c r="M118" s="514"/>
      <c r="N118" s="2963"/>
      <c r="O118" s="2963"/>
      <c r="P118" s="2954"/>
      <c r="Q118" s="2949"/>
      <c r="R118" s="2935"/>
      <c r="S118" s="2935"/>
      <c r="T118" s="2935"/>
      <c r="U118" s="2935"/>
      <c r="V118" s="2935"/>
      <c r="W118" s="2935"/>
      <c r="X118" s="2935"/>
      <c r="Y118" s="2935"/>
      <c r="Z118" s="2935"/>
      <c r="AA118" s="2935"/>
      <c r="AB118" s="2935"/>
      <c r="AC118" s="2935"/>
    </row>
    <row r="119" spans="1:29" ht="15.75" thickBot="1">
      <c r="A119" s="491"/>
      <c r="B119" s="500"/>
      <c r="C119" s="517"/>
      <c r="D119" s="493"/>
      <c r="E119" s="493"/>
      <c r="F119" s="493"/>
      <c r="G119" s="493"/>
      <c r="H119" s="493"/>
      <c r="I119" s="493"/>
      <c r="J119" s="493"/>
      <c r="K119" s="493"/>
      <c r="L119" s="493"/>
      <c r="M119" s="494"/>
      <c r="N119" s="2964"/>
      <c r="O119" s="2964"/>
      <c r="P119" s="2954"/>
      <c r="Q119" s="2949"/>
      <c r="R119" s="2935"/>
      <c r="S119" s="2935"/>
      <c r="T119" s="2935"/>
      <c r="U119" s="2935"/>
      <c r="V119" s="2935"/>
      <c r="W119" s="2935"/>
      <c r="X119" s="2935"/>
      <c r="Y119" s="2935"/>
      <c r="Z119" s="2935"/>
      <c r="AA119" s="2935"/>
      <c r="AB119" s="2935"/>
      <c r="AC119" s="2935"/>
    </row>
    <row r="120" spans="1:29" s="430" customFormat="1" ht="15" thickTop="1">
      <c r="A120" s="550"/>
      <c r="B120" s="495" t="s">
        <v>2505</v>
      </c>
      <c r="C120" s="540"/>
      <c r="D120" s="540"/>
      <c r="E120" s="540"/>
      <c r="F120" s="540"/>
      <c r="G120" s="512"/>
      <c r="H120" s="512"/>
      <c r="I120" s="512"/>
      <c r="J120" s="512"/>
      <c r="K120" s="512"/>
      <c r="L120" s="513"/>
      <c r="M120" s="514"/>
      <c r="N120" s="2965"/>
      <c r="O120" s="2965"/>
      <c r="P120" s="2955"/>
      <c r="Q120" s="2956"/>
      <c r="R120" s="2957"/>
      <c r="S120" s="2957"/>
      <c r="T120" s="2957"/>
      <c r="U120" s="2957"/>
      <c r="V120" s="2957"/>
      <c r="W120" s="2957"/>
      <c r="X120" s="2957"/>
      <c r="Y120" s="2957"/>
      <c r="Z120" s="2957"/>
      <c r="AA120" s="2957"/>
      <c r="AB120" s="2957"/>
      <c r="AC120" s="2957"/>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5"/>
      <c r="O121" s="2965"/>
      <c r="P121" s="2955"/>
      <c r="Q121" s="2956"/>
      <c r="R121" s="2957"/>
      <c r="S121" s="2957"/>
      <c r="T121" s="2957"/>
      <c r="U121" s="2957"/>
      <c r="V121" s="2957"/>
      <c r="W121" s="2957"/>
      <c r="X121" s="2957"/>
      <c r="Y121" s="2957"/>
      <c r="Z121" s="2957"/>
      <c r="AA121" s="2957"/>
      <c r="AB121" s="2957"/>
      <c r="AC121" s="2957"/>
    </row>
    <row r="122" spans="1:29" ht="15" thickTop="1">
      <c r="A122" s="556"/>
      <c r="B122" s="495" t="s">
        <v>2440</v>
      </c>
      <c r="C122" s="3069" t="s">
        <v>3131</v>
      </c>
      <c r="D122" s="3069" t="s">
        <v>3141</v>
      </c>
      <c r="E122" s="3069" t="s">
        <v>3142</v>
      </c>
      <c r="F122" s="3075" t="s">
        <v>3074</v>
      </c>
      <c r="G122" s="540"/>
      <c r="H122" s="540"/>
      <c r="I122" s="540"/>
      <c r="J122" s="540"/>
      <c r="K122" s="541"/>
      <c r="L122" s="542"/>
      <c r="M122" s="543"/>
      <c r="N122" s="2963"/>
      <c r="O122" s="2963"/>
      <c r="P122" s="2954"/>
      <c r="Q122" s="2949"/>
      <c r="R122" s="2935"/>
      <c r="S122" s="2935"/>
      <c r="T122" s="2935"/>
      <c r="U122" s="2935"/>
      <c r="V122" s="2935"/>
      <c r="W122" s="2935"/>
      <c r="X122" s="2935"/>
      <c r="Y122" s="2935"/>
      <c r="Z122" s="2935"/>
      <c r="AA122" s="2935"/>
      <c r="AB122" s="2935"/>
      <c r="AC122" s="2935"/>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64"/>
      <c r="O123" s="2964"/>
      <c r="P123" s="2954"/>
      <c r="Q123" s="2949"/>
      <c r="R123" s="2935"/>
      <c r="S123" s="2935"/>
      <c r="T123" s="2935"/>
      <c r="U123" s="2935"/>
      <c r="V123" s="2935"/>
      <c r="W123" s="2935"/>
      <c r="X123" s="2935"/>
      <c r="Y123" s="2935"/>
      <c r="Z123" s="2935"/>
      <c r="AA123" s="2935"/>
      <c r="AB123" s="2935"/>
      <c r="AC123" s="293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3"/>
      <c r="O124" s="2963"/>
      <c r="P124" s="2955"/>
      <c r="Q124" s="2949"/>
      <c r="R124" s="2935"/>
      <c r="S124" s="2935"/>
      <c r="T124" s="2935"/>
      <c r="U124" s="2935"/>
      <c r="V124" s="2935"/>
      <c r="W124" s="2935"/>
      <c r="X124" s="2935"/>
      <c r="Y124" s="2935"/>
      <c r="Z124" s="2935"/>
      <c r="AA124" s="2935"/>
      <c r="AB124" s="2935"/>
      <c r="AC124" s="2935"/>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4"/>
      <c r="O125" s="2964"/>
      <c r="P125" s="2954"/>
      <c r="Q125" s="2949"/>
      <c r="R125" s="2935"/>
      <c r="S125" s="2935"/>
      <c r="T125" s="2935"/>
      <c r="U125" s="2935"/>
      <c r="V125" s="2935"/>
      <c r="W125" s="2935"/>
      <c r="X125" s="2935"/>
      <c r="Y125" s="2935"/>
      <c r="Z125" s="2935"/>
      <c r="AA125" s="2935"/>
      <c r="AB125" s="2935"/>
      <c r="AC125" s="2935"/>
    </row>
    <row r="126" spans="1:29" s="430" customFormat="1" ht="15" thickTop="1">
      <c r="A126" s="550"/>
      <c r="B126" s="495">
        <f>B44</f>
        <v>111</v>
      </c>
      <c r="C126" s="511"/>
      <c r="D126" s="511"/>
      <c r="E126" s="511"/>
      <c r="F126" s="511"/>
      <c r="G126" s="511"/>
      <c r="H126" s="512"/>
      <c r="I126" s="512"/>
      <c r="J126" s="512"/>
      <c r="K126" s="512"/>
      <c r="L126" s="513"/>
      <c r="M126" s="514"/>
      <c r="N126" s="2965"/>
      <c r="O126" s="2965"/>
      <c r="P126" s="2955"/>
      <c r="Q126" s="2956"/>
      <c r="R126" s="2957"/>
      <c r="S126" s="2957"/>
      <c r="T126" s="2957"/>
      <c r="U126" s="2957"/>
      <c r="V126" s="2957"/>
      <c r="W126" s="2957"/>
      <c r="X126" s="2957"/>
      <c r="Y126" s="2957"/>
      <c r="Z126" s="2957"/>
      <c r="AA126" s="2957"/>
      <c r="AB126" s="2957"/>
      <c r="AC126" s="2957"/>
    </row>
    <row r="127" spans="1:29" s="430" customFormat="1" ht="15.75" thickBot="1">
      <c r="A127" s="510"/>
      <c r="B127" s="500"/>
      <c r="C127" s="517"/>
      <c r="D127" s="493"/>
      <c r="E127" s="493"/>
      <c r="F127" s="493"/>
      <c r="G127" s="517"/>
      <c r="H127" s="519"/>
      <c r="I127" s="519"/>
      <c r="J127" s="519"/>
      <c r="K127" s="519"/>
      <c r="L127" s="519"/>
      <c r="M127" s="520"/>
      <c r="N127" s="2965"/>
      <c r="O127" s="2965"/>
      <c r="P127" s="2955"/>
      <c r="Q127" s="2956"/>
      <c r="R127" s="2957"/>
      <c r="S127" s="2957"/>
      <c r="T127" s="2957"/>
      <c r="U127" s="2957"/>
      <c r="V127" s="2957"/>
      <c r="W127" s="2957"/>
      <c r="X127" s="2957"/>
      <c r="Y127" s="2957"/>
      <c r="Z127" s="2957"/>
      <c r="AA127" s="2957"/>
      <c r="AB127" s="2957"/>
      <c r="AC127" s="2957"/>
    </row>
    <row r="128" spans="1:29" ht="15" thickTop="1">
      <c r="A128" s="556"/>
      <c r="B128" s="495">
        <f>B45</f>
        <v>111</v>
      </c>
      <c r="C128" s="511"/>
      <c r="D128" s="511"/>
      <c r="E128" s="511"/>
      <c r="F128" s="511"/>
      <c r="G128" s="540"/>
      <c r="H128" s="540"/>
      <c r="I128" s="540"/>
      <c r="J128" s="540"/>
      <c r="K128" s="541"/>
      <c r="L128" s="542"/>
      <c r="M128" s="543"/>
      <c r="N128" s="2963"/>
      <c r="O128" s="2963"/>
      <c r="P128" s="2954"/>
      <c r="Q128" s="2949"/>
      <c r="R128" s="2935"/>
      <c r="S128" s="2935"/>
      <c r="T128" s="2935"/>
      <c r="U128" s="2935"/>
      <c r="V128" s="2935"/>
      <c r="W128" s="2935"/>
      <c r="X128" s="2935"/>
      <c r="Y128" s="2935"/>
      <c r="Z128" s="2935"/>
      <c r="AA128" s="2935"/>
      <c r="AB128" s="2935"/>
      <c r="AC128" s="2935"/>
    </row>
    <row r="129" spans="1:29" ht="15.75" thickBot="1">
      <c r="A129" s="491"/>
      <c r="B129" s="500"/>
      <c r="C129" s="517"/>
      <c r="D129" s="493"/>
      <c r="E129" s="493"/>
      <c r="F129" s="493"/>
      <c r="G129" s="493"/>
      <c r="H129" s="493"/>
      <c r="I129" s="493"/>
      <c r="J129" s="493"/>
      <c r="K129" s="493"/>
      <c r="L129" s="493"/>
      <c r="M129" s="494"/>
      <c r="N129" s="2964"/>
      <c r="O129" s="2964"/>
      <c r="P129" s="2954"/>
      <c r="Q129" s="2949"/>
      <c r="R129" s="2935"/>
      <c r="S129" s="2935"/>
      <c r="T129" s="2935"/>
      <c r="U129" s="2935"/>
      <c r="V129" s="2935"/>
      <c r="W129" s="2935"/>
      <c r="X129" s="2935"/>
      <c r="Y129" s="2935"/>
      <c r="Z129" s="2935"/>
      <c r="AA129" s="2935"/>
      <c r="AB129" s="2935"/>
      <c r="AC129" s="2935"/>
    </row>
    <row r="130" spans="1:29" ht="15" thickTop="1">
      <c r="A130" s="556"/>
      <c r="B130" s="503">
        <f>B46</f>
        <v>111</v>
      </c>
      <c r="C130" s="511"/>
      <c r="D130" s="511"/>
      <c r="E130" s="511"/>
      <c r="F130" s="511"/>
      <c r="G130" s="544"/>
      <c r="H130" s="544"/>
      <c r="I130" s="544"/>
      <c r="J130" s="544"/>
      <c r="K130" s="480"/>
      <c r="L130" s="481"/>
      <c r="M130" s="547"/>
      <c r="N130" s="2963"/>
      <c r="O130" s="2963"/>
      <c r="P130" s="2954"/>
      <c r="Q130" s="2949"/>
      <c r="R130" s="2935"/>
      <c r="S130" s="2935"/>
      <c r="T130" s="2935"/>
      <c r="U130" s="2935"/>
      <c r="V130" s="2935"/>
      <c r="W130" s="2935"/>
      <c r="X130" s="2935"/>
      <c r="Y130" s="2935"/>
      <c r="Z130" s="2935"/>
      <c r="AA130" s="2935"/>
      <c r="AB130" s="2935"/>
      <c r="AC130" s="2935"/>
    </row>
    <row r="131" spans="1:29" ht="15.75" thickBot="1">
      <c r="A131" s="2104"/>
      <c r="B131" s="526"/>
      <c r="C131" s="527"/>
      <c r="D131" s="527"/>
      <c r="E131" s="527"/>
      <c r="F131" s="527"/>
      <c r="G131" s="548"/>
      <c r="H131" s="548"/>
      <c r="I131" s="548"/>
      <c r="J131" s="548"/>
      <c r="K131" s="548"/>
      <c r="L131" s="548"/>
      <c r="M131" s="549"/>
      <c r="N131" s="2964"/>
      <c r="O131" s="2964"/>
      <c r="P131" s="2954"/>
      <c r="Q131" s="2949"/>
      <c r="R131" s="2935"/>
      <c r="S131" s="2935"/>
      <c r="T131" s="2935"/>
      <c r="U131" s="2935"/>
      <c r="V131" s="2935"/>
      <c r="W131" s="2935"/>
      <c r="X131" s="2935"/>
      <c r="Y131" s="2935"/>
      <c r="Z131" s="2935"/>
      <c r="AA131" s="2935"/>
      <c r="AB131" s="2935"/>
      <c r="AC131" s="293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K54" sqref="K5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0"/>
      <c r="C1" s="1556" t="s">
        <v>3179</v>
      </c>
      <c r="D1" s="1539" t="s">
        <v>70</v>
      </c>
      <c r="E1" s="1540" t="s">
        <v>1352</v>
      </c>
      <c r="F1" s="1188">
        <f ca="1">J53</f>
        <v>24.88</v>
      </c>
      <c r="G1" s="1555">
        <f>MATCH(C1,'数据-取费表'!A6:A16,0)+5</f>
        <v>6</v>
      </c>
      <c r="H1" s="2902"/>
      <c r="I1" s="2903"/>
      <c r="J1" s="2903"/>
      <c r="K1" s="2904"/>
      <c r="L1" s="2903"/>
      <c r="M1" s="290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1555</v>
      </c>
      <c r="B2" s="1563">
        <f ca="1">ROUND(D2/10000,0)</f>
        <v>4367</v>
      </c>
      <c r="C2" s="1564" t="s">
        <v>1556</v>
      </c>
      <c r="D2" s="1648">
        <f ca="1">C40+J29+L46</f>
        <v>43668028</v>
      </c>
      <c r="E2" s="1565" t="s">
        <v>1557</v>
      </c>
      <c r="F2" s="1566"/>
      <c r="G2" s="2916"/>
      <c r="H2" s="2905"/>
      <c r="I2" s="2905"/>
      <c r="J2" s="2905"/>
      <c r="K2" s="2906"/>
      <c r="L2" s="2905"/>
      <c r="M2" s="2905"/>
    </row>
    <row r="3" spans="1:37" ht="18" customHeight="1" thickBot="1">
      <c r="A3" s="1567" t="s">
        <v>1558</v>
      </c>
      <c r="B3" s="1568">
        <f ca="1">IF(ISERROR(D2/F43),0,ROUND(D2/F43,0))</f>
        <v>22347</v>
      </c>
      <c r="C3" s="1564" t="s">
        <v>1559</v>
      </c>
      <c r="D3" s="1564"/>
      <c r="E3" s="1565"/>
      <c r="F3" s="1566"/>
      <c r="G3" s="2916"/>
      <c r="H3" s="690"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7">
        <f ca="1">C6+C10+C12</f>
        <v>3213556</v>
      </c>
      <c r="D5" s="1541" t="s">
        <v>1566</v>
      </c>
      <c r="E5" s="1198"/>
      <c r="F5" s="1199"/>
      <c r="G5" s="1561"/>
      <c r="H5" s="305">
        <v>1</v>
      </c>
      <c r="I5" s="306" t="s">
        <v>1565</v>
      </c>
      <c r="J5" s="1197">
        <f ca="1">J6+J10+J12</f>
        <v>0</v>
      </c>
      <c r="K5" s="1541" t="s">
        <v>1566</v>
      </c>
      <c r="L5" s="1198"/>
      <c r="M5" s="1199"/>
    </row>
    <row r="6" spans="1:37" ht="18" customHeight="1">
      <c r="A6" s="1196" t="s">
        <v>1003</v>
      </c>
      <c r="B6" s="3289" t="s">
        <v>1368</v>
      </c>
      <c r="C6" s="1201">
        <f ca="1">ROUND(F6*F8*F7*(1-F9),0)</f>
        <v>3209544</v>
      </c>
      <c r="D6" s="160" t="s">
        <v>2843</v>
      </c>
      <c r="E6" s="308" t="s">
        <v>1370</v>
      </c>
      <c r="F6" s="309">
        <f ca="1">INDIRECT("'数据-取费表'!u"&amp;$G$1)</f>
        <v>5</v>
      </c>
      <c r="G6" s="1561"/>
      <c r="H6" s="1196" t="s">
        <v>1003</v>
      </c>
      <c r="I6" s="3289" t="s">
        <v>1368</v>
      </c>
      <c r="J6" s="307">
        <f ca="1">ROUND(M6*M8*M7*(1-M9),0)</f>
        <v>0</v>
      </c>
      <c r="K6" s="1553" t="s">
        <v>2844</v>
      </c>
      <c r="L6" s="308" t="s">
        <v>1370</v>
      </c>
      <c r="M6" s="309">
        <f ca="1">INDIRECT("'数据-取费表'!z"&amp;$G$1)</f>
        <v>0</v>
      </c>
    </row>
    <row r="7" spans="1:37" ht="18" customHeight="1">
      <c r="A7" s="1200"/>
      <c r="B7" s="3290"/>
      <c r="C7" s="1202"/>
      <c r="D7" s="313"/>
      <c r="E7" s="1203" t="s">
        <v>1371</v>
      </c>
      <c r="F7" s="309">
        <f ca="1">IF(INDIRECT("'数据-取费表'!ah"&amp;$G$1)="",INDIRECT("'数据-取费表'!k"&amp;$G$1),INDIRECT("'数据-取费表'!ah"&amp;$G$1))</f>
        <v>1954.06</v>
      </c>
      <c r="G7" s="1561"/>
      <c r="H7" s="310"/>
      <c r="I7" s="3290"/>
      <c r="J7" s="312"/>
      <c r="K7" s="313"/>
      <c r="L7" s="308" t="s">
        <v>1371</v>
      </c>
      <c r="M7" s="309">
        <f ca="1">F7</f>
        <v>1954.06</v>
      </c>
    </row>
    <row r="8" spans="1:37" ht="18" customHeight="1">
      <c r="A8" s="310"/>
      <c r="B8" s="3290"/>
      <c r="C8" s="312"/>
      <c r="D8" s="313"/>
      <c r="E8" s="308" t="s">
        <v>1372</v>
      </c>
      <c r="F8" s="309">
        <f ca="1">INDIRECT("'数据-取费表'!ai"&amp;$G$1)</f>
        <v>365</v>
      </c>
      <c r="G8" s="1561"/>
      <c r="H8" s="310"/>
      <c r="I8" s="3290"/>
      <c r="J8" s="312"/>
      <c r="K8" s="313"/>
      <c r="L8" s="308" t="s">
        <v>1372</v>
      </c>
      <c r="M8" s="309">
        <f ca="1">INDIRECT("'数据-取费表'!ai"&amp;$G$1)</f>
        <v>365</v>
      </c>
    </row>
    <row r="9" spans="1:37" ht="18" customHeight="1">
      <c r="A9" s="310"/>
      <c r="B9" s="3291"/>
      <c r="C9" s="312"/>
      <c r="D9" s="313"/>
      <c r="E9" s="308" t="s">
        <v>1373</v>
      </c>
      <c r="F9" s="318">
        <f ca="1">INDIRECT("'数据-取费表'!w"&amp;$G$1)</f>
        <v>0.1</v>
      </c>
      <c r="G9" s="1561"/>
      <c r="H9" s="310"/>
      <c r="I9" s="3291"/>
      <c r="J9" s="312"/>
      <c r="K9" s="313"/>
      <c r="L9" s="319" t="s">
        <v>1373</v>
      </c>
      <c r="M9" s="320">
        <f ca="1">INDIRECT("'数据-取费表'!ab"&amp;$G$1)</f>
        <v>0</v>
      </c>
    </row>
    <row r="10" spans="1:37" ht="18" customHeight="1">
      <c r="A10" s="1196" t="s">
        <v>1007</v>
      </c>
      <c r="B10" s="1542" t="s">
        <v>1374</v>
      </c>
      <c r="C10" s="322">
        <f ca="1">ROUND(IF(F10="押一",C6/12*F11,IF(F10="押二",C6/12*2*F11,IF(F10="押三",C6/12*3*F11,C11*F11))),0)</f>
        <v>4012</v>
      </c>
      <c r="D10" s="1543" t="s">
        <v>2853</v>
      </c>
      <c r="E10" s="319" t="s">
        <v>1375</v>
      </c>
      <c r="F10" s="1271" t="s">
        <v>3093</v>
      </c>
      <c r="G10" s="1561"/>
      <c r="H10" s="1196" t="s">
        <v>1007</v>
      </c>
      <c r="I10" s="1542" t="s">
        <v>1374</v>
      </c>
      <c r="J10" s="307">
        <f ca="1">ROUND(IF(M10="押一",J6/12*M11,IF(M10="押二",J6/12*2*M11,IF(M10="押三",J6/12*3*M11,J11*M11))),0)</f>
        <v>0</v>
      </c>
      <c r="K10" s="1554" t="s">
        <v>2855</v>
      </c>
      <c r="L10" s="319" t="s">
        <v>1375</v>
      </c>
      <c r="M10" s="1271"/>
    </row>
    <row r="11" spans="1:37" ht="18" customHeight="1">
      <c r="A11" s="314"/>
      <c r="B11" s="1544" t="s">
        <v>1567</v>
      </c>
      <c r="C11" s="1087"/>
      <c r="D11" s="313"/>
      <c r="E11" s="319" t="s">
        <v>1377</v>
      </c>
      <c r="F11" s="320">
        <f ca="1">'数据-取费表'!B39</f>
        <v>1.4999999999999999E-2</v>
      </c>
      <c r="G11" s="1561"/>
      <c r="H11" s="1204"/>
      <c r="I11" s="1544" t="s">
        <v>1568</v>
      </c>
      <c r="J11" s="1087"/>
      <c r="K11" s="691"/>
      <c r="L11" s="319" t="s">
        <v>1377</v>
      </c>
      <c r="M11" s="969">
        <f ca="1">'数据-取费表'!B39</f>
        <v>1.4999999999999999E-2</v>
      </c>
    </row>
    <row r="12" spans="1:37" ht="18" customHeight="1" thickBot="1">
      <c r="A12" s="1238" t="s">
        <v>1043</v>
      </c>
      <c r="B12" s="1546" t="s">
        <v>1378</v>
      </c>
      <c r="C12" s="1239"/>
      <c r="D12" s="1240"/>
      <c r="E12" s="1245"/>
      <c r="F12" s="1241"/>
      <c r="G12" s="1561"/>
      <c r="H12" s="1238" t="s">
        <v>1043</v>
      </c>
      <c r="I12" s="1546" t="s">
        <v>1378</v>
      </c>
      <c r="J12" s="1239"/>
      <c r="K12" s="1253"/>
      <c r="L12" s="1245"/>
      <c r="M12" s="1254"/>
    </row>
    <row r="13" spans="1:37" ht="18" customHeight="1" thickTop="1">
      <c r="A13" s="1234">
        <v>2</v>
      </c>
      <c r="B13" s="1235" t="s">
        <v>1379</v>
      </c>
      <c r="C13" s="316">
        <f ca="1">ROUND(C29*F13,0)</f>
        <v>8095547</v>
      </c>
      <c r="D13" s="1236" t="s">
        <v>1380</v>
      </c>
      <c r="E13" s="1236" t="s">
        <v>1381</v>
      </c>
      <c r="F13" s="1237">
        <f ca="1">INDIRECT("'数据-取费表'!y"&amp;$G$1)</f>
        <v>0.71699999999999997</v>
      </c>
      <c r="G13" s="1561"/>
      <c r="H13" s="1234">
        <v>2</v>
      </c>
      <c r="I13" s="1235" t="s">
        <v>1379</v>
      </c>
      <c r="J13" s="1195">
        <f ca="1">ROUND(J14*J15,0)</f>
        <v>0</v>
      </c>
      <c r="K13" s="1242" t="s">
        <v>1380</v>
      </c>
      <c r="L13" s="1569"/>
      <c r="M13" s="1570"/>
    </row>
    <row r="14" spans="1:37" ht="18" customHeight="1">
      <c r="A14" s="1110" t="s">
        <v>1002</v>
      </c>
      <c r="B14" s="308" t="s">
        <v>1382</v>
      </c>
      <c r="C14" s="324">
        <f ca="1">ROUND(INDIRECT("'数据-取费表'!l"&amp;$G$1)*F43+'数据-取费表'!L14*INDIRECT("'数据-取费表'!S"&amp;$G$1),0)</f>
        <v>7816240</v>
      </c>
      <c r="D14" s="1522" t="s">
        <v>1383</v>
      </c>
      <c r="E14" s="1519"/>
      <c r="F14" s="325"/>
      <c r="G14" s="1561"/>
      <c r="H14" s="1110" t="s">
        <v>1003</v>
      </c>
      <c r="I14" s="308" t="s">
        <v>1384</v>
      </c>
      <c r="J14" s="24">
        <f ca="1">C29</f>
        <v>11290860</v>
      </c>
      <c r="K14" s="15"/>
      <c r="L14" s="914"/>
      <c r="M14" s="915"/>
    </row>
    <row r="15" spans="1:37" s="1574" customFormat="1" ht="18" customHeight="1" thickBot="1">
      <c r="A15" s="1110" t="s">
        <v>1004</v>
      </c>
      <c r="B15" s="308" t="s">
        <v>1385</v>
      </c>
      <c r="C15" s="24">
        <f ca="1">ROUND(C14*F15,0)</f>
        <v>234487</v>
      </c>
      <c r="D15" s="326" t="s">
        <v>1386</v>
      </c>
      <c r="E15" s="326" t="s">
        <v>1387</v>
      </c>
      <c r="F15" s="327">
        <f>'数据-取费表'!B33</f>
        <v>0.03</v>
      </c>
      <c r="G15" s="1573"/>
      <c r="H15" s="1244" t="s">
        <v>1007</v>
      </c>
      <c r="I15" s="1245" t="s">
        <v>1381</v>
      </c>
      <c r="J15" s="1254">
        <f ca="1">INDIRECT("'数据-取费表'!ad"&amp;$G$1)</f>
        <v>0</v>
      </c>
      <c r="K15" s="1255"/>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1"/>
      <c r="H16" s="1234" t="s">
        <v>998</v>
      </c>
      <c r="I16" s="1235" t="s">
        <v>1389</v>
      </c>
      <c r="J16" s="316">
        <f ca="1">ROUND(J17+J22+J23+J24,0)</f>
        <v>264539</v>
      </c>
      <c r="K16" s="1242" t="s">
        <v>1390</v>
      </c>
      <c r="L16" s="1243"/>
      <c r="M16" s="1199"/>
    </row>
    <row r="17" spans="1:37" s="1574" customFormat="1" ht="18" customHeight="1">
      <c r="A17" s="1110" t="s">
        <v>1355</v>
      </c>
      <c r="B17" s="308" t="s">
        <v>1391</v>
      </c>
      <c r="C17" s="24">
        <f ca="1">ROUND(F17*(F43+INDIRECT("'数据-取费表'!S"&amp;$G$1)),0)</f>
        <v>390812</v>
      </c>
      <c r="D17" s="308" t="s">
        <v>1392</v>
      </c>
      <c r="E17" s="308" t="s">
        <v>1393</v>
      </c>
      <c r="F17" s="26">
        <f>'数据-取费表'!B35</f>
        <v>200</v>
      </c>
      <c r="G17" s="1573"/>
      <c r="H17" s="1110" t="s">
        <v>1003</v>
      </c>
      <c r="I17" s="308" t="s">
        <v>1394</v>
      </c>
      <c r="J17" s="2524">
        <f ca="1">ROUND(IF(AND(项目基本情况!B11="自然人",项目基本情况!B10="北京市"),J6*M17/(1+'数据-取费表'!C42),J18+J19+J20),0)</f>
        <v>95176</v>
      </c>
      <c r="K17" s="1522" t="s">
        <v>1395</v>
      </c>
      <c r="L17" s="1521" t="s">
        <v>1396</v>
      </c>
      <c r="M17" s="2523"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10" t="s">
        <v>1356</v>
      </c>
      <c r="B18" s="308" t="s">
        <v>1397</v>
      </c>
      <c r="C18" s="24">
        <f ca="1">ROUND(C14*F18,0)</f>
        <v>117244</v>
      </c>
      <c r="D18" s="308" t="s">
        <v>1386</v>
      </c>
      <c r="E18" s="308" t="s">
        <v>1387</v>
      </c>
      <c r="F18" s="328">
        <f>'数据-取费表'!B36</f>
        <v>1.4999999999999999E-2</v>
      </c>
      <c r="G18" s="1573"/>
      <c r="H18" s="1110"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10" t="s">
        <v>1003</v>
      </c>
      <c r="B19" s="308" t="s">
        <v>1400</v>
      </c>
      <c r="C19" s="24">
        <f ca="1">SUM(C14:C18)</f>
        <v>8558783</v>
      </c>
      <c r="D19" s="136" t="s">
        <v>1401</v>
      </c>
      <c r="E19" s="1537"/>
      <c r="F19" s="26"/>
      <c r="G19" s="1561"/>
      <c r="H19" s="1110" t="s">
        <v>1004</v>
      </c>
      <c r="I19" s="308" t="s">
        <v>1402</v>
      </c>
      <c r="J19" s="24">
        <f ca="1">IF(K19="按租金收入计税",ROUND(J6*M19/(1+'数据-取费表'!C42),0),ROUND(C29*M19*0.7,0))</f>
        <v>94843</v>
      </c>
      <c r="K19" s="1547" t="s">
        <v>1403</v>
      </c>
      <c r="L19" s="308" t="s">
        <v>1387</v>
      </c>
      <c r="M19" s="328">
        <f>IF(K19="按租金收入计税",'数据-取费表'!B51,'数据-取费表'!B50)</f>
        <v>1.2E-2</v>
      </c>
    </row>
    <row r="20" spans="1:37" s="1574" customFormat="1" ht="18" customHeight="1">
      <c r="A20" s="1110" t="s">
        <v>1007</v>
      </c>
      <c r="B20" s="308" t="s">
        <v>1404</v>
      </c>
      <c r="C20" s="24">
        <f ca="1">ROUND(C19*F20,0)</f>
        <v>171176</v>
      </c>
      <c r="D20" s="329" t="s">
        <v>1405</v>
      </c>
      <c r="E20" s="308" t="s">
        <v>1387</v>
      </c>
      <c r="F20" s="328">
        <f>'数据-取费表'!B37</f>
        <v>0.02</v>
      </c>
      <c r="G20" s="1573"/>
      <c r="H20" s="1110" t="s">
        <v>1354</v>
      </c>
      <c r="I20" s="160" t="s">
        <v>1406</v>
      </c>
      <c r="J20" s="25">
        <f ca="1">ROUND(M20*M21,0)</f>
        <v>333</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10" t="s">
        <v>1043</v>
      </c>
      <c r="B21" s="308" t="s">
        <v>1409</v>
      </c>
      <c r="C21" s="24" t="s">
        <v>1</v>
      </c>
      <c r="D21" s="329" t="s">
        <v>1410</v>
      </c>
      <c r="E21" s="308" t="s">
        <v>1411</v>
      </c>
      <c r="F21" s="328">
        <f>'数据-取费表'!B38</f>
        <v>0.02</v>
      </c>
      <c r="G21" s="1573"/>
      <c r="H21" s="332"/>
      <c r="I21" s="317"/>
      <c r="J21" s="29"/>
      <c r="K21" s="333"/>
      <c r="L21" s="308" t="s">
        <v>1412</v>
      </c>
      <c r="M21" s="309">
        <f ca="1">INDIRECT("'数据-取费表'!r"&amp;$G$1)</f>
        <v>222.28</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7"/>
      <c r="F22" s="26"/>
      <c r="G22" s="1561"/>
      <c r="H22" s="1110" t="s">
        <v>1007</v>
      </c>
      <c r="I22" s="308" t="s">
        <v>1414</v>
      </c>
      <c r="J22" s="24">
        <f ca="1">ROUND(J14*M22,0)</f>
        <v>169363</v>
      </c>
      <c r="K22" s="1521" t="s">
        <v>1415</v>
      </c>
      <c r="L22" s="308" t="s">
        <v>1387</v>
      </c>
      <c r="M22" s="334">
        <f ca="1">INDIRECT("'数据-取费表'!Ak"&amp;$G$1)</f>
        <v>1.4999999999999999E-2</v>
      </c>
    </row>
    <row r="23" spans="1:37" s="1574" customFormat="1" ht="18" customHeight="1">
      <c r="A23" s="1110" t="s">
        <v>1002</v>
      </c>
      <c r="B23" s="308" t="s">
        <v>1416</v>
      </c>
      <c r="C23" s="24">
        <f ca="1">IF('数据-取费表'!B22&lt;=1,ROUND(C19*F24*F23/2,0)+ROUND(C20*F24*F23/2,0),ROUND(C19*(POWER((1+F24),F23/2)-1),0)+ROUND(C20*(POWER((1+F24),F23/2)-1),0))</f>
        <v>379753</v>
      </c>
      <c r="D23" s="335" t="str">
        <f>IF(F23&lt;=1,"(建造成本+管理费用)×利率×(建设周期÷2)","(建造成本+管理费用)×((1+利率)^(建设周期÷2)-1)")</f>
        <v>(建造成本+管理费用)×((1+利率)^(建设周期÷2)-1)</v>
      </c>
      <c r="E23" s="308" t="s">
        <v>1417</v>
      </c>
      <c r="F23" s="331">
        <f>'数据-取费表'!B20</f>
        <v>2</v>
      </c>
      <c r="G23" s="1573"/>
      <c r="H23" s="1110" t="s">
        <v>1043</v>
      </c>
      <c r="I23" s="308" t="s">
        <v>1418</v>
      </c>
      <c r="J23" s="24">
        <f ca="1">ROUND(J13*M23,0)</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4" t="s">
        <v>1358</v>
      </c>
      <c r="I24" s="1245" t="s">
        <v>1404</v>
      </c>
      <c r="J24" s="1246">
        <f ca="1">ROUND(J5*M24,0)</f>
        <v>0</v>
      </c>
      <c r="K24" s="1247" t="s">
        <v>1424</v>
      </c>
      <c r="L24" s="1245" t="s">
        <v>1420</v>
      </c>
      <c r="M24" s="1241">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10" t="s">
        <v>1425</v>
      </c>
      <c r="B25" s="308" t="s">
        <v>1426</v>
      </c>
      <c r="C25" s="24"/>
      <c r="D25" s="136" t="s">
        <v>1427</v>
      </c>
      <c r="E25" s="1537"/>
      <c r="F25" s="26"/>
      <c r="G25" s="1561"/>
      <c r="H25" s="1234" t="s">
        <v>999</v>
      </c>
      <c r="I25" s="1249" t="s">
        <v>1428</v>
      </c>
      <c r="J25" s="316">
        <f ca="1">J5-J16</f>
        <v>-264539</v>
      </c>
      <c r="K25" s="1250" t="s">
        <v>1429</v>
      </c>
      <c r="L25" s="1251"/>
      <c r="M25" s="1252"/>
    </row>
    <row r="26" spans="1:37" ht="18" customHeight="1">
      <c r="A26" s="1110" t="s">
        <v>1002</v>
      </c>
      <c r="B26" s="308" t="s">
        <v>1430</v>
      </c>
      <c r="C26" s="24">
        <f ca="1">ROUND((C19+C20)*F26,0)</f>
        <v>1309494</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3.0000000000000001E-3</v>
      </c>
      <c r="D27" s="329" t="s">
        <v>1437</v>
      </c>
      <c r="E27" s="326"/>
      <c r="F27" s="327"/>
      <c r="G27" s="1561"/>
      <c r="H27" s="310"/>
      <c r="I27" s="311"/>
      <c r="J27" s="312"/>
      <c r="K27" s="338" t="s">
        <v>1438</v>
      </c>
      <c r="L27" s="308" t="s">
        <v>1439</v>
      </c>
      <c r="M27" s="339">
        <f ca="1">INDIRECT("'数据-取费表'!ag"&amp;$G$1)</f>
        <v>0</v>
      </c>
    </row>
    <row r="28" spans="1:37" s="1574" customFormat="1" ht="18" customHeight="1">
      <c r="A28" s="1110"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4" t="s">
        <v>1006</v>
      </c>
      <c r="B29" s="1245" t="s">
        <v>1443</v>
      </c>
      <c r="C29" s="1246">
        <f ca="1">ROUND((C19+C20+C23+C26)/(1-F21-C24-C27-C28),0)</f>
        <v>11290860</v>
      </c>
      <c r="D29" s="1247"/>
      <c r="E29" s="1245"/>
      <c r="F29" s="1248"/>
      <c r="G29" s="1573"/>
      <c r="H29" s="340" t="s">
        <v>1001</v>
      </c>
      <c r="I29" s="341" t="s">
        <v>1444</v>
      </c>
      <c r="J29" s="342">
        <f ca="1">ROUND(J26/(1+F40)^F41,0)</f>
        <v>0</v>
      </c>
      <c r="K29" s="343" t="s">
        <v>1445</v>
      </c>
      <c r="L29" s="344"/>
      <c r="M29" s="345">
        <f ca="1">INDIRECT("'数据-取费表'!k"&amp;$G$1)</f>
        <v>1954.06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4" t="s">
        <v>998</v>
      </c>
      <c r="B30" s="1235" t="s">
        <v>1389</v>
      </c>
      <c r="C30" s="316">
        <f ca="1">ROUND(C31+C36+C37+C38,0)</f>
        <v>784091</v>
      </c>
      <c r="D30" s="1242" t="s">
        <v>1390</v>
      </c>
      <c r="E30" s="1243"/>
      <c r="F30" s="1199"/>
      <c r="G30" s="1561"/>
      <c r="H30" s="2907"/>
      <c r="I30" s="1575"/>
      <c r="J30" s="1576"/>
      <c r="K30" s="2684"/>
      <c r="L30" s="2908"/>
      <c r="M30" s="2909"/>
    </row>
    <row r="31" spans="1:37" ht="18" customHeight="1">
      <c r="A31" s="1110" t="s">
        <v>1003</v>
      </c>
      <c r="B31" s="308" t="s">
        <v>1394</v>
      </c>
      <c r="C31" s="2524">
        <f ca="1">ROUND(IF(AND(项目基本情况!B11="自然人",项目基本情况!B10="北京市"),C6*F31/(1+'数据-取费表'!C42),C32+C33+C34),0)</f>
        <v>538314</v>
      </c>
      <c r="D31" s="1522" t="s">
        <v>1395</v>
      </c>
      <c r="E31" s="1521" t="s">
        <v>1446</v>
      </c>
      <c r="F31" s="2523" t="str">
        <f>IF(项目基本情况!B11="企业","——",IF('数据-取费表'!B10="住宅",IF(F6*F7*F8/12/(1+'数据-取费表'!F30)&gt;100000,4%,2.5%),IF(F6*F7*F8/12/(1+'数据-取费表'!F30)&gt;100000,12%,7%)))</f>
        <v>——</v>
      </c>
      <c r="G31" s="1561"/>
      <c r="H31" s="3020" t="s">
        <v>3048</v>
      </c>
      <c r="I31" s="1575"/>
      <c r="J31" s="1576"/>
      <c r="K31" s="2684"/>
      <c r="L31" s="2908"/>
      <c r="M31" s="2909"/>
    </row>
    <row r="32" spans="1:37" ht="18" customHeight="1">
      <c r="A32" s="1110" t="s">
        <v>1002</v>
      </c>
      <c r="B32" s="308" t="s">
        <v>1398</v>
      </c>
      <c r="C32" s="24">
        <f ca="1">IF(项目基本情况!B11="自然人","——",ROUND(C6*F32/(1+'数据-取费表'!C42),0))</f>
        <v>171176</v>
      </c>
      <c r="D32" s="1521" t="s">
        <v>1399</v>
      </c>
      <c r="E32" s="308" t="s">
        <v>1387</v>
      </c>
      <c r="F32" s="337">
        <f>'数据-取费表'!B41</f>
        <v>5.6000000000000001E-2</v>
      </c>
      <c r="G32" s="1561"/>
      <c r="H32" s="2907"/>
      <c r="I32" s="1575"/>
      <c r="J32" s="1576"/>
      <c r="K32" s="2684"/>
      <c r="L32" s="2908"/>
      <c r="M32" s="2909"/>
    </row>
    <row r="33" spans="1:18" ht="18" customHeight="1">
      <c r="A33" s="1110" t="s">
        <v>1004</v>
      </c>
      <c r="B33" s="308" t="s">
        <v>1402</v>
      </c>
      <c r="C33" s="24">
        <f ca="1">IF(项目基本情况!B11="自然人","——",IF(D33="按租金收入计税",ROUND(C6*F33/(1+'数据-取费表'!C42),0),IF(D33="按房产原值计税",ROUND(C29*F33*0.7,0),INDIRECT("'数据-取费表'!Aj"&amp;$G$1))))</f>
        <v>366805</v>
      </c>
      <c r="D33" s="1547" t="s">
        <v>3094</v>
      </c>
      <c r="E33" s="308" t="s">
        <v>1387</v>
      </c>
      <c r="F33" s="328">
        <f>IF(D33="按票据","——",IF(D33="按租金收入计税",'数据-取费表'!B51,'数据-取费表'!B50))</f>
        <v>0.12</v>
      </c>
      <c r="G33" s="1561"/>
      <c r="H33" s="2910"/>
      <c r="I33" s="1575"/>
      <c r="J33" s="1576"/>
      <c r="K33" s="2911"/>
      <c r="L33" s="2910"/>
      <c r="M33" s="2910"/>
    </row>
    <row r="34" spans="1:18" ht="18" customHeight="1">
      <c r="A34" s="1196" t="s">
        <v>1354</v>
      </c>
      <c r="B34" s="160" t="s">
        <v>1406</v>
      </c>
      <c r="C34" s="25">
        <f ca="1">IF(项目基本情况!B11="自然人","——",ROUND(F34*F35,))</f>
        <v>333</v>
      </c>
      <c r="D34" s="330" t="s">
        <v>1407</v>
      </c>
      <c r="E34" s="308" t="s">
        <v>1408</v>
      </c>
      <c r="F34" s="331">
        <f>'数据-取费表'!B52</f>
        <v>1.5</v>
      </c>
      <c r="G34" s="1561"/>
      <c r="H34" s="2907"/>
      <c r="I34" s="1575"/>
      <c r="J34" s="1576"/>
      <c r="K34" s="2912"/>
      <c r="L34" s="2913"/>
      <c r="M34" s="2913"/>
    </row>
    <row r="35" spans="1:18" ht="18" customHeight="1">
      <c r="A35" s="1258"/>
      <c r="B35" s="1256"/>
      <c r="C35" s="29"/>
      <c r="D35" s="333"/>
      <c r="E35" s="308" t="s">
        <v>1412</v>
      </c>
      <c r="F35" s="309">
        <f ca="1">INDIRECT("'数据-取费表'!r"&amp;$G$1)</f>
        <v>222.28</v>
      </c>
      <c r="G35" s="1561"/>
      <c r="H35" s="2907"/>
      <c r="I35" s="1575"/>
      <c r="J35" s="1576"/>
      <c r="K35" s="2911"/>
      <c r="L35" s="2910"/>
      <c r="M35" s="2910"/>
    </row>
    <row r="36" spans="1:18" ht="18" customHeight="1">
      <c r="A36" s="1257" t="s">
        <v>1007</v>
      </c>
      <c r="B36" s="308" t="s">
        <v>1414</v>
      </c>
      <c r="C36" s="24">
        <f ca="1">ROUND(C29*F36,0)</f>
        <v>169363</v>
      </c>
      <c r="D36" s="1521" t="s">
        <v>1447</v>
      </c>
      <c r="E36" s="308" t="s">
        <v>1387</v>
      </c>
      <c r="F36" s="334">
        <f ca="1">INDIRECT("'数据-取费表'!Ak"&amp;$G$1)</f>
        <v>1.4999999999999999E-2</v>
      </c>
      <c r="G36" s="1561"/>
      <c r="H36" s="2910"/>
      <c r="I36" s="1575"/>
      <c r="J36" s="1576"/>
      <c r="K36" s="2752"/>
      <c r="L36" s="2910"/>
      <c r="M36" s="2910"/>
    </row>
    <row r="37" spans="1:18" ht="18" customHeight="1">
      <c r="A37" s="1110" t="s">
        <v>1043</v>
      </c>
      <c r="B37" s="308" t="s">
        <v>1418</v>
      </c>
      <c r="C37" s="24">
        <f ca="1">ROUND(C13*F37,0)</f>
        <v>12143</v>
      </c>
      <c r="D37" s="1521" t="s">
        <v>1419</v>
      </c>
      <c r="E37" s="308" t="s">
        <v>1420</v>
      </c>
      <c r="F37" s="336">
        <f ca="1">INDIRECT("'数据-取费表'!Al"&amp;$G$1)</f>
        <v>1.5E-3</v>
      </c>
      <c r="G37" s="1561"/>
      <c r="H37" s="2910"/>
      <c r="I37" s="1575"/>
      <c r="J37" s="1576"/>
      <c r="K37" s="2752"/>
      <c r="L37" s="2910"/>
      <c r="M37" s="2910"/>
    </row>
    <row r="38" spans="1:18" ht="18" customHeight="1" thickBot="1">
      <c r="A38" s="1244" t="s">
        <v>1358</v>
      </c>
      <c r="B38" s="1245" t="s">
        <v>1404</v>
      </c>
      <c r="C38" s="1246">
        <f ca="1">ROUND(C5*F38,1)</f>
        <v>64271.1</v>
      </c>
      <c r="D38" s="1247" t="s">
        <v>1424</v>
      </c>
      <c r="E38" s="1245" t="s">
        <v>1420</v>
      </c>
      <c r="F38" s="1241">
        <f ca="1">INDIRECT("'数据-取费表'!Am"&amp;$G$1)</f>
        <v>0.02</v>
      </c>
      <c r="G38" s="1561"/>
      <c r="H38" s="2910"/>
      <c r="I38" s="1575"/>
      <c r="J38" s="1576"/>
      <c r="K38" s="2914"/>
      <c r="L38" s="2910"/>
      <c r="M38" s="2910"/>
    </row>
    <row r="39" spans="1:18" ht="24.6" customHeight="1" thickTop="1">
      <c r="A39" s="1234" t="s">
        <v>999</v>
      </c>
      <c r="B39" s="1249" t="s">
        <v>1448</v>
      </c>
      <c r="C39" s="316">
        <f ca="1">C5-C30</f>
        <v>2429465</v>
      </c>
      <c r="D39" s="1250" t="s">
        <v>1449</v>
      </c>
      <c r="E39" s="1251"/>
      <c r="F39" s="1252"/>
      <c r="G39" s="1561"/>
      <c r="H39" s="2910"/>
      <c r="I39" s="1575"/>
      <c r="J39" s="1576"/>
      <c r="K39" s="2914"/>
      <c r="L39" s="2910"/>
      <c r="M39" s="2910"/>
    </row>
    <row r="40" spans="1:18" ht="18" customHeight="1">
      <c r="A40" s="305" t="s">
        <v>1000</v>
      </c>
      <c r="B40" s="306" t="s">
        <v>1450</v>
      </c>
      <c r="C40" s="307">
        <f ca="1">ROUND(C39*(1-((1+F42)/(1+F40))^F41)/(F40-F42),0)</f>
        <v>43668028</v>
      </c>
      <c r="D40" s="330" t="s">
        <v>1434</v>
      </c>
      <c r="E40" s="308" t="s">
        <v>1435</v>
      </c>
      <c r="F40" s="318">
        <f ca="1">INDIRECT("'数据-取费表'!I"&amp;$G$1)</f>
        <v>5.5E-2</v>
      </c>
      <c r="G40" s="1561"/>
      <c r="H40" s="1638"/>
      <c r="I40" s="1575"/>
      <c r="J40" s="1576"/>
      <c r="K40" s="2914"/>
      <c r="L40" s="1638"/>
      <c r="M40" s="1638"/>
    </row>
    <row r="41" spans="1:18" ht="18" customHeight="1">
      <c r="A41" s="310"/>
      <c r="B41" s="311"/>
      <c r="C41" s="312"/>
      <c r="D41" s="338" t="s">
        <v>1451</v>
      </c>
      <c r="E41" s="308" t="s">
        <v>1439</v>
      </c>
      <c r="F41" s="339">
        <f ca="1">IF(INDIRECT("'数据-取费表'!af"&amp;$G$1)=0,INDIRECT("'数据-取费表'!ae"&amp;$G$1),INDIRECT("'数据-取费表'!af"&amp;$G$1))</f>
        <v>24.88</v>
      </c>
      <c r="G41" s="1561"/>
      <c r="H41" s="1348"/>
      <c r="I41" s="1575"/>
      <c r="J41" s="1576"/>
      <c r="K41" s="2752"/>
      <c r="L41" s="1348"/>
      <c r="M41" s="1348"/>
    </row>
    <row r="42" spans="1:18" ht="18" customHeight="1">
      <c r="A42" s="314"/>
      <c r="B42" s="315"/>
      <c r="C42" s="316"/>
      <c r="D42" s="333"/>
      <c r="E42" s="308" t="s">
        <v>1442</v>
      </c>
      <c r="F42" s="318">
        <f ca="1">INDIRECT("'数据-取费表'!v"&amp;$G$1)</f>
        <v>0.03</v>
      </c>
      <c r="G42" s="1561"/>
      <c r="H42" s="1348"/>
      <c r="I42" s="1575"/>
      <c r="J42" s="1576"/>
      <c r="K42" s="2752"/>
      <c r="L42" s="1348"/>
      <c r="M42" s="1348"/>
    </row>
    <row r="43" spans="1:18" ht="18" customHeight="1" thickBot="1">
      <c r="A43" s="340" t="s">
        <v>1001</v>
      </c>
      <c r="B43" s="341" t="s">
        <v>1452</v>
      </c>
      <c r="C43" s="342">
        <f ca="1">ROUND(C40/F43,0)</f>
        <v>22347</v>
      </c>
      <c r="D43" s="343" t="s">
        <v>1453</v>
      </c>
      <c r="E43" s="344" t="s">
        <v>1454</v>
      </c>
      <c r="F43" s="345">
        <f ca="1">INDIRECT("'数据-取费表'!k"&amp;$G$1)</f>
        <v>1954.06</v>
      </c>
      <c r="G43" s="1561"/>
      <c r="H43" s="1348"/>
      <c r="I43" s="1348"/>
      <c r="J43" s="1348"/>
      <c r="K43" s="2752"/>
      <c r="L43" s="1348"/>
      <c r="M43" s="1348"/>
    </row>
    <row r="44" spans="1:18" s="1561" customFormat="1" ht="18" customHeight="1">
      <c r="A44" s="1577"/>
      <c r="B44" s="1577"/>
      <c r="C44" s="1578"/>
      <c r="D44" s="1577"/>
      <c r="E44" s="1577"/>
      <c r="F44" s="1577"/>
      <c r="K44" s="1579"/>
    </row>
    <row r="45" spans="1:18" s="1561" customFormat="1" ht="18" customHeight="1" thickBot="1">
      <c r="A45" s="1577"/>
      <c r="B45" s="1577"/>
      <c r="C45" s="1649">
        <f ca="1">C68-C40</f>
        <v>-63983902</v>
      </c>
      <c r="D45" s="1650" t="s">
        <v>1569</v>
      </c>
      <c r="E45" s="1577"/>
      <c r="F45" s="1577"/>
      <c r="O45" s="1580" t="s">
        <v>1484</v>
      </c>
      <c r="P45" s="1638"/>
      <c r="Q45" s="1638"/>
      <c r="R45" s="1638"/>
    </row>
    <row r="46" spans="1:18" s="1561" customFormat="1" ht="13.5" thickBot="1">
      <c r="A46" s="1581" t="s">
        <v>1485</v>
      </c>
      <c r="C46" s="1582">
        <f ca="1">ROUND(C45/10000,0)</f>
        <v>-6398</v>
      </c>
      <c r="D46" s="1583" t="str">
        <f>C2</f>
        <v>万元</v>
      </c>
      <c r="I46" s="1584" t="s">
        <v>1486</v>
      </c>
      <c r="J46" s="1585"/>
      <c r="K46" s="1586"/>
      <c r="L46" s="1587" t="str">
        <f ca="1">IF(M47="住宅",0,IF(L48&gt;J51,L60,J60))</f>
        <v>0</v>
      </c>
      <c r="O46" s="1588" t="s">
        <v>1487</v>
      </c>
      <c r="P46" s="1589" t="s">
        <v>1488</v>
      </c>
      <c r="Q46" s="1590" t="s">
        <v>1489</v>
      </c>
      <c r="R46" s="1590" t="s">
        <v>1490</v>
      </c>
    </row>
    <row r="47" spans="1:18" s="1561" customFormat="1" ht="13.5" thickBot="1">
      <c r="A47" s="1074" t="s">
        <v>1361</v>
      </c>
      <c r="B47" s="1106" t="s">
        <v>1362</v>
      </c>
      <c r="C47" s="1106" t="s">
        <v>1363</v>
      </c>
      <c r="D47" s="1106" t="s">
        <v>1364</v>
      </c>
      <c r="E47" s="1184" t="s">
        <v>1365</v>
      </c>
      <c r="F47" s="1185"/>
      <c r="G47" s="729"/>
      <c r="I47" s="1591" t="s">
        <v>1491</v>
      </c>
      <c r="J47" s="1592" t="s">
        <v>3064</v>
      </c>
      <c r="K47" s="1593" t="s">
        <v>1492</v>
      </c>
      <c r="L47" s="1594">
        <f ca="1">INDIRECT("'数据-取费表'!d"&amp;$G$1)</f>
        <v>40</v>
      </c>
      <c r="M47" s="1557" t="str">
        <f>IF(ISNUMBER(FIND("住宅",C1)),"住宅","非住宅")</f>
        <v>非住宅</v>
      </c>
      <c r="O47" s="1595" t="s">
        <v>1008</v>
      </c>
      <c r="P47" s="1596" t="s">
        <v>1493</v>
      </c>
      <c r="Q47" s="1597">
        <f ca="1">C40+J29</f>
        <v>43668028</v>
      </c>
      <c r="R47" s="1597" t="s">
        <v>1494</v>
      </c>
    </row>
    <row r="48" spans="1:18" s="1561" customFormat="1" ht="28.5" thickBot="1">
      <c r="A48" s="1265" t="s">
        <v>1103</v>
      </c>
      <c r="B48" s="306" t="s">
        <v>1366</v>
      </c>
      <c r="C48" s="1536">
        <f ca="1">C49+C53+C55</f>
        <v>0</v>
      </c>
      <c r="D48" s="1267"/>
      <c r="E48" s="1268"/>
      <c r="F48" s="1090"/>
      <c r="G48" s="729"/>
      <c r="H48" s="730"/>
      <c r="I48" s="1598" t="s">
        <v>1495</v>
      </c>
      <c r="J48" s="1599" t="s">
        <v>3111</v>
      </c>
      <c r="K48" s="1600" t="s">
        <v>1496</v>
      </c>
      <c r="L48" s="1601">
        <f ca="1">INDIRECT("'数据-取费表'!f"&amp;$G$1)</f>
        <v>24.88</v>
      </c>
      <c r="O48" s="1595" t="s">
        <v>1009</v>
      </c>
      <c r="P48" s="1596" t="s">
        <v>1497</v>
      </c>
      <c r="Q48" s="1597" t="str">
        <f ca="1">J60</f>
        <v>0</v>
      </c>
      <c r="R48" s="1597" t="s">
        <v>1498</v>
      </c>
    </row>
    <row r="49" spans="1:18" s="1561" customFormat="1" ht="13.5" thickBot="1">
      <c r="A49" s="1103" t="s">
        <v>1104</v>
      </c>
      <c r="B49" s="1548" t="s">
        <v>1455</v>
      </c>
      <c r="C49" s="1269">
        <f ca="1">ROUND(F49*F51*F50*(1-F52),0)</f>
        <v>0</v>
      </c>
      <c r="D49" s="1181" t="s">
        <v>1369</v>
      </c>
      <c r="E49" s="1549" t="s">
        <v>1456</v>
      </c>
      <c r="F49" s="1186"/>
      <c r="G49" s="1602"/>
      <c r="H49" s="730"/>
      <c r="I49" s="1598" t="s">
        <v>1499</v>
      </c>
      <c r="J49" s="1603">
        <v>2012</v>
      </c>
      <c r="K49" s="1600" t="s">
        <v>1500</v>
      </c>
      <c r="L49" s="1604"/>
      <c r="O49" s="1605" t="s">
        <v>1010</v>
      </c>
      <c r="P49" s="1596" t="s">
        <v>1501</v>
      </c>
      <c r="Q49" s="1597">
        <f ca="1">C29</f>
        <v>11290860</v>
      </c>
      <c r="R49" s="1597" t="s">
        <v>1494</v>
      </c>
    </row>
    <row r="50" spans="1:18" s="1561" customFormat="1" ht="13.5" thickBot="1">
      <c r="A50" s="1104"/>
      <c r="B50" s="1107"/>
      <c r="C50" s="1108"/>
      <c r="D50" s="1081"/>
      <c r="E50" s="1182" t="s">
        <v>1371</v>
      </c>
      <c r="F50" s="1183">
        <f ca="1">F7</f>
        <v>1954.06</v>
      </c>
      <c r="H50" s="730"/>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5"/>
      <c r="B51" s="1107"/>
      <c r="C51" s="1108"/>
      <c r="D51" s="1081"/>
      <c r="E51" s="1109" t="s">
        <v>1372</v>
      </c>
      <c r="F51" s="309">
        <f ca="1">F8</f>
        <v>365</v>
      </c>
      <c r="I51" s="1609" t="s">
        <v>1505</v>
      </c>
      <c r="J51" s="1610">
        <f>IF(J49="",J50,J49+J50-YEAR('数据-取费表'!B2))</f>
        <v>51</v>
      </c>
      <c r="K51" s="1611" t="s">
        <v>1506</v>
      </c>
      <c r="L51" s="1612">
        <f ca="1">ROUND(-PV(INDIRECT("'数据-取费表'!h"&amp;$G$1),J51,(C39-C13*C76),0),0)</f>
        <v>32676778</v>
      </c>
      <c r="M51" s="1613"/>
      <c r="O51" s="1605" t="s">
        <v>1012</v>
      </c>
      <c r="P51" s="1596" t="s">
        <v>1507</v>
      </c>
      <c r="Q51" s="1608">
        <f>J52</f>
        <v>0</v>
      </c>
      <c r="R51" s="1597"/>
    </row>
    <row r="52" spans="1:18" s="1561" customFormat="1" ht="13.5" thickBot="1">
      <c r="A52" s="1105"/>
      <c r="B52" s="1107"/>
      <c r="C52" s="1108"/>
      <c r="D52" s="1081"/>
      <c r="E52" s="1109" t="s">
        <v>1373</v>
      </c>
      <c r="F52" s="1180"/>
      <c r="I52" s="1614" t="s">
        <v>1508</v>
      </c>
      <c r="J52" s="1615"/>
      <c r="K52" s="1614" t="s">
        <v>1509</v>
      </c>
      <c r="L52" s="1615"/>
      <c r="O52" s="1605" t="s">
        <v>1013</v>
      </c>
      <c r="P52" s="1596" t="s">
        <v>1510</v>
      </c>
      <c r="Q52" s="1597">
        <f ca="1">J53</f>
        <v>24.88</v>
      </c>
      <c r="R52" s="1597" t="s">
        <v>1511</v>
      </c>
    </row>
    <row r="53" spans="1:18" s="1561" customFormat="1" ht="30.75" customHeight="1" thickBot="1">
      <c r="A53" s="1266" t="s">
        <v>1105</v>
      </c>
      <c r="B53" s="329" t="s">
        <v>1374</v>
      </c>
      <c r="C53" s="322">
        <f ca="1">ROUND(IF(F53="押一",C49/12*F11,IF(F53="押二",C49/12*2*F11,IF(F53="押三",C49/12*3*F11,C54*F11))),0)</f>
        <v>0</v>
      </c>
      <c r="D53" s="1543" t="s">
        <v>2856</v>
      </c>
      <c r="E53" s="319" t="s">
        <v>1375</v>
      </c>
      <c r="F53" s="1271"/>
      <c r="I53" s="1616" t="s">
        <v>1512</v>
      </c>
      <c r="J53" s="2376">
        <f ca="1">IF(M47="住宅",IF(D1="——",MAX(J51,L48),MAX(J51,L48-'数据-取费表'!B24)),IF(D1="——",MIN(J51,L48),MIN(J51,L48-'数据-取费表'!B24)))</f>
        <v>24.88</v>
      </c>
      <c r="K53" s="3287" t="s">
        <v>1513</v>
      </c>
      <c r="L53" s="3288"/>
      <c r="O53" s="1595" t="s">
        <v>1014</v>
      </c>
      <c r="P53" s="1596" t="s">
        <v>1514</v>
      </c>
      <c r="Q53" s="1597">
        <f ca="1">Q47+Q48</f>
        <v>43668028</v>
      </c>
      <c r="R53" s="1597" t="s">
        <v>1015</v>
      </c>
    </row>
    <row r="54" spans="1:18" s="1561" customFormat="1" ht="13.5" thickBot="1">
      <c r="A54" s="1103"/>
      <c r="B54" s="1651" t="s">
        <v>1568</v>
      </c>
      <c r="C54" s="1087"/>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8" t="s">
        <v>1043</v>
      </c>
      <c r="B55" s="1546" t="s">
        <v>1378</v>
      </c>
      <c r="C55" s="1239"/>
      <c r="D55" s="1543"/>
      <c r="E55" s="1551"/>
      <c r="F55" s="1617"/>
      <c r="I55" s="1620" t="s">
        <v>1516</v>
      </c>
      <c r="J55" s="1621" t="e">
        <f ca="1">ROUND(IF(J47="钢混",J57/J50,1-(1-2%)*(J50-J57)/J50),3)</f>
        <v>#VALUE!</v>
      </c>
      <c r="K55" s="1622" t="s">
        <v>1517</v>
      </c>
      <c r="L55" s="1623"/>
      <c r="O55" s="1588" t="s">
        <v>1487</v>
      </c>
      <c r="P55" s="1589" t="s">
        <v>1488</v>
      </c>
      <c r="Q55" s="1590" t="s">
        <v>1489</v>
      </c>
      <c r="R55" s="1590" t="s">
        <v>1490</v>
      </c>
    </row>
    <row r="56" spans="1:18" s="1561" customFormat="1" ht="36" customHeight="1" thickTop="1" thickBot="1">
      <c r="A56" s="1085">
        <v>2</v>
      </c>
      <c r="B56" s="1086" t="s">
        <v>1379</v>
      </c>
      <c r="C56" s="238">
        <f ca="1">C13</f>
        <v>8095547</v>
      </c>
      <c r="D56" s="1624"/>
      <c r="E56" s="1625"/>
      <c r="F56" s="1617"/>
      <c r="I56" s="1626" t="s">
        <v>1519</v>
      </c>
      <c r="J56" s="1627" t="s">
        <v>3055</v>
      </c>
      <c r="K56" s="1598" t="s">
        <v>1520</v>
      </c>
      <c r="L56" s="1601" t="str">
        <f ca="1">IF(L48&lt;J51,"——",L48-J51)</f>
        <v>——</v>
      </c>
      <c r="O56" s="1595" t="s">
        <v>1008</v>
      </c>
      <c r="P56" s="1596" t="s">
        <v>1493</v>
      </c>
      <c r="Q56" s="1597">
        <f ca="1">C40+J29</f>
        <v>43668028</v>
      </c>
      <c r="R56" s="1597" t="s">
        <v>1494</v>
      </c>
    </row>
    <row r="57" spans="1:18" s="1561" customFormat="1" ht="24.75" thickBot="1">
      <c r="A57" s="1628"/>
      <c r="B57" s="1078" t="s">
        <v>1443</v>
      </c>
      <c r="C57" s="244">
        <f ca="1">C29</f>
        <v>11290860</v>
      </c>
      <c r="D57" s="1629"/>
      <c r="E57" s="1630"/>
      <c r="F57" s="1631"/>
      <c r="I57" s="1632" t="s">
        <v>1521</v>
      </c>
      <c r="J57" s="1633" t="str">
        <f ca="1">IF(OR(M47="住宅",J51&lt;L48,J56="是"),"——",J51-L48)</f>
        <v>——</v>
      </c>
      <c r="K57" s="1598" t="s">
        <v>1570</v>
      </c>
      <c r="L57" s="1601" t="str">
        <f ca="1">IF(L48&lt;J51,"——",IF(L55="比较法",L49,IF(L55="基准地价",L50,L51)))</f>
        <v>——</v>
      </c>
      <c r="O57" s="1595" t="s">
        <v>1009</v>
      </c>
      <c r="P57" s="1596" t="s">
        <v>1571</v>
      </c>
      <c r="Q57" s="1597">
        <f ca="1">L60</f>
        <v>0</v>
      </c>
      <c r="R57" s="1597" t="s">
        <v>1572</v>
      </c>
    </row>
    <row r="58" spans="1:18" s="1561" customFormat="1" ht="24.75" thickBot="1">
      <c r="A58" s="321" t="s">
        <v>998</v>
      </c>
      <c r="B58" s="1086" t="s">
        <v>1389</v>
      </c>
      <c r="C58" s="322">
        <f ca="1">ROUND(C59+C64+C65+C66,0)</f>
        <v>1130271</v>
      </c>
      <c r="D58" s="1088" t="s">
        <v>1390</v>
      </c>
      <c r="E58" s="1089"/>
      <c r="F58" s="1090"/>
      <c r="I58" s="1632" t="s">
        <v>1525</v>
      </c>
      <c r="J58" s="1634" t="e">
        <f ca="1">IF(J55&lt;0.4,0.4,J55)</f>
        <v>#VALUE!</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10" t="s">
        <v>1003</v>
      </c>
      <c r="B59" s="1078" t="s">
        <v>1394</v>
      </c>
      <c r="C59" s="2524">
        <f ca="1">ROUND(IF(AND(项目基本情况!B11="自然人",项目基本情况!B10="北京市"),C49*F59/(1+'数据-取费表'!C42),C60+C61+C62),0)</f>
        <v>948765</v>
      </c>
      <c r="D59" s="1091" t="s">
        <v>1395</v>
      </c>
      <c r="E59" s="1092" t="s">
        <v>1396</v>
      </c>
      <c r="F59" s="2523"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10" t="s">
        <v>1457</v>
      </c>
      <c r="B61" s="1078" t="s">
        <v>1458</v>
      </c>
      <c r="C61" s="24">
        <f ca="1">IF(项目基本情况!B11="自然人","——",IF(D61="按租金收入计税",ROUND(C49*F61/(1+'数据-取费表'!C42),0),IF(D61="按房产原值计税",ROUND(C57*F61*0.7,0),INDIRECT("'数据-取费表'!Aj"&amp;$G$1))))</f>
        <v>948432</v>
      </c>
      <c r="D61" s="1547" t="s">
        <v>1403</v>
      </c>
      <c r="E61" s="1078" t="s">
        <v>1459</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10" t="s">
        <v>1460</v>
      </c>
      <c r="B62" s="1077" t="s">
        <v>1461</v>
      </c>
      <c r="C62" s="25">
        <f ca="1">IF(项目基本情况!B11="自然人","——",ROUND(F62*F63,0))</f>
        <v>333</v>
      </c>
      <c r="D62" s="1093" t="s">
        <v>1462</v>
      </c>
      <c r="E62" s="1078" t="s">
        <v>1463</v>
      </c>
      <c r="F62" s="331">
        <f t="shared" si="0"/>
        <v>1.5</v>
      </c>
      <c r="I62" s="1639" t="s">
        <v>1535</v>
      </c>
      <c r="J62" s="1640" t="s">
        <v>1536</v>
      </c>
      <c r="K62" s="1640" t="s">
        <v>1537</v>
      </c>
      <c r="L62" s="1640" t="s">
        <v>1538</v>
      </c>
      <c r="M62" s="1641" t="s">
        <v>1539</v>
      </c>
      <c r="O62" s="1595" t="s">
        <v>1014</v>
      </c>
      <c r="P62" s="1596" t="s">
        <v>1540</v>
      </c>
      <c r="Q62" s="1597">
        <f ca="1">Q56+Q57</f>
        <v>43668028</v>
      </c>
      <c r="R62" s="1597" t="s">
        <v>1015</v>
      </c>
    </row>
    <row r="63" spans="1:18" s="1561" customFormat="1" ht="13.5" thickBot="1">
      <c r="A63" s="332"/>
      <c r="B63" s="1084"/>
      <c r="C63" s="29"/>
      <c r="D63" s="1094"/>
      <c r="E63" s="1078" t="s">
        <v>1464</v>
      </c>
      <c r="F63" s="309">
        <f t="shared" ca="1" si="0"/>
        <v>222.28</v>
      </c>
      <c r="I63" s="1639" t="s">
        <v>1541</v>
      </c>
      <c r="J63" s="1640">
        <v>70</v>
      </c>
      <c r="K63" s="1640">
        <v>50</v>
      </c>
      <c r="L63" s="1640">
        <v>80</v>
      </c>
      <c r="M63" s="1642">
        <v>0.02</v>
      </c>
      <c r="O63" s="1580" t="s">
        <v>1542</v>
      </c>
      <c r="P63" s="1558"/>
      <c r="Q63" s="1558"/>
      <c r="R63" s="1558"/>
    </row>
    <row r="64" spans="1:18" s="1561" customFormat="1" ht="13.5" thickBot="1">
      <c r="A64" s="1110" t="s">
        <v>1465</v>
      </c>
      <c r="B64" s="1078" t="s">
        <v>1466</v>
      </c>
      <c r="C64" s="24">
        <f ca="1">ROUND(C57*F64,0)</f>
        <v>169363</v>
      </c>
      <c r="D64" s="1092" t="s">
        <v>1467</v>
      </c>
      <c r="E64" s="1078"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10" t="s">
        <v>1468</v>
      </c>
      <c r="B65" s="1078" t="s">
        <v>1418</v>
      </c>
      <c r="C65" s="24">
        <f ca="1">ROUND(C56*F65,0)</f>
        <v>12143</v>
      </c>
      <c r="D65" s="1092" t="s">
        <v>1419</v>
      </c>
      <c r="E65" s="1078" t="s">
        <v>1420</v>
      </c>
      <c r="F65" s="336">
        <f t="shared" ca="1" si="0"/>
        <v>1.5E-3</v>
      </c>
      <c r="I65" s="1639" t="s">
        <v>1544</v>
      </c>
      <c r="J65" s="1640">
        <v>40</v>
      </c>
      <c r="K65" s="1640">
        <v>30</v>
      </c>
      <c r="L65" s="1640">
        <v>50</v>
      </c>
      <c r="M65" s="1642">
        <v>0.02</v>
      </c>
      <c r="O65" s="1595" t="s">
        <v>1008</v>
      </c>
      <c r="P65" s="1596" t="s">
        <v>1545</v>
      </c>
      <c r="Q65" s="1597">
        <f ca="1">C40+J29</f>
        <v>43668028</v>
      </c>
      <c r="R65" s="1597" t="s">
        <v>1494</v>
      </c>
    </row>
    <row r="66" spans="1:18" s="1561" customFormat="1" ht="16.5" thickBot="1">
      <c r="A66" s="1110" t="s">
        <v>1469</v>
      </c>
      <c r="B66" s="1078" t="s">
        <v>1404</v>
      </c>
      <c r="C66" s="24">
        <f ca="1">ROUND(C48*F66,0)</f>
        <v>0</v>
      </c>
      <c r="D66" s="1092" t="s">
        <v>1470</v>
      </c>
      <c r="E66" s="1078" t="s">
        <v>1387</v>
      </c>
      <c r="F66" s="318">
        <f t="shared" ca="1" si="0"/>
        <v>0.02</v>
      </c>
      <c r="O66" s="1595" t="s">
        <v>1009</v>
      </c>
      <c r="P66" s="1596" t="s">
        <v>1523</v>
      </c>
      <c r="Q66" s="1597">
        <f ca="1">L60</f>
        <v>0</v>
      </c>
      <c r="R66" s="1597" t="s">
        <v>1546</v>
      </c>
    </row>
    <row r="67" spans="1:18" s="1561" customFormat="1" ht="16.5" thickBot="1">
      <c r="A67" s="1085" t="s">
        <v>999</v>
      </c>
      <c r="B67" s="1095" t="s">
        <v>1428</v>
      </c>
      <c r="C67" s="322">
        <f ca="1">C48-C58</f>
        <v>-1130271</v>
      </c>
      <c r="D67" s="1091" t="s">
        <v>1429</v>
      </c>
      <c r="E67" s="1096"/>
      <c r="F67" s="1097"/>
      <c r="O67" s="1605" t="s">
        <v>1010</v>
      </c>
      <c r="P67" s="1596" t="s">
        <v>1527</v>
      </c>
      <c r="Q67" s="1643">
        <f ca="1">L51</f>
        <v>32676778</v>
      </c>
      <c r="R67" s="1597" t="s">
        <v>1547</v>
      </c>
    </row>
    <row r="68" spans="1:18" s="1561" customFormat="1" ht="16.5" thickBot="1">
      <c r="A68" s="1075" t="s">
        <v>1000</v>
      </c>
      <c r="B68" s="1076" t="s">
        <v>1450</v>
      </c>
      <c r="C68" s="307">
        <f ca="1">ROUND(C67*(1-((1+F70)/(1+F68))^F69)/(F68-F70),0)</f>
        <v>-20315874</v>
      </c>
      <c r="D68" s="1093" t="s">
        <v>1434</v>
      </c>
      <c r="E68" s="1078" t="s">
        <v>1435</v>
      </c>
      <c r="F68" s="318">
        <f ca="1">F40</f>
        <v>5.5E-2</v>
      </c>
      <c r="O68" s="1605" t="s">
        <v>1011</v>
      </c>
      <c r="P68" s="1644" t="s">
        <v>1548</v>
      </c>
      <c r="Q68" s="1597">
        <f ca="1">ROUND(Q69-Q70*Q71,0)</f>
        <v>1781821</v>
      </c>
      <c r="R68" s="1597" t="s">
        <v>1019</v>
      </c>
    </row>
    <row r="69" spans="1:18" s="1561" customFormat="1" ht="13.5" thickBot="1">
      <c r="A69" s="1079"/>
      <c r="B69" s="1080"/>
      <c r="C69" s="312"/>
      <c r="D69" s="1098" t="s">
        <v>1438</v>
      </c>
      <c r="E69" s="1078" t="s">
        <v>1439</v>
      </c>
      <c r="F69" s="339">
        <f ca="1">F41</f>
        <v>24.88</v>
      </c>
      <c r="O69" s="1605" t="s">
        <v>1016</v>
      </c>
      <c r="P69" s="1644" t="s">
        <v>1549</v>
      </c>
      <c r="Q69" s="1597">
        <f ca="1">C39</f>
        <v>2429465</v>
      </c>
      <c r="R69" s="1597" t="s">
        <v>1494</v>
      </c>
    </row>
    <row r="70" spans="1:18" s="1561" customFormat="1" ht="13.5" thickBot="1">
      <c r="A70" s="1082"/>
      <c r="B70" s="1083"/>
      <c r="C70" s="316"/>
      <c r="D70" s="1094"/>
      <c r="E70" s="1078" t="s">
        <v>1442</v>
      </c>
      <c r="F70" s="1180">
        <f ca="1">F42</f>
        <v>0.03</v>
      </c>
      <c r="O70" s="1605" t="s">
        <v>1017</v>
      </c>
      <c r="P70" s="1644" t="s">
        <v>1550</v>
      </c>
      <c r="Q70" s="1597">
        <f ca="1">C13</f>
        <v>8095547</v>
      </c>
      <c r="R70" s="1597" t="s">
        <v>1494</v>
      </c>
    </row>
    <row r="71" spans="1:18" s="1561" customFormat="1" ht="13.5" thickBot="1">
      <c r="A71" s="1099" t="s">
        <v>1001</v>
      </c>
      <c r="B71" s="1100" t="s">
        <v>1452</v>
      </c>
      <c r="C71" s="342">
        <f ca="1">ROUND(C68/F71,0)</f>
        <v>-10397</v>
      </c>
      <c r="D71" s="1101" t="s">
        <v>1453</v>
      </c>
      <c r="E71" s="1102" t="s">
        <v>1454</v>
      </c>
      <c r="F71" s="345">
        <f ca="1">F43</f>
        <v>1954.06</v>
      </c>
      <c r="O71" s="1605" t="s">
        <v>1018</v>
      </c>
      <c r="P71" s="1644" t="s">
        <v>1551</v>
      </c>
      <c r="Q71" s="1608">
        <f ca="1">C76</f>
        <v>0.08</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647644</v>
      </c>
      <c r="D75" s="1561"/>
      <c r="E75" s="1561"/>
      <c r="F75" s="1561"/>
      <c r="K75" s="1579"/>
      <c r="L75" s="1561"/>
      <c r="O75" s="1595" t="s">
        <v>1014</v>
      </c>
      <c r="P75" s="1596" t="s">
        <v>1514</v>
      </c>
      <c r="Q75" s="1597">
        <f ca="1">Q65+Q66</f>
        <v>43668028</v>
      </c>
      <c r="R75" s="1597" t="s">
        <v>1015</v>
      </c>
    </row>
    <row r="76" spans="1:18">
      <c r="B76" s="348" t="s">
        <v>1472</v>
      </c>
      <c r="C76" s="349">
        <f ca="1">INDIRECT("'数据-取费表'!j"&amp;$G$1)</f>
        <v>0.08</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0.73299999999999998</v>
      </c>
    </row>
    <row r="80" spans="1:18">
      <c r="B80" s="346" t="s">
        <v>1476</v>
      </c>
      <c r="C80" s="280">
        <f ca="1">ROUND(C75/C39,3)</f>
        <v>0.26700000000000002</v>
      </c>
    </row>
    <row r="81" spans="2:3">
      <c r="B81" s="276" t="s">
        <v>1477</v>
      </c>
      <c r="C81" s="244"/>
    </row>
    <row r="82" spans="2:3">
      <c r="B82" s="279" t="s">
        <v>1478</v>
      </c>
      <c r="C82" s="281">
        <f ca="1">1-C83</f>
        <v>0.81499999999999995</v>
      </c>
    </row>
    <row r="83" spans="2:3">
      <c r="B83" s="279" t="s">
        <v>1479</v>
      </c>
      <c r="C83" s="280">
        <f ca="1">ROUND(C13/C40,3)</f>
        <v>0.185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2346</v>
      </c>
      <c r="B1" s="2047"/>
      <c r="C1" s="2047"/>
      <c r="D1" s="2047"/>
      <c r="E1" s="2048"/>
      <c r="F1" s="2917"/>
      <c r="G1" s="1667"/>
      <c r="H1" s="1667"/>
      <c r="I1" s="1667"/>
      <c r="J1" s="1667"/>
      <c r="K1" s="1667"/>
      <c r="L1" s="1667"/>
      <c r="M1" s="1667"/>
      <c r="N1" s="1667"/>
      <c r="O1" s="1667"/>
      <c r="P1" s="1667"/>
      <c r="Q1" s="1667"/>
      <c r="R1" s="1667"/>
      <c r="S1" s="1667"/>
    </row>
    <row r="2" spans="1:22" ht="15.75">
      <c r="A2" s="2049" t="s">
        <v>2147</v>
      </c>
      <c r="B2" s="2050">
        <f ca="1">SUMIF(B6:B13,"&lt;&gt;#ref!",B6:B13)</f>
        <v>4367</v>
      </c>
      <c r="C2" s="2051" t="s">
        <v>2339</v>
      </c>
      <c r="D2" s="2052" t="s">
        <v>2340</v>
      </c>
      <c r="E2" s="2815">
        <f>SUM(E6:E13)</f>
        <v>1954.06</v>
      </c>
      <c r="F2" s="2917"/>
      <c r="G2" s="1667"/>
      <c r="H2" s="1667"/>
      <c r="I2" s="1667"/>
      <c r="J2" s="1667"/>
      <c r="K2" s="1667"/>
      <c r="L2" s="1667"/>
      <c r="M2" s="1667"/>
      <c r="N2" s="1667"/>
      <c r="O2" s="1667"/>
      <c r="P2" s="1667"/>
      <c r="Q2" s="1667"/>
      <c r="R2" s="1667"/>
      <c r="S2" s="1667"/>
    </row>
    <row r="3" spans="1:22" ht="15.75">
      <c r="A3" s="2049" t="s">
        <v>1360</v>
      </c>
      <c r="B3" s="2809">
        <f ca="1">ROUND(B2*10000/E2,0)</f>
        <v>22348</v>
      </c>
      <c r="C3" s="2051" t="s">
        <v>2347</v>
      </c>
      <c r="D3" s="2919"/>
      <c r="E3" s="2921"/>
      <c r="F3" s="2917"/>
      <c r="G3" s="1667"/>
      <c r="H3" s="1667"/>
      <c r="I3" s="1667"/>
      <c r="J3" s="1667"/>
      <c r="K3" s="1667"/>
      <c r="L3" s="1667"/>
      <c r="M3" s="1667"/>
      <c r="N3" s="1667"/>
      <c r="O3" s="1667"/>
      <c r="P3" s="1667"/>
      <c r="Q3" s="1667"/>
      <c r="R3" s="1667"/>
      <c r="S3" s="1667"/>
    </row>
    <row r="4" spans="1:22" ht="15.75">
      <c r="A4" s="2922"/>
      <c r="B4" s="2919"/>
      <c r="C4" s="2919"/>
      <c r="D4" s="2919"/>
      <c r="E4" s="2921"/>
      <c r="F4" s="2917"/>
      <c r="G4" s="1667"/>
      <c r="H4" s="1667"/>
      <c r="I4" s="1667"/>
      <c r="J4" s="1667"/>
      <c r="K4" s="1667"/>
      <c r="L4" s="1667"/>
      <c r="M4" s="1667"/>
      <c r="N4" s="1667"/>
      <c r="O4" s="1667"/>
      <c r="P4" s="1667"/>
      <c r="Q4" s="1667"/>
      <c r="R4" s="1667"/>
      <c r="S4" s="1667"/>
    </row>
    <row r="5" spans="1:22" ht="15">
      <c r="A5" s="2811" t="s">
        <v>2341</v>
      </c>
      <c r="B5" s="3356" t="s">
        <v>2342</v>
      </c>
      <c r="C5" s="3357"/>
      <c r="D5" s="2918"/>
      <c r="E5" s="2053" t="s">
        <v>2343</v>
      </c>
      <c r="F5" s="2054" t="s">
        <v>2344</v>
      </c>
      <c r="G5" s="1667"/>
      <c r="H5" s="1667"/>
      <c r="I5" s="1667"/>
      <c r="J5" s="1667"/>
      <c r="K5" s="1667"/>
      <c r="L5" s="1667"/>
      <c r="M5" s="1667"/>
      <c r="N5" s="1667"/>
      <c r="O5" s="1667"/>
      <c r="P5" s="1667"/>
      <c r="Q5" s="1667"/>
      <c r="R5" s="1667"/>
      <c r="S5" s="1667"/>
    </row>
    <row r="6" spans="1:22">
      <c r="A6" s="2812" t="str">
        <f>'数据-取费表'!AN6</f>
        <v>收益法 (元)</v>
      </c>
      <c r="B6" s="2810">
        <f ca="1">IF(F6="是",'数据-取费表'!AO6,0)</f>
        <v>4367</v>
      </c>
      <c r="C6" s="2051" t="s">
        <v>2339</v>
      </c>
      <c r="D6" s="2919"/>
      <c r="E6" s="2814">
        <f>IF(OR(A6=0,F6="否"),0,'数据-取费表'!K6+'数据-取费表'!S6)</f>
        <v>1954.06</v>
      </c>
      <c r="F6" s="2055" t="s">
        <v>2345</v>
      </c>
      <c r="G6" s="1667"/>
      <c r="H6" s="1667"/>
      <c r="I6" s="1667"/>
      <c r="J6" s="1667"/>
      <c r="K6" s="1667"/>
      <c r="L6" s="1667"/>
      <c r="M6" s="1667"/>
      <c r="N6" s="1667"/>
      <c r="O6" s="1667"/>
      <c r="P6" s="1667"/>
      <c r="Q6" s="1667"/>
      <c r="R6" s="1667"/>
      <c r="S6" s="1667"/>
    </row>
    <row r="7" spans="1:22">
      <c r="A7" s="2812">
        <f>'数据-取费表'!AN7</f>
        <v>0</v>
      </c>
      <c r="B7" s="2810" t="e">
        <f ca="1">IF(F7="是",'数据-取费表'!AO7,0)</f>
        <v>#REF!</v>
      </c>
      <c r="C7" s="2051" t="s">
        <v>2339</v>
      </c>
      <c r="D7" s="2919"/>
      <c r="E7" s="2814">
        <f>IF(OR(A7=0,F7="否"),0,'数据-取费表'!K7+'数据-取费表'!S7)</f>
        <v>0</v>
      </c>
      <c r="F7" s="2055" t="s">
        <v>2345</v>
      </c>
      <c r="G7" s="1667"/>
      <c r="H7" s="1667"/>
      <c r="I7" s="1667"/>
      <c r="J7" s="1667"/>
      <c r="K7" s="1667"/>
      <c r="L7" s="1667"/>
      <c r="M7" s="1667"/>
      <c r="N7" s="1667"/>
      <c r="O7" s="1667"/>
      <c r="P7" s="1667"/>
      <c r="Q7" s="1667"/>
      <c r="R7" s="1667"/>
      <c r="S7" s="1667"/>
    </row>
    <row r="8" spans="1:22">
      <c r="A8" s="2812">
        <f>'数据-取费表'!AN8</f>
        <v>0</v>
      </c>
      <c r="B8" s="2810" t="e">
        <f ca="1">IF(F8="是",'数据-取费表'!AO8,0)</f>
        <v>#REF!</v>
      </c>
      <c r="C8" s="2051" t="s">
        <v>2339</v>
      </c>
      <c r="D8" s="2919"/>
      <c r="E8" s="2814">
        <f>IF(OR(A8=0,F8="否"),0,'数据-取费表'!K8+'数据-取费表'!S8)</f>
        <v>0</v>
      </c>
      <c r="F8" s="2055" t="s">
        <v>2345</v>
      </c>
      <c r="G8" s="1667"/>
      <c r="H8" s="1667"/>
      <c r="I8" s="1667"/>
      <c r="J8" s="1667"/>
      <c r="K8" s="1667"/>
      <c r="L8" s="1667"/>
      <c r="M8" s="1667"/>
      <c r="N8" s="1667"/>
      <c r="O8" s="1667"/>
      <c r="P8" s="1667"/>
      <c r="Q8" s="1667"/>
      <c r="R8" s="1667"/>
      <c r="S8" s="1667"/>
    </row>
    <row r="9" spans="1:22">
      <c r="A9" s="2812">
        <f>'数据-取费表'!AN9</f>
        <v>0</v>
      </c>
      <c r="B9" s="2810" t="e">
        <f ca="1">IF(F9="是",'数据-取费表'!AO9,0)</f>
        <v>#REF!</v>
      </c>
      <c r="C9" s="2051" t="s">
        <v>2339</v>
      </c>
      <c r="D9" s="2919"/>
      <c r="E9" s="2814">
        <f>IF(OR(A9=0,F9="否"),0,'数据-取费表'!K9+'数据-取费表'!S9)</f>
        <v>0</v>
      </c>
      <c r="F9" s="2055" t="s">
        <v>2345</v>
      </c>
      <c r="G9" s="1667"/>
      <c r="H9" s="1667"/>
      <c r="I9" s="1667"/>
      <c r="J9" s="1667"/>
      <c r="K9" s="1667"/>
      <c r="L9" s="1667"/>
      <c r="M9" s="1667"/>
      <c r="N9" s="1667"/>
      <c r="O9" s="1667"/>
      <c r="P9" s="1667"/>
      <c r="Q9" s="1667"/>
      <c r="R9" s="1667"/>
      <c r="S9" s="1667"/>
    </row>
    <row r="10" spans="1:22">
      <c r="A10" s="2812">
        <f>'数据-取费表'!AN10</f>
        <v>0</v>
      </c>
      <c r="B10" s="2810" t="e">
        <f ca="1">IF(F10="是",'数据-取费表'!AO10,0)</f>
        <v>#REF!</v>
      </c>
      <c r="C10" s="2051" t="s">
        <v>2339</v>
      </c>
      <c r="D10" s="2919"/>
      <c r="E10" s="2814">
        <f>IF(OR(A10=0,F10="否"),0,'数据-取费表'!K10+'数据-取费表'!S10)</f>
        <v>0</v>
      </c>
      <c r="F10" s="2055" t="s">
        <v>2345</v>
      </c>
      <c r="G10" s="1667"/>
      <c r="H10" s="1667"/>
      <c r="I10" s="1667"/>
      <c r="J10" s="1667"/>
      <c r="K10" s="1667"/>
      <c r="L10" s="1667"/>
      <c r="M10" s="1667"/>
      <c r="N10" s="1667"/>
      <c r="O10" s="1667"/>
      <c r="P10" s="1667"/>
      <c r="Q10" s="1667"/>
      <c r="R10" s="1667"/>
      <c r="S10" s="1667"/>
    </row>
    <row r="11" spans="1:22">
      <c r="A11" s="2812">
        <f>'数据-取费表'!AN11</f>
        <v>0</v>
      </c>
      <c r="B11" s="2810" t="e">
        <f ca="1">IF(F11="是",'数据-取费表'!AO11,0)</f>
        <v>#REF!</v>
      </c>
      <c r="C11" s="2051" t="s">
        <v>2339</v>
      </c>
      <c r="D11" s="2919"/>
      <c r="E11" s="2814">
        <f>IF(OR(A11=0,F11="否"),0,'数据-取费表'!K11+'数据-取费表'!S11)</f>
        <v>0</v>
      </c>
      <c r="F11" s="2055" t="s">
        <v>2345</v>
      </c>
      <c r="G11" s="1667"/>
      <c r="H11" s="1667"/>
      <c r="I11" s="1667"/>
      <c r="J11" s="1667"/>
      <c r="K11" s="1667"/>
      <c r="L11" s="1667"/>
      <c r="M11" s="1667"/>
      <c r="N11" s="1667"/>
      <c r="O11" s="1667"/>
      <c r="P11" s="1667"/>
      <c r="Q11" s="1667"/>
      <c r="R11" s="1667"/>
      <c r="S11" s="1667"/>
    </row>
    <row r="12" spans="1:22">
      <c r="A12" s="2812">
        <f>'数据-取费表'!AN12</f>
        <v>0</v>
      </c>
      <c r="B12" s="2810" t="e">
        <f ca="1">IF(F12="是",'数据-取费表'!AO12,0)</f>
        <v>#REF!</v>
      </c>
      <c r="C12" s="2051" t="s">
        <v>2339</v>
      </c>
      <c r="D12" s="2919"/>
      <c r="E12" s="2814">
        <f>IF(OR(A12=0,F12="否"),0,'数据-取费表'!K12+'数据-取费表'!S12)</f>
        <v>0</v>
      </c>
      <c r="F12" s="2055" t="s">
        <v>2345</v>
      </c>
      <c r="G12" s="1667"/>
      <c r="H12" s="1667"/>
      <c r="I12" s="1667"/>
      <c r="J12" s="1667"/>
      <c r="K12" s="1667"/>
      <c r="L12" s="1667"/>
      <c r="M12" s="1667"/>
      <c r="N12" s="1667"/>
      <c r="O12" s="1667"/>
      <c r="P12" s="1667"/>
      <c r="Q12" s="1667"/>
      <c r="R12" s="1667"/>
      <c r="S12" s="1667"/>
    </row>
    <row r="13" spans="1:22" ht="15" thickBot="1">
      <c r="A13" s="2813">
        <f>'数据-取费表'!AN13</f>
        <v>0</v>
      </c>
      <c r="B13" s="2810" t="e">
        <f ca="1">IF(F13="是",'数据-取费表'!AO13,0)</f>
        <v>#REF!</v>
      </c>
      <c r="C13" s="2056" t="s">
        <v>2339</v>
      </c>
      <c r="D13" s="2920"/>
      <c r="E13" s="2814">
        <f>IF(OR(A13=0,F13="否"),0,'数据-取费表'!K13+'数据-取费表'!S13)</f>
        <v>0</v>
      </c>
      <c r="F13" s="2055" t="s">
        <v>2345</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8" t="s">
        <v>1044</v>
      </c>
      <c r="B1" s="3359"/>
      <c r="C1" s="3360"/>
      <c r="D1" s="3361">
        <f>SUM(I10,I15,I20,I21,I23)</f>
        <v>0</v>
      </c>
      <c r="E1" s="3361"/>
      <c r="F1" s="3361"/>
      <c r="G1" s="3361"/>
      <c r="H1" s="3361"/>
      <c r="I1" s="3362"/>
    </row>
    <row r="2" spans="1:9">
      <c r="A2" s="3363" t="s">
        <v>1045</v>
      </c>
      <c r="B2" s="3364" t="s">
        <v>1046</v>
      </c>
      <c r="C2" s="3364"/>
      <c r="D2" s="1206" t="s">
        <v>1047</v>
      </c>
      <c r="E2" s="1206" t="s">
        <v>1048</v>
      </c>
      <c r="F2" s="1206" t="s">
        <v>1049</v>
      </c>
      <c r="G2" s="1206" t="s">
        <v>1050</v>
      </c>
      <c r="H2" s="1206" t="s">
        <v>1051</v>
      </c>
      <c r="I2" s="1207" t="s">
        <v>1052</v>
      </c>
    </row>
    <row r="3" spans="1:9">
      <c r="A3" s="3363"/>
      <c r="B3" s="3364" t="s">
        <v>1053</v>
      </c>
      <c r="C3" s="3364"/>
      <c r="D3" s="1208"/>
      <c r="E3" s="1206"/>
      <c r="F3" s="1209"/>
      <c r="G3" s="1209"/>
      <c r="H3" s="1210"/>
      <c r="I3" s="1211">
        <f>ROUND(D3*E3*F3*G3*H3/10000,0)</f>
        <v>0</v>
      </c>
    </row>
    <row r="4" spans="1:9">
      <c r="A4" s="3363"/>
      <c r="B4" s="3364" t="s">
        <v>1054</v>
      </c>
      <c r="C4" s="3364"/>
      <c r="D4" s="1208"/>
      <c r="E4" s="1206"/>
      <c r="F4" s="1209"/>
      <c r="G4" s="1209"/>
      <c r="H4" s="1210"/>
      <c r="I4" s="1211">
        <f t="shared" ref="I4:I9" si="0">ROUND(D4*E4*F4*G4*H4/10000,0)</f>
        <v>0</v>
      </c>
    </row>
    <row r="5" spans="1:9">
      <c r="A5" s="3363"/>
      <c r="B5" s="3364" t="s">
        <v>1055</v>
      </c>
      <c r="C5" s="3364"/>
      <c r="D5" s="1208"/>
      <c r="E5" s="1206"/>
      <c r="F5" s="1209"/>
      <c r="G5" s="1209"/>
      <c r="H5" s="1210"/>
      <c r="I5" s="1211">
        <f t="shared" si="0"/>
        <v>0</v>
      </c>
    </row>
    <row r="6" spans="1:9">
      <c r="A6" s="3363"/>
      <c r="B6" s="3364" t="s">
        <v>1056</v>
      </c>
      <c r="C6" s="3364"/>
      <c r="D6" s="1208"/>
      <c r="E6" s="1206"/>
      <c r="F6" s="1209"/>
      <c r="G6" s="1209"/>
      <c r="H6" s="1210"/>
      <c r="I6" s="1211">
        <f t="shared" si="0"/>
        <v>0</v>
      </c>
    </row>
    <row r="7" spans="1:9">
      <c r="A7" s="3363"/>
      <c r="B7" s="3364" t="s">
        <v>1057</v>
      </c>
      <c r="C7" s="3364"/>
      <c r="D7" s="1208"/>
      <c r="E7" s="1206"/>
      <c r="F7" s="1209"/>
      <c r="G7" s="1209"/>
      <c r="H7" s="1210"/>
      <c r="I7" s="1211">
        <f t="shared" si="0"/>
        <v>0</v>
      </c>
    </row>
    <row r="8" spans="1:9">
      <c r="A8" s="3363"/>
      <c r="B8" s="3364" t="s">
        <v>1058</v>
      </c>
      <c r="C8" s="3364"/>
      <c r="D8" s="1208"/>
      <c r="E8" s="1206"/>
      <c r="F8" s="1209"/>
      <c r="G8" s="1209"/>
      <c r="H8" s="1210"/>
      <c r="I8" s="1211">
        <f t="shared" si="0"/>
        <v>0</v>
      </c>
    </row>
    <row r="9" spans="1:9">
      <c r="A9" s="3363"/>
      <c r="B9" s="3364" t="s">
        <v>1059</v>
      </c>
      <c r="C9" s="3364"/>
      <c r="D9" s="1208"/>
      <c r="E9" s="1206"/>
      <c r="F9" s="1209"/>
      <c r="G9" s="1209"/>
      <c r="H9" s="1210"/>
      <c r="I9" s="1211">
        <f t="shared" si="0"/>
        <v>0</v>
      </c>
    </row>
    <row r="10" spans="1:9">
      <c r="A10" s="3363"/>
      <c r="B10" s="3365" t="s">
        <v>1060</v>
      </c>
      <c r="C10" s="3365"/>
      <c r="D10" s="1212"/>
      <c r="E10" s="1212" t="e">
        <f>ROUND(D1*10000/D10/H9,0)</f>
        <v>#DIV/0!</v>
      </c>
      <c r="F10" s="1213"/>
      <c r="G10" s="1213"/>
      <c r="H10" s="1214"/>
      <c r="I10" s="1215">
        <f>SUM(I3:I9)</f>
        <v>0</v>
      </c>
    </row>
    <row r="11" spans="1:9" ht="14.25">
      <c r="A11" s="3363" t="s">
        <v>1061</v>
      </c>
      <c r="B11" s="3364" t="s">
        <v>1062</v>
      </c>
      <c r="C11" s="3364"/>
      <c r="D11" s="1208" t="s">
        <v>1063</v>
      </c>
      <c r="E11" s="1208" t="s">
        <v>1064</v>
      </c>
      <c r="F11" s="1209" t="s">
        <v>1065</v>
      </c>
      <c r="G11" s="1209" t="s">
        <v>1051</v>
      </c>
      <c r="H11" s="1216" t="s">
        <v>1066</v>
      </c>
      <c r="I11" s="1207" t="s">
        <v>1052</v>
      </c>
    </row>
    <row r="12" spans="1:9">
      <c r="A12" s="3363"/>
      <c r="B12" s="3364" t="s">
        <v>1067</v>
      </c>
      <c r="C12" s="3364"/>
      <c r="D12" s="1208"/>
      <c r="E12" s="1208"/>
      <c r="F12" s="1209"/>
      <c r="G12" s="1210"/>
      <c r="H12" s="1217"/>
      <c r="I12" s="1207">
        <f>ROUND(D12*E12*F12*G12/10000,0)</f>
        <v>0</v>
      </c>
    </row>
    <row r="13" spans="1:9">
      <c r="A13" s="3363"/>
      <c r="B13" s="3364" t="s">
        <v>1068</v>
      </c>
      <c r="C13" s="3364"/>
      <c r="D13" s="1208"/>
      <c r="E13" s="1208"/>
      <c r="F13" s="1209"/>
      <c r="G13" s="1210"/>
      <c r="H13" s="1217"/>
      <c r="I13" s="1207">
        <f>ROUND(D13*E13*F13*G13/10000,0)</f>
        <v>0</v>
      </c>
    </row>
    <row r="14" spans="1:9">
      <c r="A14" s="3363"/>
      <c r="B14" s="3364" t="s">
        <v>1069</v>
      </c>
      <c r="C14" s="3364"/>
      <c r="D14" s="1208"/>
      <c r="E14" s="1208"/>
      <c r="F14" s="1209"/>
      <c r="G14" s="1210"/>
      <c r="H14" s="1217"/>
      <c r="I14" s="1207">
        <f>ROUND(D14*E14*F14*G14/10000,0)</f>
        <v>0</v>
      </c>
    </row>
    <row r="15" spans="1:9">
      <c r="A15" s="3363"/>
      <c r="B15" s="3365" t="s">
        <v>1060</v>
      </c>
      <c r="C15" s="3365"/>
      <c r="D15" s="1212"/>
      <c r="E15" s="1212">
        <f>SUM(E12:E14)</f>
        <v>0</v>
      </c>
      <c r="F15" s="1213"/>
      <c r="G15" s="1210"/>
      <c r="H15" s="1217"/>
      <c r="I15" s="1218">
        <f>SUM(I12:I14)</f>
        <v>0</v>
      </c>
    </row>
    <row r="16" spans="1:9" ht="24">
      <c r="A16" s="3363" t="s">
        <v>1070</v>
      </c>
      <c r="B16" s="3364" t="s">
        <v>1071</v>
      </c>
      <c r="C16" s="3364"/>
      <c r="D16" s="1208" t="s">
        <v>1047</v>
      </c>
      <c r="E16" s="1219" t="s">
        <v>1072</v>
      </c>
      <c r="F16" s="1209" t="s">
        <v>1073</v>
      </c>
      <c r="G16" s="1210" t="s">
        <v>1051</v>
      </c>
      <c r="H16" s="1216" t="s">
        <v>1066</v>
      </c>
      <c r="I16" s="1207" t="s">
        <v>1052</v>
      </c>
    </row>
    <row r="17" spans="1:9" ht="14.25">
      <c r="A17" s="3363"/>
      <c r="B17" s="3364" t="s">
        <v>1074</v>
      </c>
      <c r="C17" s="3364"/>
      <c r="D17" s="1208"/>
      <c r="E17" s="1208"/>
      <c r="F17" s="1209"/>
      <c r="G17" s="1210"/>
      <c r="H17" s="1220"/>
      <c r="I17" s="1221">
        <f>ROUND(D17*E17*F17*G17/10000,0)</f>
        <v>0</v>
      </c>
    </row>
    <row r="18" spans="1:9" ht="14.25">
      <c r="A18" s="3363"/>
      <c r="B18" s="3364" t="s">
        <v>1075</v>
      </c>
      <c r="C18" s="3364"/>
      <c r="D18" s="1208"/>
      <c r="E18" s="1208"/>
      <c r="F18" s="1209"/>
      <c r="G18" s="1210"/>
      <c r="H18" s="1220"/>
      <c r="I18" s="1221">
        <f>ROUND(D18*E18*F18*G18/10000,0)</f>
        <v>0</v>
      </c>
    </row>
    <row r="19" spans="1:9" ht="14.25">
      <c r="A19" s="3363"/>
      <c r="B19" s="3364" t="s">
        <v>1076</v>
      </c>
      <c r="C19" s="3364"/>
      <c r="D19" s="1208"/>
      <c r="E19" s="1208"/>
      <c r="F19" s="1209"/>
      <c r="G19" s="1210"/>
      <c r="H19" s="1220"/>
      <c r="I19" s="1221">
        <f>ROUND(D19*E19*F19*G19/10000,0)</f>
        <v>0</v>
      </c>
    </row>
    <row r="20" spans="1:9">
      <c r="A20" s="3363"/>
      <c r="B20" s="3365" t="s">
        <v>1060</v>
      </c>
      <c r="C20" s="3365"/>
      <c r="D20" s="1212">
        <f>SUM(D17:D19)</f>
        <v>0</v>
      </c>
      <c r="E20" s="1212"/>
      <c r="F20" s="1213"/>
      <c r="G20" s="1210"/>
      <c r="H20" s="1217"/>
      <c r="I20" s="1218">
        <f>SUM(I17:I19)</f>
        <v>0</v>
      </c>
    </row>
    <row r="21" spans="1:9">
      <c r="A21" s="3363" t="s">
        <v>1077</v>
      </c>
      <c r="B21" s="3367"/>
      <c r="C21" s="3367"/>
      <c r="D21" s="3367"/>
      <c r="E21" s="3367"/>
      <c r="F21" s="3367"/>
      <c r="G21" s="3367"/>
      <c r="H21" s="1496">
        <v>0.1</v>
      </c>
      <c r="I21" s="1215">
        <f>ROUND(I10*H21,0)</f>
        <v>0</v>
      </c>
    </row>
    <row r="22" spans="1:9" ht="14.25">
      <c r="A22" s="3368" t="s">
        <v>1078</v>
      </c>
      <c r="B22" s="3369"/>
      <c r="C22" s="3370"/>
      <c r="D22" s="1222" t="s">
        <v>1079</v>
      </c>
      <c r="E22" s="1222" t="s">
        <v>1080</v>
      </c>
      <c r="F22" s="1223" t="s">
        <v>1081</v>
      </c>
      <c r="G22" s="1223" t="s">
        <v>1082</v>
      </c>
      <c r="H22" s="1216" t="s">
        <v>1083</v>
      </c>
      <c r="I22" s="1207" t="s">
        <v>1084</v>
      </c>
    </row>
    <row r="23" spans="1:9" ht="14.25" thickBot="1">
      <c r="A23" s="3371"/>
      <c r="B23" s="3372"/>
      <c r="C23" s="3373"/>
      <c r="D23" s="1224"/>
      <c r="E23" s="1224"/>
      <c r="F23" s="1224"/>
      <c r="G23" s="1225"/>
      <c r="H23" s="1226"/>
      <c r="I23" s="1227">
        <f>ROUND(E23*D23*F23*(1-G23)/10000,0)</f>
        <v>0</v>
      </c>
    </row>
    <row r="26" spans="1:9">
      <c r="A26" s="1228" t="s">
        <v>1085</v>
      </c>
      <c r="B26" s="1228"/>
      <c r="C26" s="1228"/>
      <c r="D26" s="1228"/>
      <c r="E26" s="3374">
        <f>C27-C30-C31-C32</f>
        <v>0</v>
      </c>
      <c r="F26" s="3374"/>
      <c r="G26" s="3374"/>
      <c r="H26" s="1493" t="s">
        <v>1306</v>
      </c>
    </row>
    <row r="27" spans="1:9">
      <c r="A27" s="1229">
        <v>1</v>
      </c>
      <c r="B27" s="1230" t="s">
        <v>1086</v>
      </c>
      <c r="C27" s="1230">
        <f>C28+C29</f>
        <v>0</v>
      </c>
      <c r="D27" s="1230"/>
      <c r="E27" s="3375"/>
      <c r="F27" s="3375"/>
      <c r="G27" s="3375"/>
    </row>
    <row r="28" spans="1:9">
      <c r="A28" s="1231" t="s">
        <v>1087</v>
      </c>
      <c r="B28" s="1230" t="s">
        <v>1088</v>
      </c>
      <c r="C28" s="1230"/>
      <c r="D28" s="1230"/>
      <c r="E28" s="3375"/>
      <c r="F28" s="3375"/>
      <c r="G28" s="3375"/>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66"/>
      <c r="F32" s="3366"/>
      <c r="G32" s="3366"/>
    </row>
    <row r="33" spans="1:7" hidden="1">
      <c r="A33" s="3376" t="s">
        <v>1097</v>
      </c>
      <c r="B33" s="3377"/>
      <c r="C33" s="3377"/>
      <c r="D33" s="3378"/>
      <c r="E33" s="3374"/>
      <c r="F33" s="3374"/>
      <c r="G33" s="3374"/>
    </row>
    <row r="34" spans="1:7" hidden="1">
      <c r="A34" s="1233">
        <v>1</v>
      </c>
      <c r="B34" s="1230" t="s">
        <v>1098</v>
      </c>
      <c r="C34" s="1230"/>
      <c r="D34" s="1230"/>
      <c r="E34" s="3375"/>
      <c r="F34" s="3375"/>
      <c r="G34" s="3375"/>
    </row>
    <row r="35" spans="1:7" hidden="1">
      <c r="A35" s="1233">
        <v>2</v>
      </c>
      <c r="B35" s="1230" t="s">
        <v>1099</v>
      </c>
      <c r="C35" s="1230"/>
      <c r="D35" s="1230"/>
      <c r="E35" s="3375"/>
      <c r="F35" s="3375"/>
      <c r="G35" s="3375"/>
    </row>
    <row r="36" spans="1:7" hidden="1">
      <c r="A36" s="1233">
        <v>3</v>
      </c>
      <c r="B36" s="1230" t="s">
        <v>1100</v>
      </c>
      <c r="C36" s="1230"/>
      <c r="D36" s="1230"/>
      <c r="E36" s="3375"/>
      <c r="F36" s="3375"/>
      <c r="G36" s="3375"/>
    </row>
    <row r="37" spans="1:7" hidden="1">
      <c r="A37" s="1233">
        <v>4</v>
      </c>
      <c r="B37" s="1230" t="s">
        <v>1101</v>
      </c>
      <c r="C37" s="1230"/>
      <c r="D37" s="1230"/>
      <c r="E37" s="3375"/>
      <c r="F37" s="3375"/>
      <c r="G37" s="3375"/>
    </row>
    <row r="38" spans="1:7" hidden="1">
      <c r="A38" s="3376" t="s">
        <v>1102</v>
      </c>
      <c r="B38" s="3377"/>
      <c r="C38" s="3377"/>
      <c r="D38" s="3378"/>
      <c r="E38" s="3374"/>
      <c r="F38" s="3374"/>
      <c r="G38" s="33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3" t="s">
        <v>2522</v>
      </c>
      <c r="C1" s="1387" t="s">
        <v>2350</v>
      </c>
      <c r="D1" s="1388"/>
      <c r="E1" s="1397"/>
      <c r="F1" s="2058"/>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IF(C2="——",ROUND(C43*D3/10000,0),ROUND(C43*D3/10000,0)-D2)</f>
        <v>#DIV/0!</v>
      </c>
      <c r="C2" s="2060"/>
      <c r="D2" s="1035" t="e">
        <f ca="1">SUMIF(INDIRECT("'"&amp;F2&amp;"'"&amp;"!A:A"),"承租人权益价值",INDIRECT("'"&amp;F2&amp;"'"&amp;"!c:c"))</f>
        <v>#REF!</v>
      </c>
      <c r="E2" s="2061" t="s">
        <v>2148</v>
      </c>
      <c r="F2" s="2062"/>
      <c r="G2" s="1036"/>
      <c r="H2" s="1036"/>
      <c r="I2" s="1036"/>
      <c r="J2" s="1036"/>
      <c r="K2" s="1036"/>
      <c r="L2" s="1039"/>
      <c r="M2" s="1040"/>
      <c r="N2" s="1040"/>
      <c r="O2" s="1040"/>
      <c r="P2" s="706"/>
      <c r="Q2" s="706"/>
      <c r="R2" s="706"/>
      <c r="S2" s="706"/>
      <c r="T2" s="706"/>
      <c r="U2" s="706"/>
      <c r="V2" s="706"/>
      <c r="W2" s="706"/>
      <c r="X2" s="706"/>
      <c r="Y2" s="706"/>
      <c r="Z2" s="706"/>
      <c r="AA2" s="706"/>
      <c r="AB2" s="706"/>
      <c r="AC2" s="720"/>
    </row>
    <row r="3" spans="1:29" s="358" customFormat="1" ht="28.5" customHeight="1" thickBot="1">
      <c r="A3" s="209" t="s">
        <v>2149</v>
      </c>
      <c r="B3" s="566" t="e">
        <f ca="1">IF(C2="——",C43,ROUND(B2*10000/D3,0))</f>
        <v>#DIV/0!</v>
      </c>
      <c r="C3" s="360" t="s">
        <v>2464</v>
      </c>
      <c r="D3" s="359">
        <f>IF(D1="",'数据-汇总表'!E3,SUMIF('数据-汇总表'!$C19:$C33,D1,'数据-汇总表'!$E19:$E33))</f>
        <v>1954.06</v>
      </c>
      <c r="E3" s="1036"/>
      <c r="F3" s="1037"/>
      <c r="G3" s="1036"/>
      <c r="H3" s="1036"/>
      <c r="I3" s="1036"/>
      <c r="J3" s="1036"/>
      <c r="K3" s="1038"/>
      <c r="L3" s="1039"/>
      <c r="M3" s="1040"/>
      <c r="N3" s="1040"/>
      <c r="O3" s="1040"/>
      <c r="P3" s="706"/>
      <c r="Q3" s="706"/>
      <c r="R3" s="706"/>
      <c r="S3" s="706"/>
      <c r="T3" s="706"/>
      <c r="U3" s="706"/>
      <c r="V3" s="706"/>
      <c r="W3" s="706"/>
      <c r="X3" s="706"/>
      <c r="Y3" s="706"/>
      <c r="Z3" s="706"/>
      <c r="AA3" s="706"/>
      <c r="AB3" s="723"/>
      <c r="AC3" s="720"/>
    </row>
    <row r="4" spans="1:29" ht="15">
      <c r="A4" s="361" t="s">
        <v>2465</v>
      </c>
      <c r="B4" s="362"/>
      <c r="C4" s="3310" t="s">
        <v>2466</v>
      </c>
      <c r="D4" s="3311"/>
      <c r="E4" s="3312" t="s">
        <v>2467</v>
      </c>
      <c r="F4" s="3313"/>
      <c r="G4" s="3310" t="s">
        <v>2468</v>
      </c>
      <c r="H4" s="3311"/>
      <c r="I4" s="3310" t="s">
        <v>2469</v>
      </c>
      <c r="J4" s="3311"/>
      <c r="K4" s="567" t="s">
        <v>2470</v>
      </c>
      <c r="L4" s="1041"/>
      <c r="M4" s="1042"/>
      <c r="N4" s="1042"/>
      <c r="O4" s="1042"/>
      <c r="P4" s="3314" t="s">
        <v>2471</v>
      </c>
      <c r="Q4" s="3315"/>
      <c r="R4" s="3297" t="s">
        <v>2467</v>
      </c>
      <c r="S4" s="3298"/>
      <c r="T4" s="3297" t="s">
        <v>2468</v>
      </c>
      <c r="U4" s="3298"/>
      <c r="V4" s="3322" t="s">
        <v>2469</v>
      </c>
      <c r="W4" s="3322"/>
      <c r="X4" s="1532"/>
      <c r="Y4" s="3297" t="s">
        <v>2471</v>
      </c>
      <c r="Z4" s="3298"/>
      <c r="AA4" s="3292" t="s">
        <v>2467</v>
      </c>
      <c r="AB4" s="3293" t="s">
        <v>2468</v>
      </c>
      <c r="AC4" s="3292" t="s">
        <v>2469</v>
      </c>
    </row>
    <row r="5" spans="1:29" ht="15">
      <c r="A5" s="364"/>
      <c r="B5" s="365"/>
      <c r="C5" s="3303" t="s">
        <v>2362</v>
      </c>
      <c r="D5" s="3304"/>
      <c r="E5" s="3379" t="s">
        <v>2363</v>
      </c>
      <c r="F5" s="3302"/>
      <c r="G5" s="3303" t="s">
        <v>2364</v>
      </c>
      <c r="H5" s="3304"/>
      <c r="I5" s="3303" t="s">
        <v>2365</v>
      </c>
      <c r="J5" s="3304"/>
      <c r="K5" s="567"/>
      <c r="L5" s="1041"/>
      <c r="M5" s="1042"/>
      <c r="N5" s="1042"/>
      <c r="O5" s="1042"/>
      <c r="P5" s="3316"/>
      <c r="Q5" s="3317"/>
      <c r="R5" s="3299"/>
      <c r="S5" s="3300"/>
      <c r="T5" s="3299"/>
      <c r="U5" s="3300"/>
      <c r="V5" s="3322"/>
      <c r="W5" s="3322"/>
      <c r="X5" s="1532"/>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1041"/>
      <c r="M6" s="1042"/>
      <c r="N6" s="1042"/>
      <c r="O6" s="1042"/>
      <c r="P6" s="3318"/>
      <c r="Q6" s="3319"/>
      <c r="R6" s="3299"/>
      <c r="S6" s="3300"/>
      <c r="T6" s="3320"/>
      <c r="U6" s="3321"/>
      <c r="V6" s="3322"/>
      <c r="W6" s="3322"/>
      <c r="X6" s="1532"/>
      <c r="Y6" s="3320"/>
      <c r="Z6" s="3321"/>
      <c r="AA6" s="3294"/>
      <c r="AB6" s="3294"/>
      <c r="AC6" s="3294"/>
    </row>
    <row r="7" spans="1:29" s="113" customFormat="1" ht="15.75" thickBot="1">
      <c r="A7" s="368" t="s">
        <v>2368</v>
      </c>
      <c r="B7" s="369"/>
      <c r="C7" s="370">
        <f>'数据-取费表'!B2</f>
        <v>44336</v>
      </c>
      <c r="D7" s="371">
        <v>100</v>
      </c>
      <c r="E7" s="372"/>
      <c r="F7" s="373">
        <f>SUMIF(52:52,YEAR(E7)&amp;"-"&amp;MONTH(E7),53:53)</f>
        <v>0</v>
      </c>
      <c r="G7" s="372"/>
      <c r="H7" s="371">
        <f>SUMIF(52:52,YEAR(G7)&amp;"-"&amp;MONTH(G7),53:53)</f>
        <v>0</v>
      </c>
      <c r="I7" s="372"/>
      <c r="J7" s="371">
        <f>SUMIF(52:52,YEAR(I7)&amp;"-"&amp;MONTH(I7),53:53)</f>
        <v>0</v>
      </c>
      <c r="K7" s="568"/>
      <c r="L7" s="1043"/>
      <c r="M7" s="1044"/>
      <c r="N7" s="1044"/>
      <c r="O7" s="1044"/>
      <c r="P7" s="3295" t="s">
        <v>2369</v>
      </c>
      <c r="Q7" s="3323"/>
      <c r="R7" s="708" t="s">
        <v>17</v>
      </c>
      <c r="S7" s="709">
        <f t="shared" ref="S7:S15" si="0">F7</f>
        <v>0</v>
      </c>
      <c r="T7" s="708" t="s">
        <v>17</v>
      </c>
      <c r="U7" s="709">
        <f t="shared" ref="U7:U15" si="1">H7</f>
        <v>0</v>
      </c>
      <c r="V7" s="708" t="s">
        <v>17</v>
      </c>
      <c r="W7" s="709">
        <f t="shared" ref="W7:W15" si="2">J7</f>
        <v>0</v>
      </c>
      <c r="X7" s="710"/>
      <c r="Y7" s="3295" t="s">
        <v>2369</v>
      </c>
      <c r="Z7" s="3296"/>
      <c r="AA7" s="711" t="e">
        <f>D7/F7</f>
        <v>#DIV/0!</v>
      </c>
      <c r="AB7" s="711" t="e">
        <f>D7/H7</f>
        <v>#DIV/0!</v>
      </c>
      <c r="AC7" s="711"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295" t="s">
        <v>2372</v>
      </c>
      <c r="Q8" s="3296"/>
      <c r="R8" s="708" t="s">
        <v>17</v>
      </c>
      <c r="S8" s="709">
        <f t="shared" si="0"/>
        <v>0</v>
      </c>
      <c r="T8" s="708" t="s">
        <v>17</v>
      </c>
      <c r="U8" s="709">
        <f t="shared" si="1"/>
        <v>0</v>
      </c>
      <c r="V8" s="708" t="s">
        <v>17</v>
      </c>
      <c r="W8" s="709">
        <f t="shared" si="2"/>
        <v>0</v>
      </c>
      <c r="X8" s="710"/>
      <c r="Y8" s="3295" t="s">
        <v>2372</v>
      </c>
      <c r="Z8" s="3296"/>
      <c r="AA8" s="711" t="e">
        <f t="shared" ref="AA8:AA40" si="3">D8/F8</f>
        <v>#DIV/0!</v>
      </c>
      <c r="AB8" s="711" t="e">
        <f t="shared" ref="AB8:AB40" si="4">D8/H8</f>
        <v>#DIV/0!</v>
      </c>
      <c r="AC8" s="711"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27" t="s">
        <v>2375</v>
      </c>
      <c r="Q9" s="1520" t="str">
        <f t="shared" ref="Q9:Q15" si="6">B9</f>
        <v>用途</v>
      </c>
      <c r="R9" s="708" t="s">
        <v>17</v>
      </c>
      <c r="S9" s="709">
        <f t="shared" si="0"/>
        <v>100</v>
      </c>
      <c r="T9" s="708" t="s">
        <v>17</v>
      </c>
      <c r="U9" s="709">
        <f t="shared" si="1"/>
        <v>100</v>
      </c>
      <c r="V9" s="708" t="s">
        <v>17</v>
      </c>
      <c r="W9" s="709">
        <f t="shared" si="2"/>
        <v>100</v>
      </c>
      <c r="X9" s="710"/>
      <c r="Y9" s="3260"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27"/>
      <c r="Q10" s="1520" t="str">
        <f t="shared" si="6"/>
        <v>土地使用年限（年）</v>
      </c>
      <c r="R10" s="708" t="s">
        <v>17</v>
      </c>
      <c r="S10" s="709">
        <f t="shared" si="0"/>
        <v>100</v>
      </c>
      <c r="T10" s="708" t="s">
        <v>17</v>
      </c>
      <c r="U10" s="709">
        <f t="shared" si="1"/>
        <v>100</v>
      </c>
      <c r="V10" s="708" t="s">
        <v>17</v>
      </c>
      <c r="W10" s="709">
        <f t="shared" si="2"/>
        <v>100</v>
      </c>
      <c r="X10" s="710"/>
      <c r="Y10" s="3260"/>
      <c r="Z10" s="55" t="str">
        <f t="shared" si="7"/>
        <v>土地使用年限（年）</v>
      </c>
      <c r="AA10" s="711">
        <f t="shared" si="3"/>
        <v>1</v>
      </c>
      <c r="AB10" s="711">
        <f t="shared" si="4"/>
        <v>1</v>
      </c>
      <c r="AC10" s="711">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27"/>
      <c r="Q11" s="1520" t="str">
        <f t="shared" si="6"/>
        <v>容积率</v>
      </c>
      <c r="R11" s="708" t="s">
        <v>17</v>
      </c>
      <c r="S11" s="709" t="e">
        <f t="shared" si="0"/>
        <v>#N/A</v>
      </c>
      <c r="T11" s="708" t="s">
        <v>17</v>
      </c>
      <c r="U11" s="709" t="e">
        <f t="shared" si="1"/>
        <v>#N/A</v>
      </c>
      <c r="V11" s="708" t="s">
        <v>17</v>
      </c>
      <c r="W11" s="709" t="e">
        <f t="shared" si="2"/>
        <v>#N/A</v>
      </c>
      <c r="X11" s="710"/>
      <c r="Y11" s="3260"/>
      <c r="Z11" s="55" t="str">
        <f t="shared" si="7"/>
        <v>容积率</v>
      </c>
      <c r="AA11" s="711" t="e">
        <f t="shared" si="3"/>
        <v>#N/A</v>
      </c>
      <c r="AB11" s="711" t="e">
        <f t="shared" si="4"/>
        <v>#N/A</v>
      </c>
      <c r="AC11" s="711" t="e">
        <f t="shared" si="5"/>
        <v>#N/A</v>
      </c>
    </row>
    <row r="12" spans="1:29" s="113" customFormat="1" ht="15">
      <c r="A12" s="390"/>
      <c r="B12" s="2071">
        <v>111</v>
      </c>
      <c r="C12" s="391"/>
      <c r="D12" s="392">
        <v>100</v>
      </c>
      <c r="E12" s="393"/>
      <c r="F12" s="132">
        <f>SUMIF(64:64,E12,65:65)-SUMIF(64:64,C12,65:65)+100</f>
        <v>100</v>
      </c>
      <c r="G12" s="2146"/>
      <c r="H12" s="132">
        <f>SUMIF(64:64,G12,65:65)-SUMIF(64:64,C12,65:65)+100</f>
        <v>100</v>
      </c>
      <c r="I12" s="428"/>
      <c r="J12" s="132">
        <f>SUMIF(64:64,I12,65:65)-SUMIF(64:64,C12,65:65)+100</f>
        <v>100</v>
      </c>
      <c r="K12" s="570"/>
      <c r="L12" s="1043"/>
      <c r="M12" s="1044"/>
      <c r="N12" s="1044"/>
      <c r="O12" s="1045"/>
      <c r="P12" s="3327"/>
      <c r="Q12" s="1520">
        <f t="shared" si="6"/>
        <v>111</v>
      </c>
      <c r="R12" s="708" t="s">
        <v>17</v>
      </c>
      <c r="S12" s="709">
        <f t="shared" si="0"/>
        <v>100</v>
      </c>
      <c r="T12" s="708" t="s">
        <v>17</v>
      </c>
      <c r="U12" s="709">
        <f t="shared" si="1"/>
        <v>100</v>
      </c>
      <c r="V12" s="708" t="s">
        <v>17</v>
      </c>
      <c r="W12" s="709">
        <f t="shared" si="2"/>
        <v>100</v>
      </c>
      <c r="X12" s="710"/>
      <c r="Y12" s="3260"/>
      <c r="Z12" s="55">
        <f t="shared" si="7"/>
        <v>111</v>
      </c>
      <c r="AA12" s="711">
        <f>D12/F12</f>
        <v>1</v>
      </c>
      <c r="AB12" s="711">
        <f>D12/H12</f>
        <v>1</v>
      </c>
      <c r="AC12" s="711">
        <f>D12/J12</f>
        <v>1</v>
      </c>
    </row>
    <row r="13" spans="1:29" ht="15">
      <c r="A13" s="387"/>
      <c r="B13" s="2071">
        <v>111</v>
      </c>
      <c r="C13" s="393"/>
      <c r="D13" s="394">
        <v>100</v>
      </c>
      <c r="E13" s="393"/>
      <c r="F13" s="132">
        <f>SUMIF(66:66,E13,67:67)-SUMIF(66:66,C13,67:67)+100</f>
        <v>100</v>
      </c>
      <c r="G13" s="2146"/>
      <c r="H13" s="394">
        <f>SUMIF(66:66,G13,67:67)-SUMIF(66:66,C13,67:67)+100</f>
        <v>100</v>
      </c>
      <c r="I13" s="428"/>
      <c r="J13" s="394">
        <f>SUMIF(66:66,I13,67:67)-SUMIF(66:66,C13,67:67)+100</f>
        <v>100</v>
      </c>
      <c r="K13" s="570"/>
      <c r="L13" s="1051"/>
      <c r="M13" s="1042"/>
      <c r="N13" s="1042"/>
      <c r="O13" s="1050"/>
      <c r="P13" s="3327"/>
      <c r="Q13" s="1520">
        <f t="shared" si="6"/>
        <v>111</v>
      </c>
      <c r="R13" s="708" t="s">
        <v>17</v>
      </c>
      <c r="S13" s="709">
        <f t="shared" si="0"/>
        <v>100</v>
      </c>
      <c r="T13" s="708" t="s">
        <v>17</v>
      </c>
      <c r="U13" s="709">
        <f t="shared" si="1"/>
        <v>100</v>
      </c>
      <c r="V13" s="708" t="s">
        <v>17</v>
      </c>
      <c r="W13" s="709">
        <f t="shared" si="2"/>
        <v>100</v>
      </c>
      <c r="X13" s="710"/>
      <c r="Y13" s="3260"/>
      <c r="Z13" s="55">
        <f t="shared" si="7"/>
        <v>111</v>
      </c>
      <c r="AA13" s="711">
        <f t="shared" si="3"/>
        <v>1</v>
      </c>
      <c r="AB13" s="711">
        <f t="shared" si="4"/>
        <v>1</v>
      </c>
      <c r="AC13" s="711">
        <f t="shared" si="5"/>
        <v>1</v>
      </c>
    </row>
    <row r="14" spans="1:29" ht="15.75" thickBot="1">
      <c r="A14" s="395"/>
      <c r="B14" s="2073">
        <v>111</v>
      </c>
      <c r="C14" s="396"/>
      <c r="D14" s="397">
        <v>100</v>
      </c>
      <c r="E14" s="396"/>
      <c r="F14" s="397">
        <f>SUMIF(68:68,E14,69:69)-SUMIF(68:68,C14,69:69)+100</f>
        <v>100</v>
      </c>
      <c r="G14" s="2146"/>
      <c r="H14" s="397">
        <f>SUMIF(68:68,G14,69:69)-SUMIF(68:68,C14,69:69)+100</f>
        <v>100</v>
      </c>
      <c r="I14" s="428"/>
      <c r="J14" s="397">
        <f>SUMIF(68:68,I14,69:69)-SUMIF(68:68,C14,69:69)+100</f>
        <v>100</v>
      </c>
      <c r="K14" s="570"/>
      <c r="L14" s="1051"/>
      <c r="M14" s="1042"/>
      <c r="N14" s="1042"/>
      <c r="O14" s="1050"/>
      <c r="P14" s="3327"/>
      <c r="Q14" s="1520">
        <f t="shared" si="6"/>
        <v>111</v>
      </c>
      <c r="R14" s="708" t="s">
        <v>17</v>
      </c>
      <c r="S14" s="709">
        <f t="shared" si="0"/>
        <v>100</v>
      </c>
      <c r="T14" s="708" t="s">
        <v>17</v>
      </c>
      <c r="U14" s="709">
        <f t="shared" si="1"/>
        <v>100</v>
      </c>
      <c r="V14" s="708" t="s">
        <v>17</v>
      </c>
      <c r="W14" s="709">
        <f t="shared" si="2"/>
        <v>100</v>
      </c>
      <c r="X14" s="710"/>
      <c r="Y14" s="3260"/>
      <c r="Z14" s="55">
        <f t="shared" si="7"/>
        <v>111</v>
      </c>
      <c r="AA14" s="711">
        <f t="shared" si="3"/>
        <v>1</v>
      </c>
      <c r="AB14" s="711">
        <f t="shared" si="4"/>
        <v>1</v>
      </c>
      <c r="AC14" s="711">
        <f t="shared" si="5"/>
        <v>1</v>
      </c>
    </row>
    <row r="15" spans="1:29" ht="57">
      <c r="A15" s="399" t="s">
        <v>2379</v>
      </c>
      <c r="B15" s="65" t="s">
        <v>2523</v>
      </c>
      <c r="C15" s="214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29" t="s">
        <v>2380</v>
      </c>
      <c r="Q15" s="1529" t="str">
        <f t="shared" si="6"/>
        <v>产业集聚程度</v>
      </c>
      <c r="R15" s="712" t="s">
        <v>17</v>
      </c>
      <c r="S15" s="713">
        <f t="shared" si="0"/>
        <v>100</v>
      </c>
      <c r="T15" s="712" t="s">
        <v>17</v>
      </c>
      <c r="U15" s="713">
        <f t="shared" si="1"/>
        <v>100</v>
      </c>
      <c r="V15" s="712" t="s">
        <v>17</v>
      </c>
      <c r="W15" s="713">
        <f t="shared" si="2"/>
        <v>100</v>
      </c>
      <c r="X15" s="1532"/>
      <c r="Y15" s="3329" t="s">
        <v>2380</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51"/>
      <c r="M16" s="1042"/>
      <c r="N16" s="1042"/>
      <c r="O16" s="1050"/>
      <c r="P16" s="3330"/>
      <c r="Q16" s="1529"/>
      <c r="R16" s="712"/>
      <c r="S16" s="713"/>
      <c r="T16" s="712"/>
      <c r="U16" s="713"/>
      <c r="V16" s="712"/>
      <c r="W16" s="713"/>
      <c r="X16" s="1532"/>
      <c r="Y16" s="3330"/>
      <c r="Z16" s="1533"/>
      <c r="AA16" s="1530">
        <v>1</v>
      </c>
      <c r="AB16" s="1530">
        <v>1</v>
      </c>
      <c r="AC16" s="1530">
        <v>1</v>
      </c>
    </row>
    <row r="17" spans="1:29" ht="85.5">
      <c r="A17" s="387"/>
      <c r="B17" s="410" t="s">
        <v>1944</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30"/>
      <c r="Q17" s="1529" t="str">
        <f>B17</f>
        <v>交通便捷度</v>
      </c>
      <c r="R17" s="712" t="s">
        <v>17</v>
      </c>
      <c r="S17" s="713">
        <f>F17</f>
        <v>100</v>
      </c>
      <c r="T17" s="712" t="s">
        <v>17</v>
      </c>
      <c r="U17" s="713">
        <f>H17</f>
        <v>100</v>
      </c>
      <c r="V17" s="712" t="s">
        <v>17</v>
      </c>
      <c r="W17" s="713">
        <f>J17</f>
        <v>100</v>
      </c>
      <c r="X17" s="1532"/>
      <c r="Y17" s="3330"/>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51"/>
      <c r="M18" s="1042"/>
      <c r="N18" s="1042"/>
      <c r="O18" s="1050"/>
      <c r="P18" s="3330"/>
      <c r="Q18" s="1529"/>
      <c r="R18" s="712"/>
      <c r="S18" s="713"/>
      <c r="T18" s="712"/>
      <c r="U18" s="713"/>
      <c r="V18" s="712"/>
      <c r="W18" s="713"/>
      <c r="X18" s="1532"/>
      <c r="Y18" s="3330"/>
      <c r="Z18" s="1533"/>
      <c r="AA18" s="1530">
        <v>1</v>
      </c>
      <c r="AB18" s="1530">
        <v>1</v>
      </c>
      <c r="AC18" s="1530">
        <v>1</v>
      </c>
    </row>
    <row r="19" spans="1:29" ht="42.75">
      <c r="A19" s="387"/>
      <c r="B19" s="410" t="s">
        <v>2508</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30"/>
      <c r="Q19" s="1529" t="str">
        <f>B19</f>
        <v>公共配套设施</v>
      </c>
      <c r="R19" s="712" t="s">
        <v>17</v>
      </c>
      <c r="S19" s="713">
        <f>F19</f>
        <v>100</v>
      </c>
      <c r="T19" s="712" t="s">
        <v>17</v>
      </c>
      <c r="U19" s="713">
        <f>H19</f>
        <v>100</v>
      </c>
      <c r="V19" s="712" t="s">
        <v>17</v>
      </c>
      <c r="W19" s="713">
        <f>J19</f>
        <v>100</v>
      </c>
      <c r="X19" s="1532"/>
      <c r="Y19" s="3330"/>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51"/>
      <c r="M20" s="1042"/>
      <c r="N20" s="1042"/>
      <c r="O20" s="1050"/>
      <c r="P20" s="3330"/>
      <c r="Q20" s="1529"/>
      <c r="R20" s="712"/>
      <c r="S20" s="713"/>
      <c r="T20" s="712"/>
      <c r="U20" s="713"/>
      <c r="V20" s="712"/>
      <c r="W20" s="713"/>
      <c r="X20" s="1532"/>
      <c r="Y20" s="3330"/>
      <c r="Z20" s="1533"/>
      <c r="AA20" s="1530">
        <v>1</v>
      </c>
      <c r="AB20" s="1530">
        <v>1</v>
      </c>
      <c r="AC20" s="1530">
        <v>1</v>
      </c>
    </row>
    <row r="21" spans="1:29" ht="28.5">
      <c r="A21" s="387"/>
      <c r="B21" s="1288" t="s">
        <v>2509</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30"/>
      <c r="Q21" s="1529" t="str">
        <f>B21</f>
        <v>基础设施水平</v>
      </c>
      <c r="R21" s="712" t="s">
        <v>17</v>
      </c>
      <c r="S21" s="713">
        <f>F21</f>
        <v>100</v>
      </c>
      <c r="T21" s="712" t="s">
        <v>17</v>
      </c>
      <c r="U21" s="713">
        <f>H21</f>
        <v>100</v>
      </c>
      <c r="V21" s="712" t="s">
        <v>17</v>
      </c>
      <c r="W21" s="713">
        <f>J21</f>
        <v>100</v>
      </c>
      <c r="X21" s="1532"/>
      <c r="Y21" s="3330"/>
      <c r="Z21" s="1533" t="str">
        <f>Q21</f>
        <v>基础设施水平</v>
      </c>
      <c r="AA21" s="1530">
        <f t="shared" ref="AA21" si="8">D21/F21</f>
        <v>1</v>
      </c>
      <c r="AB21" s="1530">
        <f t="shared" ref="AB21" si="9">D21/H21</f>
        <v>1</v>
      </c>
      <c r="AC21" s="1530">
        <f t="shared" ref="AC21" si="10">D21/J21</f>
        <v>1</v>
      </c>
    </row>
    <row r="22" spans="1:29" ht="15">
      <c r="A22" s="387"/>
      <c r="B22" s="1288"/>
      <c r="C22" s="2079"/>
      <c r="D22" s="407"/>
      <c r="E22" s="406"/>
      <c r="F22" s="408"/>
      <c r="G22" s="406"/>
      <c r="H22" s="407"/>
      <c r="I22" s="406"/>
      <c r="J22" s="407"/>
      <c r="K22" s="1287"/>
      <c r="L22" s="1051"/>
      <c r="M22" s="1042"/>
      <c r="N22" s="1042"/>
      <c r="O22" s="1050"/>
      <c r="P22" s="3330"/>
      <c r="Q22" s="1529"/>
      <c r="R22" s="712"/>
      <c r="S22" s="713"/>
      <c r="T22" s="712"/>
      <c r="U22" s="713"/>
      <c r="V22" s="712"/>
      <c r="W22" s="713"/>
      <c r="X22" s="1532"/>
      <c r="Y22" s="3330"/>
      <c r="Z22" s="1533"/>
      <c r="AA22" s="1530">
        <v>1</v>
      </c>
      <c r="AB22" s="1530">
        <v>1</v>
      </c>
      <c r="AC22" s="1530">
        <v>1</v>
      </c>
    </row>
    <row r="23" spans="1:29" ht="71.25">
      <c r="A23" s="387"/>
      <c r="B23" s="410" t="s">
        <v>2510</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30"/>
      <c r="Q23" s="1529" t="str">
        <f>B23</f>
        <v>环境质量</v>
      </c>
      <c r="R23" s="712" t="s">
        <v>17</v>
      </c>
      <c r="S23" s="713">
        <f>F23</f>
        <v>100</v>
      </c>
      <c r="T23" s="712" t="s">
        <v>17</v>
      </c>
      <c r="U23" s="713">
        <f>H23</f>
        <v>100</v>
      </c>
      <c r="V23" s="712" t="s">
        <v>17</v>
      </c>
      <c r="W23" s="713">
        <f>J23</f>
        <v>100</v>
      </c>
      <c r="X23" s="1532"/>
      <c r="Y23" s="3330"/>
      <c r="Z23" s="1533" t="str">
        <f>Q23</f>
        <v>环境质量</v>
      </c>
      <c r="AA23" s="1530">
        <f t="shared" si="3"/>
        <v>1</v>
      </c>
      <c r="AB23" s="1530">
        <f t="shared" si="4"/>
        <v>1</v>
      </c>
      <c r="AC23" s="1530">
        <f t="shared" si="5"/>
        <v>1</v>
      </c>
    </row>
    <row r="24" spans="1:29" ht="15">
      <c r="A24" s="387"/>
      <c r="B24" s="1288"/>
      <c r="C24" s="406"/>
      <c r="D24" s="407"/>
      <c r="E24" s="2076"/>
      <c r="F24" s="408"/>
      <c r="G24" s="2075"/>
      <c r="H24" s="407"/>
      <c r="I24" s="2076"/>
      <c r="J24" s="407"/>
      <c r="K24" s="572"/>
      <c r="L24" s="1051"/>
      <c r="M24" s="1042"/>
      <c r="N24" s="1042"/>
      <c r="O24" s="1050"/>
      <c r="P24" s="3330"/>
      <c r="Q24" s="1529"/>
      <c r="R24" s="712"/>
      <c r="S24" s="713"/>
      <c r="T24" s="712"/>
      <c r="U24" s="713"/>
      <c r="V24" s="712"/>
      <c r="W24" s="713"/>
      <c r="X24" s="1532"/>
      <c r="Y24" s="3330"/>
      <c r="Z24" s="1533"/>
      <c r="AA24" s="1530">
        <v>1</v>
      </c>
      <c r="AB24" s="1530">
        <v>1</v>
      </c>
      <c r="AC24" s="1530">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30"/>
      <c r="Q25" s="1529">
        <f>B25</f>
        <v>111</v>
      </c>
      <c r="R25" s="712" t="s">
        <v>17</v>
      </c>
      <c r="S25" s="713">
        <f>F25</f>
        <v>100</v>
      </c>
      <c r="T25" s="712" t="s">
        <v>17</v>
      </c>
      <c r="U25" s="713">
        <f>H25</f>
        <v>100</v>
      </c>
      <c r="V25" s="712" t="s">
        <v>17</v>
      </c>
      <c r="W25" s="713">
        <f>J25</f>
        <v>100</v>
      </c>
      <c r="X25" s="1532"/>
      <c r="Y25" s="3330"/>
      <c r="Z25" s="1533">
        <f>Q25</f>
        <v>111</v>
      </c>
      <c r="AA25" s="1530">
        <f t="shared" si="3"/>
        <v>1</v>
      </c>
      <c r="AB25" s="1530">
        <f t="shared" si="4"/>
        <v>1</v>
      </c>
      <c r="AC25" s="1530">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30"/>
      <c r="Q26" s="1529">
        <f t="shared" ref="Q26:Q40" si="11">B26</f>
        <v>111</v>
      </c>
      <c r="R26" s="712" t="s">
        <v>17</v>
      </c>
      <c r="S26" s="713">
        <f>F26</f>
        <v>100</v>
      </c>
      <c r="T26" s="712" t="s">
        <v>17</v>
      </c>
      <c r="U26" s="713">
        <f>H26</f>
        <v>100</v>
      </c>
      <c r="V26" s="712" t="s">
        <v>17</v>
      </c>
      <c r="W26" s="713">
        <f>J26</f>
        <v>100</v>
      </c>
      <c r="X26" s="1532"/>
      <c r="Y26" s="3330"/>
      <c r="Z26" s="1533">
        <f>Q26</f>
        <v>111</v>
      </c>
      <c r="AA26" s="1530">
        <f t="shared" si="3"/>
        <v>1</v>
      </c>
      <c r="AB26" s="1530">
        <f t="shared" si="4"/>
        <v>1</v>
      </c>
      <c r="AC26" s="1530">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30"/>
      <c r="Q27" s="1520">
        <f t="shared" si="11"/>
        <v>111</v>
      </c>
      <c r="R27" s="708" t="s">
        <v>17</v>
      </c>
      <c r="S27" s="709">
        <f>F27</f>
        <v>100</v>
      </c>
      <c r="T27" s="708" t="s">
        <v>17</v>
      </c>
      <c r="U27" s="709">
        <f>H27</f>
        <v>100</v>
      </c>
      <c r="V27" s="708" t="s">
        <v>17</v>
      </c>
      <c r="W27" s="709">
        <f>J27</f>
        <v>100</v>
      </c>
      <c r="X27" s="710"/>
      <c r="Y27" s="3330"/>
      <c r="Z27" s="55">
        <f>Q27</f>
        <v>111</v>
      </c>
      <c r="AA27" s="1530">
        <f>D27/F27</f>
        <v>1</v>
      </c>
      <c r="AB27" s="1530">
        <f>D27/H27</f>
        <v>1</v>
      </c>
      <c r="AC27" s="1530">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30"/>
      <c r="Q28" s="1529">
        <f t="shared" si="11"/>
        <v>111</v>
      </c>
      <c r="R28" s="712" t="s">
        <v>17</v>
      </c>
      <c r="S28" s="713">
        <f t="shared" ref="S28:S40" si="12">F28</f>
        <v>100</v>
      </c>
      <c r="T28" s="712" t="s">
        <v>17</v>
      </c>
      <c r="U28" s="713">
        <f t="shared" ref="U28:U40" si="13">H28</f>
        <v>100</v>
      </c>
      <c r="V28" s="712" t="s">
        <v>17</v>
      </c>
      <c r="W28" s="713">
        <f t="shared" ref="W28:W40" si="14">J28</f>
        <v>100</v>
      </c>
      <c r="X28" s="1532"/>
      <c r="Y28" s="3330"/>
      <c r="Z28" s="1533">
        <f t="shared" ref="Z28:Z40" si="15">Q28</f>
        <v>111</v>
      </c>
      <c r="AA28" s="1530">
        <f t="shared" si="3"/>
        <v>1</v>
      </c>
      <c r="AB28" s="1530">
        <f t="shared" si="4"/>
        <v>1</v>
      </c>
      <c r="AC28" s="1530">
        <f t="shared" si="5"/>
        <v>1</v>
      </c>
    </row>
    <row r="29" spans="1:29" ht="28.5">
      <c r="A29" s="425" t="s">
        <v>2383</v>
      </c>
      <c r="B29" s="67" t="s">
        <v>2513</v>
      </c>
      <c r="C29" s="2143"/>
      <c r="D29" s="426">
        <v>100</v>
      </c>
      <c r="E29" s="2143"/>
      <c r="F29" s="420">
        <f>SUMIF(88:88,E29,89:89)-SUMIF(88:88,C29,89:89)+100</f>
        <v>100</v>
      </c>
      <c r="G29" s="2143"/>
      <c r="H29" s="394">
        <f>SUMIF(88:88,G29,89:89)-SUMIF(88:88,C29,89:89)+100</f>
        <v>100</v>
      </c>
      <c r="I29" s="2143"/>
      <c r="J29" s="426">
        <f>SUMIF(88:88,I29,89:89)-SUMIF(88:88,C29,89:89)+100</f>
        <v>100</v>
      </c>
      <c r="K29" s="569"/>
      <c r="L29" s="1051"/>
      <c r="M29" s="1042"/>
      <c r="N29" s="1042"/>
      <c r="O29" s="1050"/>
      <c r="P29" s="3380" t="s">
        <v>2385</v>
      </c>
      <c r="Q29" s="1529" t="str">
        <f t="shared" si="11"/>
        <v>建筑类型</v>
      </c>
      <c r="R29" s="712" t="s">
        <v>17</v>
      </c>
      <c r="S29" s="713">
        <f t="shared" si="12"/>
        <v>100</v>
      </c>
      <c r="T29" s="712" t="s">
        <v>17</v>
      </c>
      <c r="U29" s="713">
        <f t="shared" si="13"/>
        <v>100</v>
      </c>
      <c r="V29" s="712" t="s">
        <v>17</v>
      </c>
      <c r="W29" s="713">
        <f t="shared" si="14"/>
        <v>100</v>
      </c>
      <c r="X29" s="1532"/>
      <c r="Y29" s="3334" t="s">
        <v>2385</v>
      </c>
      <c r="Z29" s="1533" t="str">
        <f t="shared" si="15"/>
        <v>建筑类型</v>
      </c>
      <c r="AA29" s="1530">
        <f t="shared" si="3"/>
        <v>1</v>
      </c>
      <c r="AB29" s="1530">
        <f t="shared" si="4"/>
        <v>1</v>
      </c>
      <c r="AC29" s="1530">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34"/>
      <c r="Q30" s="714" t="str">
        <f t="shared" si="11"/>
        <v>项目建筑规模</v>
      </c>
      <c r="R30" s="715" t="s">
        <v>17</v>
      </c>
      <c r="S30" s="716" t="e">
        <f t="shared" si="12"/>
        <v>#N/A</v>
      </c>
      <c r="T30" s="715" t="s">
        <v>17</v>
      </c>
      <c r="U30" s="716" t="e">
        <f t="shared" si="13"/>
        <v>#N/A</v>
      </c>
      <c r="V30" s="715" t="s">
        <v>17</v>
      </c>
      <c r="W30" s="716" t="e">
        <f t="shared" si="14"/>
        <v>#N/A</v>
      </c>
      <c r="X30" s="717"/>
      <c r="Y30" s="3334"/>
      <c r="Z30" s="718" t="str">
        <f t="shared" si="15"/>
        <v>项目建筑规模</v>
      </c>
      <c r="AA30" s="1530" t="e">
        <f t="shared" si="3"/>
        <v>#N/A</v>
      </c>
      <c r="AB30" s="1530" t="e">
        <f t="shared" si="4"/>
        <v>#N/A</v>
      </c>
      <c r="AC30" s="1530"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34"/>
      <c r="Q31" s="1529" t="str">
        <f t="shared" si="11"/>
        <v>建筑结构</v>
      </c>
      <c r="R31" s="712" t="s">
        <v>17</v>
      </c>
      <c r="S31" s="713">
        <f t="shared" si="12"/>
        <v>100</v>
      </c>
      <c r="T31" s="712" t="s">
        <v>17</v>
      </c>
      <c r="U31" s="713">
        <f t="shared" si="13"/>
        <v>100</v>
      </c>
      <c r="V31" s="712" t="s">
        <v>17</v>
      </c>
      <c r="W31" s="713">
        <f t="shared" si="14"/>
        <v>100</v>
      </c>
      <c r="X31" s="1532"/>
      <c r="Y31" s="3334"/>
      <c r="Z31" s="1533" t="str">
        <f t="shared" si="15"/>
        <v>建筑结构</v>
      </c>
      <c r="AA31" s="1530">
        <f t="shared" si="3"/>
        <v>1</v>
      </c>
      <c r="AB31" s="1530">
        <f t="shared" si="4"/>
        <v>1</v>
      </c>
      <c r="AC31" s="1530">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34"/>
      <c r="Q32" s="1529" t="str">
        <f t="shared" si="11"/>
        <v>公共部分装修</v>
      </c>
      <c r="R32" s="712" t="s">
        <v>17</v>
      </c>
      <c r="S32" s="713">
        <f t="shared" si="12"/>
        <v>100</v>
      </c>
      <c r="T32" s="712" t="s">
        <v>17</v>
      </c>
      <c r="U32" s="713">
        <f t="shared" si="13"/>
        <v>100</v>
      </c>
      <c r="V32" s="712" t="s">
        <v>17</v>
      </c>
      <c r="W32" s="713">
        <f t="shared" si="14"/>
        <v>100</v>
      </c>
      <c r="X32" s="1532"/>
      <c r="Y32" s="3334"/>
      <c r="Z32" s="1533" t="str">
        <f t="shared" si="15"/>
        <v>公共部分装修</v>
      </c>
      <c r="AA32" s="1530">
        <f t="shared" si="3"/>
        <v>1</v>
      </c>
      <c r="AB32" s="1530">
        <f t="shared" si="4"/>
        <v>1</v>
      </c>
      <c r="AC32" s="1530">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34"/>
      <c r="Q33" s="1529" t="str">
        <f t="shared" si="11"/>
        <v>成新度</v>
      </c>
      <c r="R33" s="712" t="s">
        <v>17</v>
      </c>
      <c r="S33" s="713" t="e">
        <f t="shared" si="12"/>
        <v>#N/A</v>
      </c>
      <c r="T33" s="712" t="s">
        <v>17</v>
      </c>
      <c r="U33" s="713" t="e">
        <f t="shared" si="13"/>
        <v>#N/A</v>
      </c>
      <c r="V33" s="712" t="s">
        <v>17</v>
      </c>
      <c r="W33" s="713" t="e">
        <f t="shared" si="14"/>
        <v>#N/A</v>
      </c>
      <c r="X33" s="1532"/>
      <c r="Y33" s="3334"/>
      <c r="Z33" s="1533" t="str">
        <f t="shared" si="15"/>
        <v>成新度</v>
      </c>
      <c r="AA33" s="1530" t="e">
        <f t="shared" si="3"/>
        <v>#N/A</v>
      </c>
      <c r="AB33" s="1530" t="e">
        <f t="shared" si="4"/>
        <v>#N/A</v>
      </c>
      <c r="AC33" s="1530"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34"/>
      <c r="Q34" s="1520" t="str">
        <f t="shared" si="11"/>
        <v>物业管理</v>
      </c>
      <c r="R34" s="708" t="s">
        <v>17</v>
      </c>
      <c r="S34" s="709">
        <f t="shared" si="12"/>
        <v>100</v>
      </c>
      <c r="T34" s="708" t="s">
        <v>17</v>
      </c>
      <c r="U34" s="709">
        <f t="shared" si="13"/>
        <v>100</v>
      </c>
      <c r="V34" s="708" t="s">
        <v>17</v>
      </c>
      <c r="W34" s="709">
        <f t="shared" si="14"/>
        <v>100</v>
      </c>
      <c r="X34" s="710"/>
      <c r="Y34" s="3334"/>
      <c r="Z34" s="55" t="str">
        <f t="shared" si="15"/>
        <v>物业管理</v>
      </c>
      <c r="AA34" s="711">
        <f t="shared" si="3"/>
        <v>1</v>
      </c>
      <c r="AB34" s="711">
        <f t="shared" si="4"/>
        <v>1</v>
      </c>
      <c r="AC34" s="711">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34" t="s">
        <v>2385</v>
      </c>
      <c r="Q35" s="1529" t="str">
        <f t="shared" si="11"/>
        <v>市政基础设施</v>
      </c>
      <c r="R35" s="712" t="s">
        <v>17</v>
      </c>
      <c r="S35" s="713">
        <f t="shared" si="12"/>
        <v>100</v>
      </c>
      <c r="T35" s="712" t="s">
        <v>17</v>
      </c>
      <c r="U35" s="713">
        <f t="shared" si="13"/>
        <v>100</v>
      </c>
      <c r="V35" s="712" t="s">
        <v>17</v>
      </c>
      <c r="W35" s="713">
        <f t="shared" si="14"/>
        <v>100</v>
      </c>
      <c r="X35" s="1532"/>
      <c r="Y35" s="3334" t="s">
        <v>2385</v>
      </c>
      <c r="Z35" s="1533" t="str">
        <f t="shared" si="15"/>
        <v>市政基础设施</v>
      </c>
      <c r="AA35" s="1530">
        <f t="shared" si="3"/>
        <v>1</v>
      </c>
      <c r="AB35" s="1530">
        <f t="shared" si="4"/>
        <v>1</v>
      </c>
      <c r="AC35" s="1530">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34"/>
      <c r="Q36" s="1529" t="str">
        <f t="shared" si="11"/>
        <v>内部装修</v>
      </c>
      <c r="R36" s="712" t="s">
        <v>17</v>
      </c>
      <c r="S36" s="713">
        <f t="shared" si="12"/>
        <v>100</v>
      </c>
      <c r="T36" s="712" t="s">
        <v>17</v>
      </c>
      <c r="U36" s="713">
        <f t="shared" si="13"/>
        <v>100</v>
      </c>
      <c r="V36" s="712" t="s">
        <v>17</v>
      </c>
      <c r="W36" s="713">
        <f t="shared" si="14"/>
        <v>100</v>
      </c>
      <c r="X36" s="1532"/>
      <c r="Y36" s="3334"/>
      <c r="Z36" s="1533" t="str">
        <f t="shared" si="15"/>
        <v>内部装修</v>
      </c>
      <c r="AA36" s="1530">
        <f t="shared" si="3"/>
        <v>1</v>
      </c>
      <c r="AB36" s="1530">
        <f t="shared" si="4"/>
        <v>1</v>
      </c>
      <c r="AC36" s="1530">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34"/>
      <c r="Q37" s="1529" t="str">
        <f t="shared" si="11"/>
        <v>内部装修状况</v>
      </c>
      <c r="R37" s="712" t="s">
        <v>17</v>
      </c>
      <c r="S37" s="713">
        <f t="shared" si="12"/>
        <v>100</v>
      </c>
      <c r="T37" s="712" t="s">
        <v>17</v>
      </c>
      <c r="U37" s="713">
        <f t="shared" si="13"/>
        <v>100</v>
      </c>
      <c r="V37" s="712" t="s">
        <v>17</v>
      </c>
      <c r="W37" s="713">
        <f t="shared" si="14"/>
        <v>100</v>
      </c>
      <c r="X37" s="1532"/>
      <c r="Y37" s="3334"/>
      <c r="Z37" s="1533" t="str">
        <f t="shared" si="15"/>
        <v>内部装修状况</v>
      </c>
      <c r="AA37" s="1530">
        <f t="shared" si="3"/>
        <v>1</v>
      </c>
      <c r="AB37" s="1530">
        <f t="shared" si="4"/>
        <v>1</v>
      </c>
      <c r="AC37" s="1530">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34"/>
      <c r="Q38" s="714">
        <f t="shared" si="11"/>
        <v>111</v>
      </c>
      <c r="R38" s="715" t="s">
        <v>17</v>
      </c>
      <c r="S38" s="716">
        <f t="shared" si="12"/>
        <v>100</v>
      </c>
      <c r="T38" s="715" t="s">
        <v>17</v>
      </c>
      <c r="U38" s="716">
        <f t="shared" si="13"/>
        <v>100</v>
      </c>
      <c r="V38" s="715" t="s">
        <v>17</v>
      </c>
      <c r="W38" s="716">
        <f t="shared" si="14"/>
        <v>100</v>
      </c>
      <c r="X38" s="717"/>
      <c r="Y38" s="3334"/>
      <c r="Z38" s="718">
        <f t="shared" si="15"/>
        <v>111</v>
      </c>
      <c r="AA38" s="1530">
        <f t="shared" si="3"/>
        <v>1</v>
      </c>
      <c r="AB38" s="1530">
        <f t="shared" si="4"/>
        <v>1</v>
      </c>
      <c r="AC38" s="1530">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34"/>
      <c r="Q39" s="1529">
        <f t="shared" si="11"/>
        <v>111</v>
      </c>
      <c r="R39" s="712" t="s">
        <v>17</v>
      </c>
      <c r="S39" s="713">
        <f t="shared" si="12"/>
        <v>100</v>
      </c>
      <c r="T39" s="712" t="s">
        <v>17</v>
      </c>
      <c r="U39" s="713">
        <f t="shared" si="13"/>
        <v>100</v>
      </c>
      <c r="V39" s="712" t="s">
        <v>17</v>
      </c>
      <c r="W39" s="713">
        <f t="shared" si="14"/>
        <v>100</v>
      </c>
      <c r="X39" s="1532"/>
      <c r="Y39" s="3334"/>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35"/>
      <c r="Q40" s="1529">
        <f t="shared" si="11"/>
        <v>111</v>
      </c>
      <c r="R40" s="712" t="s">
        <v>17</v>
      </c>
      <c r="S40" s="713">
        <f t="shared" si="12"/>
        <v>100</v>
      </c>
      <c r="T40" s="712" t="s">
        <v>17</v>
      </c>
      <c r="U40" s="713">
        <f t="shared" si="13"/>
        <v>100</v>
      </c>
      <c r="V40" s="712" t="s">
        <v>17</v>
      </c>
      <c r="W40" s="713">
        <f t="shared" si="14"/>
        <v>100</v>
      </c>
      <c r="X40" s="1532"/>
      <c r="Y40" s="3335"/>
      <c r="Z40" s="1533">
        <f t="shared" si="15"/>
        <v>111</v>
      </c>
      <c r="AA40" s="1530">
        <f t="shared" si="3"/>
        <v>1</v>
      </c>
      <c r="AB40" s="1530">
        <f t="shared" si="4"/>
        <v>1</v>
      </c>
      <c r="AC40" s="1530">
        <f t="shared" si="5"/>
        <v>1</v>
      </c>
    </row>
    <row r="41" spans="1:29" ht="15">
      <c r="A41" s="438" t="s">
        <v>2397</v>
      </c>
      <c r="B41" s="439"/>
      <c r="C41" s="1311" t="s">
        <v>1</v>
      </c>
      <c r="D41" s="1312"/>
      <c r="E41" s="1313"/>
      <c r="F41" s="1314"/>
      <c r="G41" s="1315"/>
      <c r="H41" s="1316"/>
      <c r="I41" s="1313"/>
      <c r="J41" s="1316"/>
      <c r="K41" s="721"/>
      <c r="L41" s="1054"/>
      <c r="M41" s="1055"/>
      <c r="N41" s="1042"/>
      <c r="O41" s="1055"/>
      <c r="P41" s="3327" t="str">
        <f>A41</f>
        <v>成交单价（元/平方米）</v>
      </c>
      <c r="Q41" s="3327"/>
      <c r="R41" s="3328">
        <f>E41</f>
        <v>0</v>
      </c>
      <c r="S41" s="3328"/>
      <c r="T41" s="3328">
        <f>G41</f>
        <v>0</v>
      </c>
      <c r="U41" s="3328"/>
      <c r="V41" s="3328">
        <f>I41</f>
        <v>0</v>
      </c>
      <c r="W41" s="3328"/>
      <c r="X41" s="697"/>
      <c r="Y41" s="719"/>
      <c r="Z41" s="697"/>
      <c r="AA41" s="697"/>
      <c r="AB41" s="697"/>
      <c r="AC41" s="697"/>
    </row>
    <row r="42" spans="1:29" ht="15.75" thickBot="1">
      <c r="A42" s="445" t="s">
        <v>2489</v>
      </c>
      <c r="B42" s="446"/>
      <c r="C42" s="1317" t="e">
        <f>R43</f>
        <v>#DIV/0!</v>
      </c>
      <c r="D42" s="2528" t="s">
        <v>2876</v>
      </c>
      <c r="E42" s="1318" t="e">
        <f>R42</f>
        <v>#DIV/0!</v>
      </c>
      <c r="F42" s="2529"/>
      <c r="G42" s="1317" t="e">
        <f>T42</f>
        <v>#DIV/0!</v>
      </c>
      <c r="H42" s="2529"/>
      <c r="I42" s="1318" t="e">
        <f>V42</f>
        <v>#DIV/0!</v>
      </c>
      <c r="J42" s="2529"/>
      <c r="K42" s="2531">
        <f>F42+H42+J42</f>
        <v>0</v>
      </c>
      <c r="L42" s="1054"/>
      <c r="M42" s="1055"/>
      <c r="N42" s="1042"/>
      <c r="O42" s="1055"/>
      <c r="P42" s="3327" t="str">
        <f>A42</f>
        <v>比较价值（元/平方米）</v>
      </c>
      <c r="Q42" s="3327"/>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697"/>
      <c r="Y42" s="697"/>
      <c r="Z42" s="697"/>
      <c r="AA42" s="697"/>
      <c r="AB42" s="697"/>
      <c r="AC42" s="697"/>
    </row>
    <row r="43" spans="1:29" ht="15.75" thickBot="1">
      <c r="A43" s="449" t="s">
        <v>2490</v>
      </c>
      <c r="B43" s="450"/>
      <c r="C43" s="1320" t="e">
        <f>R43</f>
        <v>#DIV/0!</v>
      </c>
      <c r="D43" s="1320"/>
      <c r="E43" s="1320"/>
      <c r="F43" s="1320"/>
      <c r="G43" s="1320"/>
      <c r="H43" s="1320"/>
      <c r="I43" s="1320"/>
      <c r="J43" s="1320"/>
      <c r="K43" s="722"/>
      <c r="L43" s="1054"/>
      <c r="M43" s="1055"/>
      <c r="N43" s="1055"/>
      <c r="O43" s="1055"/>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697"/>
      <c r="Y43" s="697"/>
      <c r="Z43" s="697"/>
      <c r="AA43" s="697"/>
      <c r="AB43" s="697"/>
      <c r="AC43" s="697"/>
    </row>
    <row r="44" spans="1:29">
      <c r="A44" s="2935"/>
      <c r="B44" s="2935"/>
      <c r="C44" s="2935"/>
      <c r="D44" s="2935"/>
      <c r="E44" s="2935"/>
      <c r="F44" s="2935"/>
      <c r="G44" s="2939"/>
      <c r="H44" s="2935"/>
      <c r="I44" s="2935"/>
      <c r="J44" s="2935"/>
      <c r="K44" s="2940"/>
      <c r="L44" s="1018"/>
      <c r="M44" s="1055"/>
      <c r="N44" s="1055"/>
      <c r="O44" s="1055"/>
    </row>
    <row r="45" spans="1:29">
      <c r="A45" s="2935"/>
      <c r="B45" s="2935"/>
      <c r="C45" s="2935"/>
      <c r="D45" s="2935"/>
      <c r="E45" s="2935"/>
      <c r="F45" s="2935"/>
      <c r="G45" s="2935"/>
      <c r="H45" s="2935"/>
      <c r="I45" s="2935"/>
      <c r="J45" s="2935"/>
      <c r="K45" s="2940"/>
      <c r="L45" s="1018"/>
      <c r="M45" s="1055"/>
      <c r="N45" s="1055"/>
      <c r="O45" s="1055"/>
    </row>
    <row r="46" spans="1:29" ht="13.5" customHeight="1">
      <c r="A46" s="2935"/>
      <c r="B46" s="293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0"/>
      <c r="L46" s="1018"/>
      <c r="M46" s="1055"/>
      <c r="N46" s="1055"/>
      <c r="O46" s="1055"/>
    </row>
    <row r="47" spans="1:29" ht="13.5" customHeight="1">
      <c r="A47" s="2935"/>
      <c r="B47" s="293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0"/>
      <c r="L47" s="1018"/>
      <c r="M47" s="1055"/>
      <c r="N47" s="1055"/>
      <c r="O47" s="1055"/>
    </row>
    <row r="48" spans="1:29" s="459" customFormat="1" ht="13.5" customHeight="1">
      <c r="A48" s="2938"/>
      <c r="B48" s="293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3"/>
      <c r="L48" s="1058"/>
      <c r="M48" s="1056"/>
      <c r="N48" s="1056"/>
      <c r="O48" s="1056"/>
    </row>
    <row r="49" spans="1:17" s="459" customFormat="1">
      <c r="A49" s="2938"/>
      <c r="B49" s="2941"/>
      <c r="C49" s="2942"/>
      <c r="D49" s="2938"/>
      <c r="E49" s="2938"/>
      <c r="F49" s="2938"/>
      <c r="G49" s="2938"/>
      <c r="H49" s="2938"/>
      <c r="I49" s="2938"/>
      <c r="J49" s="2938"/>
      <c r="K49" s="2943"/>
      <c r="L49" s="1058"/>
      <c r="M49" s="1056"/>
      <c r="N49" s="1056"/>
      <c r="O49" s="1056"/>
    </row>
    <row r="50" spans="1:17">
      <c r="A50" s="2935"/>
      <c r="B50" s="2941"/>
      <c r="C50" s="2942"/>
      <c r="D50" s="2935"/>
      <c r="E50" s="2935"/>
      <c r="F50" s="2935"/>
      <c r="G50" s="2935"/>
      <c r="H50" s="2935"/>
      <c r="I50" s="2935"/>
      <c r="J50" s="2935"/>
      <c r="K50" s="2940"/>
      <c r="L50" s="1018"/>
      <c r="M50" s="1055"/>
      <c r="N50" s="1055"/>
      <c r="O50" s="1055"/>
    </row>
    <row r="51" spans="1:17" ht="21.75" thickBot="1">
      <c r="A51" s="701" t="s">
        <v>2494</v>
      </c>
      <c r="B51" s="697"/>
      <c r="C51" s="702"/>
      <c r="D51" s="702"/>
      <c r="E51" s="702"/>
      <c r="F51" s="703"/>
      <c r="G51" s="703"/>
      <c r="H51" s="702"/>
      <c r="I51" s="702"/>
      <c r="J51" s="702"/>
      <c r="K51" s="1069"/>
      <c r="L51" s="1070"/>
      <c r="M51" s="1068"/>
      <c r="N51" s="1068"/>
      <c r="O51" s="1068"/>
      <c r="P51" s="460"/>
      <c r="Q51" s="461"/>
    </row>
    <row r="52" spans="1:17" s="465" customFormat="1" ht="15">
      <c r="A52" s="462" t="s">
        <v>2368</v>
      </c>
      <c r="B52" s="463"/>
      <c r="C52" s="1341" t="str">
        <f>YEAR(C7)&amp;"-"&amp;MONTH(C7)</f>
        <v>2021-5</v>
      </c>
      <c r="D52" s="1342">
        <f>EDATE(C52,-1)</f>
        <v>44287</v>
      </c>
      <c r="E52" s="1342">
        <f t="shared" ref="E52:O52" si="16">EDATE(D52,-1)</f>
        <v>44256</v>
      </c>
      <c r="F52" s="1342">
        <f t="shared" si="16"/>
        <v>44228</v>
      </c>
      <c r="G52" s="1342">
        <f t="shared" si="16"/>
        <v>44197</v>
      </c>
      <c r="H52" s="1342">
        <f t="shared" si="16"/>
        <v>44166</v>
      </c>
      <c r="I52" s="1342">
        <f t="shared" si="16"/>
        <v>44136</v>
      </c>
      <c r="J52" s="1342">
        <f t="shared" si="16"/>
        <v>44105</v>
      </c>
      <c r="K52" s="1342">
        <f t="shared" si="16"/>
        <v>44075</v>
      </c>
      <c r="L52" s="1342">
        <f t="shared" si="16"/>
        <v>44044</v>
      </c>
      <c r="M52" s="1342">
        <f t="shared" si="16"/>
        <v>44013</v>
      </c>
      <c r="N52" s="1342">
        <f t="shared" si="16"/>
        <v>43983</v>
      </c>
      <c r="O52" s="1342">
        <f t="shared" si="16"/>
        <v>43952</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0"/>
      <c r="O54" s="2981"/>
      <c r="P54" s="461"/>
      <c r="Q54" s="461"/>
    </row>
    <row r="55" spans="1:17" s="113" customFormat="1" ht="15">
      <c r="A55" s="478" t="s">
        <v>2370</v>
      </c>
      <c r="B55" s="467"/>
      <c r="C55" s="479" t="s">
        <v>2472</v>
      </c>
      <c r="D55" s="480"/>
      <c r="E55" s="480"/>
      <c r="F55" s="480"/>
      <c r="G55" s="480"/>
      <c r="H55" s="480"/>
      <c r="I55" s="480"/>
      <c r="J55" s="480"/>
      <c r="K55" s="480"/>
      <c r="L55" s="481"/>
      <c r="M55" s="482"/>
      <c r="N55" s="1060"/>
      <c r="O55" s="1060"/>
      <c r="P55" s="483"/>
      <c r="Q55" s="461"/>
    </row>
    <row r="56" spans="1:17" s="113" customFormat="1" ht="15.75" thickBot="1">
      <c r="A56" s="478"/>
      <c r="B56" s="467"/>
      <c r="C56" s="594">
        <v>100</v>
      </c>
      <c r="D56" s="469"/>
      <c r="E56" s="469"/>
      <c r="F56" s="469"/>
      <c r="G56" s="469"/>
      <c r="H56" s="469"/>
      <c r="I56" s="469"/>
      <c r="J56" s="469"/>
      <c r="K56" s="469"/>
      <c r="L56" s="469"/>
      <c r="M56" s="471"/>
      <c r="N56" s="1060"/>
      <c r="O56" s="1060"/>
      <c r="P56" s="461"/>
      <c r="Q56" s="461"/>
    </row>
    <row r="57" spans="1:17">
      <c r="A57" s="484" t="s">
        <v>2408</v>
      </c>
      <c r="B57" s="485" t="s">
        <v>2374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6"/>
      <c r="N76" s="1062"/>
      <c r="O76" s="1062"/>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2"/>
      <c r="O77" s="1062"/>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04"/>
      <c r="B87" s="526"/>
      <c r="C87" s="527"/>
      <c r="D87" s="527"/>
      <c r="E87" s="527"/>
      <c r="F87" s="527"/>
      <c r="G87" s="548"/>
      <c r="H87" s="548"/>
      <c r="I87" s="548"/>
      <c r="J87" s="548"/>
      <c r="K87" s="548"/>
      <c r="L87" s="548"/>
      <c r="M87" s="549"/>
      <c r="N87" s="1062"/>
      <c r="O87" s="1062"/>
      <c r="P87" s="45"/>
      <c r="Q87" s="461"/>
    </row>
    <row r="88" spans="1:17">
      <c r="A88" s="484" t="s">
        <v>2383</v>
      </c>
      <c r="B88" s="485" t="s">
        <v>2432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8"/>
      <c r="J98" s="578"/>
      <c r="K98" s="579"/>
      <c r="L98" s="580"/>
      <c r="M98" s="581"/>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62"/>
      <c r="O106" s="1062"/>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04"/>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山西国美电器有限公司：</v>
      </c>
    </row>
    <row r="4" spans="1:1" ht="36">
      <c r="A4" s="1658" t="str">
        <f>"受贵公司委托，我公司对"&amp;项目基本情况!S1&amp;"进行了预评估。"</f>
        <v>受贵公司委托，我公司对山西省太原市平阳路1号1幢1层A号、2层A号、3层A号共三套商业用房房地产房地产抵押价值进行了预评估。</v>
      </c>
    </row>
    <row r="5" spans="1:1" ht="18.75">
      <c r="A5" s="1659" t="s">
        <v>1577</v>
      </c>
    </row>
    <row r="6" spans="1:1" ht="18.75">
      <c r="A6" s="1660" t="s">
        <v>1578</v>
      </c>
    </row>
    <row r="7" spans="1:1" ht="7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1954.06平方米。</v>
      </c>
    </row>
    <row r="8" spans="1:1" ht="57.75">
      <c r="A8" s="1661" t="s">
        <v>1579</v>
      </c>
    </row>
    <row r="9" spans="1:1" ht="18.75">
      <c r="A9" s="1660" t="s">
        <v>1580</v>
      </c>
    </row>
    <row r="10" spans="1:1" ht="90">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为北京鼎税置业有限公司开发建设的，该项目尚在开发建设中。根据《国有土地使用证》[并国用（2008)第05000153、05000154、05000155号]，估价对象（分摊）出让国有建设用地使用权面积为222.28平方米，规划建筑面积为1954.06平方米。</v>
      </c>
    </row>
    <row r="11" spans="1:1" ht="76.5">
      <c r="A11" s="1661" t="s">
        <v>1581</v>
      </c>
    </row>
    <row r="12" spans="1:1" ht="18.75">
      <c r="A12" s="1659" t="s">
        <v>1582</v>
      </c>
    </row>
    <row r="13" spans="1:1" ht="38.25" customHeight="1">
      <c r="A13" s="1662" t="str">
        <f>IF(项目基本情况!B8="抵押",IF(项目基本情况!B5=项目基本情况!B6,定义!C51,定义!B51),定义!D51)</f>
        <v>为估价委托人在向民生银行办理贷款手续过程中，确定房地产抵押贷款额度提供参考依据而评估房地产抵押价值。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2021年5月20日（评估专业人员实地查勘之日）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本次评估采用的主估价方法为比较法和收益法。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89"/>
      <c r="F1" s="2058"/>
      <c r="G1" s="1390" t="s">
        <v>2463</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2147</v>
      </c>
      <c r="B2" s="1321" t="e">
        <f ca="1">IF(C2="——",IF(B37="元/平方米",ROUND(C39*D3/10000,0),ROUND(F3*C39/10000,0)),IF(B37="元/平方米",ROUND(C39*D3/10000,0),ROUND(F3*C39/10000,0))-D2)</f>
        <v>#DIV/0!</v>
      </c>
      <c r="C2" s="2060"/>
      <c r="D2" s="1035" t="e">
        <f ca="1">SUMIF(INDIRECT("'"&amp;F2&amp;"'"&amp;"!A:A"),"承租人权益价值",INDIRECT("'"&amp;F2&amp;"'"&amp;"!c:c"))</f>
        <v>#REF!</v>
      </c>
      <c r="E2" s="2061" t="s">
        <v>2148</v>
      </c>
      <c r="F2" s="2062"/>
      <c r="G2" s="1036"/>
      <c r="H2" s="1036"/>
      <c r="I2" s="1036"/>
      <c r="J2" s="1036"/>
      <c r="K2" s="1038"/>
      <c r="L2" s="2944"/>
      <c r="M2" s="2945"/>
      <c r="N2" s="2945"/>
      <c r="O2" s="2945"/>
      <c r="P2" s="1322"/>
      <c r="Q2" s="706"/>
      <c r="R2" s="706"/>
      <c r="S2" s="706"/>
      <c r="T2" s="706"/>
      <c r="U2" s="706"/>
      <c r="V2" s="706"/>
      <c r="W2" s="706"/>
      <c r="X2" s="706"/>
      <c r="Y2" s="706"/>
      <c r="Z2" s="706"/>
      <c r="AA2" s="706"/>
      <c r="AB2" s="706"/>
      <c r="AC2" s="707"/>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6"/>
      <c r="H3" s="1036"/>
      <c r="I3" s="1036"/>
      <c r="J3" s="1036"/>
      <c r="K3" s="1038"/>
      <c r="L3" s="2944"/>
      <c r="M3" s="2945"/>
      <c r="N3" s="2945"/>
      <c r="O3" s="2945"/>
      <c r="P3" s="1322"/>
      <c r="Q3" s="706"/>
      <c r="R3" s="706"/>
      <c r="S3" s="706"/>
      <c r="T3" s="706"/>
      <c r="U3" s="706"/>
      <c r="V3" s="706"/>
      <c r="W3" s="706"/>
      <c r="X3" s="706"/>
      <c r="Y3" s="706"/>
      <c r="Z3" s="706"/>
      <c r="AA3" s="706"/>
      <c r="AB3" s="723"/>
      <c r="AC3" s="720"/>
    </row>
    <row r="4" spans="1:29" ht="15">
      <c r="A4" s="361" t="s">
        <v>2465</v>
      </c>
      <c r="B4" s="362"/>
      <c r="C4" s="3310" t="s">
        <v>2466</v>
      </c>
      <c r="D4" s="3311"/>
      <c r="E4" s="3312" t="s">
        <v>2467</v>
      </c>
      <c r="F4" s="3313"/>
      <c r="G4" s="3310" t="s">
        <v>2468</v>
      </c>
      <c r="H4" s="3311"/>
      <c r="I4" s="3310" t="s">
        <v>2469</v>
      </c>
      <c r="J4" s="3311"/>
      <c r="K4" s="567" t="s">
        <v>2470</v>
      </c>
      <c r="L4" s="2925"/>
      <c r="M4" s="2926"/>
      <c r="N4" s="2926"/>
      <c r="O4" s="2926"/>
      <c r="P4" s="3314" t="s">
        <v>2471</v>
      </c>
      <c r="Q4" s="3315"/>
      <c r="R4" s="3297" t="s">
        <v>2467</v>
      </c>
      <c r="S4" s="3298"/>
      <c r="T4" s="3297" t="s">
        <v>2468</v>
      </c>
      <c r="U4" s="3298"/>
      <c r="V4" s="3322" t="s">
        <v>2469</v>
      </c>
      <c r="W4" s="3322"/>
      <c r="X4" s="1532"/>
      <c r="Y4" s="3297" t="s">
        <v>2471</v>
      </c>
      <c r="Z4" s="3298"/>
      <c r="AA4" s="3292" t="s">
        <v>2467</v>
      </c>
      <c r="AB4" s="3293" t="s">
        <v>2468</v>
      </c>
      <c r="AC4" s="3292" t="s">
        <v>2469</v>
      </c>
    </row>
    <row r="5" spans="1:29" ht="15">
      <c r="A5" s="364"/>
      <c r="B5" s="365"/>
      <c r="C5" s="3303" t="s">
        <v>2362</v>
      </c>
      <c r="D5" s="3304"/>
      <c r="E5" s="3379" t="s">
        <v>2363</v>
      </c>
      <c r="F5" s="3302"/>
      <c r="G5" s="3303" t="s">
        <v>2364</v>
      </c>
      <c r="H5" s="3304"/>
      <c r="I5" s="3303" t="s">
        <v>2365</v>
      </c>
      <c r="J5" s="3304"/>
      <c r="K5" s="567"/>
      <c r="L5" s="2925"/>
      <c r="M5" s="2926"/>
      <c r="N5" s="2926"/>
      <c r="O5" s="2926"/>
      <c r="P5" s="3316"/>
      <c r="Q5" s="3317"/>
      <c r="R5" s="3299"/>
      <c r="S5" s="3300"/>
      <c r="T5" s="3299"/>
      <c r="U5" s="3300"/>
      <c r="V5" s="3322"/>
      <c r="W5" s="3322"/>
      <c r="X5" s="1532"/>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2925"/>
      <c r="M6" s="2926"/>
      <c r="N6" s="2926"/>
      <c r="O6" s="2926"/>
      <c r="P6" s="3318"/>
      <c r="Q6" s="3319"/>
      <c r="R6" s="3299"/>
      <c r="S6" s="3300"/>
      <c r="T6" s="3320"/>
      <c r="U6" s="3321"/>
      <c r="V6" s="3322"/>
      <c r="W6" s="3322"/>
      <c r="X6" s="1532"/>
      <c r="Y6" s="3320"/>
      <c r="Z6" s="3321"/>
      <c r="AA6" s="3294"/>
      <c r="AB6" s="3294"/>
      <c r="AC6" s="3294"/>
    </row>
    <row r="7" spans="1:29" s="113" customFormat="1" ht="15.75" thickBot="1">
      <c r="A7" s="368" t="s">
        <v>2368</v>
      </c>
      <c r="B7" s="369"/>
      <c r="C7" s="370">
        <f>'数据-取费表'!B2</f>
        <v>44336</v>
      </c>
      <c r="D7" s="371">
        <v>100</v>
      </c>
      <c r="E7" s="372"/>
      <c r="F7" s="373">
        <f>SUMIF(48:48,YEAR(E7)&amp;"-"&amp;MONTH(E7),49:49)</f>
        <v>0</v>
      </c>
      <c r="G7" s="372"/>
      <c r="H7" s="371">
        <f>SUMIF(48:48,YEAR(G7)&amp;"-"&amp;MONTH(G7),49:49)</f>
        <v>0</v>
      </c>
      <c r="I7" s="372"/>
      <c r="J7" s="371">
        <f>SUMIF(48:48,YEAR(I7)&amp;"-"&amp;MONTH(I7),49:49)</f>
        <v>0</v>
      </c>
      <c r="K7" s="568"/>
      <c r="L7" s="2927"/>
      <c r="M7" s="2928"/>
      <c r="N7" s="2928"/>
      <c r="O7" s="2928"/>
      <c r="P7" s="3295" t="s">
        <v>2369</v>
      </c>
      <c r="Q7" s="3323"/>
      <c r="R7" s="708" t="s">
        <v>17</v>
      </c>
      <c r="S7" s="709">
        <f t="shared" ref="S7:S14" si="0">F7</f>
        <v>0</v>
      </c>
      <c r="T7" s="708" t="s">
        <v>17</v>
      </c>
      <c r="U7" s="709">
        <f t="shared" ref="U7:U14" si="1">H7</f>
        <v>0</v>
      </c>
      <c r="V7" s="708" t="s">
        <v>17</v>
      </c>
      <c r="W7" s="709">
        <f t="shared" ref="W7:W14" si="2">J7</f>
        <v>0</v>
      </c>
      <c r="X7" s="710"/>
      <c r="Y7" s="3295" t="s">
        <v>2369</v>
      </c>
      <c r="Z7" s="3296"/>
      <c r="AA7" s="711" t="e">
        <f>D7/F7</f>
        <v>#DIV/0!</v>
      </c>
      <c r="AB7" s="711" t="e">
        <f>D7/H7</f>
        <v>#DIV/0!</v>
      </c>
      <c r="AC7" s="711"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7"/>
      <c r="M8" s="2928"/>
      <c r="N8" s="2928"/>
      <c r="O8" s="2928"/>
      <c r="P8" s="3295" t="s">
        <v>2372</v>
      </c>
      <c r="Q8" s="3296"/>
      <c r="R8" s="708" t="s">
        <v>17</v>
      </c>
      <c r="S8" s="709">
        <f t="shared" si="0"/>
        <v>0</v>
      </c>
      <c r="T8" s="708" t="s">
        <v>17</v>
      </c>
      <c r="U8" s="709">
        <f t="shared" si="1"/>
        <v>0</v>
      </c>
      <c r="V8" s="708" t="s">
        <v>17</v>
      </c>
      <c r="W8" s="709">
        <f t="shared" si="2"/>
        <v>0</v>
      </c>
      <c r="X8" s="710"/>
      <c r="Y8" s="3295" t="s">
        <v>2372</v>
      </c>
      <c r="Z8" s="3296"/>
      <c r="AA8" s="711" t="e">
        <f t="shared" ref="AA8:AA36" si="3">D8/F8</f>
        <v>#DIV/0!</v>
      </c>
      <c r="AB8" s="711" t="e">
        <f t="shared" ref="AB8:AB36" si="4">D8/H8</f>
        <v>#DIV/0!</v>
      </c>
      <c r="AC8" s="711" t="e">
        <f t="shared" ref="AC8:AC36" si="5">D8/J8</f>
        <v>#DIV/0!</v>
      </c>
    </row>
    <row r="9" spans="1:29" s="113" customFormat="1">
      <c r="A9" s="64" t="s">
        <v>2373</v>
      </c>
      <c r="B9" s="595" t="s">
        <v>2374</v>
      </c>
      <c r="C9" s="376"/>
      <c r="D9" s="131">
        <v>100</v>
      </c>
      <c r="E9" s="379"/>
      <c r="F9" s="131">
        <f>SUMIF(53:53,E9,54:54)-SUMIF(53:53,C9,54:54)+100</f>
        <v>100</v>
      </c>
      <c r="G9" s="377"/>
      <c r="H9" s="131">
        <f>SUMIF(53:53,G9,54:54)-SUMIF(53:53,C9,54:54)+100</f>
        <v>100</v>
      </c>
      <c r="I9" s="377"/>
      <c r="J9" s="131">
        <f>SUMIF(53:53,I9,54:54)-SUMIF(53:53,C9,54:54)+100</f>
        <v>100</v>
      </c>
      <c r="K9" s="568"/>
      <c r="L9" s="2927"/>
      <c r="M9" s="2928"/>
      <c r="N9" s="2928"/>
      <c r="O9" s="2928"/>
      <c r="P9" s="3327" t="s">
        <v>2375</v>
      </c>
      <c r="Q9" s="1520" t="str">
        <f t="shared" ref="Q9:Q14" si="6">B9</f>
        <v>用途</v>
      </c>
      <c r="R9" s="708" t="s">
        <v>17</v>
      </c>
      <c r="S9" s="709">
        <f t="shared" si="0"/>
        <v>100</v>
      </c>
      <c r="T9" s="708" t="s">
        <v>17</v>
      </c>
      <c r="U9" s="709">
        <f t="shared" si="1"/>
        <v>100</v>
      </c>
      <c r="V9" s="708" t="s">
        <v>17</v>
      </c>
      <c r="W9" s="709">
        <f t="shared" si="2"/>
        <v>100</v>
      </c>
      <c r="X9" s="710"/>
      <c r="Y9" s="3260" t="s">
        <v>2376</v>
      </c>
      <c r="Z9" s="55" t="str">
        <f t="shared" ref="Z9:Z14" si="7">Q9</f>
        <v>用途</v>
      </c>
      <c r="AA9" s="711">
        <f t="shared" si="3"/>
        <v>1</v>
      </c>
      <c r="AB9" s="711">
        <f t="shared" si="4"/>
        <v>1</v>
      </c>
      <c r="AC9" s="711">
        <f t="shared" si="5"/>
        <v>1</v>
      </c>
    </row>
    <row r="10" spans="1:29" s="386" customFormat="1" ht="27">
      <c r="A10" s="596"/>
      <c r="B10" s="597" t="s">
        <v>2377</v>
      </c>
      <c r="C10" s="382"/>
      <c r="D10" s="132">
        <v>100</v>
      </c>
      <c r="E10" s="382"/>
      <c r="F10" s="132">
        <f>SUMIF(55:55,E10,56:56)-SUMIF(55:55,C10,56:56)+100</f>
        <v>100</v>
      </c>
      <c r="G10" s="383"/>
      <c r="H10" s="132">
        <f>SUMIF(55:55,G10,56:56)-SUMIF(55:55,C10,56:56)+100</f>
        <v>100</v>
      </c>
      <c r="I10" s="382"/>
      <c r="J10" s="132">
        <f>SUMIF(55:55,I10,56:56)-SUMIF(55:55,C10,56:56)+100</f>
        <v>100</v>
      </c>
      <c r="K10" s="569"/>
      <c r="L10" s="2929"/>
      <c r="M10" s="2930"/>
      <c r="N10" s="2930"/>
      <c r="O10" s="2930"/>
      <c r="P10" s="3327"/>
      <c r="Q10" s="1520" t="str">
        <f t="shared" si="6"/>
        <v>土地使用年限（年）</v>
      </c>
      <c r="R10" s="708" t="s">
        <v>17</v>
      </c>
      <c r="S10" s="709">
        <f t="shared" si="0"/>
        <v>100</v>
      </c>
      <c r="T10" s="708" t="s">
        <v>17</v>
      </c>
      <c r="U10" s="709">
        <f t="shared" si="1"/>
        <v>100</v>
      </c>
      <c r="V10" s="708" t="s">
        <v>17</v>
      </c>
      <c r="W10" s="709">
        <f t="shared" si="2"/>
        <v>100</v>
      </c>
      <c r="X10" s="710"/>
      <c r="Y10" s="3260"/>
      <c r="Z10" s="55" t="str">
        <f t="shared" si="7"/>
        <v>土地使用年限（年）</v>
      </c>
      <c r="AA10" s="711">
        <f t="shared" si="3"/>
        <v>1</v>
      </c>
      <c r="AB10" s="711">
        <f t="shared" si="4"/>
        <v>1</v>
      </c>
      <c r="AC10" s="711">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1"/>
      <c r="M11" s="2926"/>
      <c r="N11" s="2926"/>
      <c r="O11" s="2926"/>
      <c r="P11" s="3327"/>
      <c r="Q11" s="1520">
        <f t="shared" si="6"/>
        <v>111</v>
      </c>
      <c r="R11" s="708" t="s">
        <v>17</v>
      </c>
      <c r="S11" s="709">
        <f t="shared" si="0"/>
        <v>100</v>
      </c>
      <c r="T11" s="708" t="s">
        <v>17</v>
      </c>
      <c r="U11" s="709">
        <f t="shared" si="1"/>
        <v>100</v>
      </c>
      <c r="V11" s="708" t="s">
        <v>17</v>
      </c>
      <c r="W11" s="709">
        <f t="shared" si="2"/>
        <v>100</v>
      </c>
      <c r="X11" s="710"/>
      <c r="Y11" s="3260"/>
      <c r="Z11" s="55">
        <f t="shared" si="7"/>
        <v>111</v>
      </c>
      <c r="AA11" s="711">
        <f t="shared" si="3"/>
        <v>1</v>
      </c>
      <c r="AB11" s="711">
        <f t="shared" si="4"/>
        <v>1</v>
      </c>
      <c r="AC11" s="711">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27"/>
      <c r="M12" s="2928"/>
      <c r="N12" s="2928"/>
      <c r="O12" s="2928"/>
      <c r="P12" s="3327"/>
      <c r="Q12" s="1520">
        <f t="shared" si="6"/>
        <v>111</v>
      </c>
      <c r="R12" s="708" t="s">
        <v>17</v>
      </c>
      <c r="S12" s="709">
        <f t="shared" si="0"/>
        <v>100</v>
      </c>
      <c r="T12" s="708" t="s">
        <v>17</v>
      </c>
      <c r="U12" s="709">
        <f t="shared" si="1"/>
        <v>100</v>
      </c>
      <c r="V12" s="708" t="s">
        <v>17</v>
      </c>
      <c r="W12" s="709">
        <f t="shared" si="2"/>
        <v>100</v>
      </c>
      <c r="X12" s="710"/>
      <c r="Y12" s="3260"/>
      <c r="Z12" s="55">
        <f t="shared" si="7"/>
        <v>111</v>
      </c>
      <c r="AA12" s="711">
        <f>D12/F12</f>
        <v>1</v>
      </c>
      <c r="AB12" s="711">
        <f>D12/H12</f>
        <v>1</v>
      </c>
      <c r="AC12" s="711">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32"/>
      <c r="M13" s="2926"/>
      <c r="N13" s="2926"/>
      <c r="O13" s="2926"/>
      <c r="P13" s="3327"/>
      <c r="Q13" s="1520">
        <f t="shared" si="6"/>
        <v>111</v>
      </c>
      <c r="R13" s="708" t="s">
        <v>17</v>
      </c>
      <c r="S13" s="709">
        <f t="shared" si="0"/>
        <v>100</v>
      </c>
      <c r="T13" s="708" t="s">
        <v>17</v>
      </c>
      <c r="U13" s="709">
        <f t="shared" si="1"/>
        <v>100</v>
      </c>
      <c r="V13" s="708" t="s">
        <v>17</v>
      </c>
      <c r="W13" s="709">
        <f t="shared" si="2"/>
        <v>100</v>
      </c>
      <c r="X13" s="710"/>
      <c r="Y13" s="3260"/>
      <c r="Z13" s="55">
        <f t="shared" si="7"/>
        <v>111</v>
      </c>
      <c r="AA13" s="711">
        <f t="shared" si="3"/>
        <v>1</v>
      </c>
      <c r="AB13" s="711">
        <f t="shared" si="4"/>
        <v>1</v>
      </c>
      <c r="AC13" s="711">
        <f t="shared" si="5"/>
        <v>1</v>
      </c>
    </row>
    <row r="14" spans="1:29" ht="99.75">
      <c r="A14" s="361" t="s">
        <v>2379</v>
      </c>
      <c r="B14" s="584" t="s">
        <v>2529</v>
      </c>
      <c r="C14" s="2147" t="str">
        <f>IF(B1="工业",估价对象房地状况!G4,估价对象房地状况!C6)</f>
        <v>估价对象紧邻平阳路，有13、39、56、65、901等公交线路，项目有地面停车场，综合评价交通便捷度较好。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2"/>
      <c r="M14" s="2926"/>
      <c r="N14" s="2926"/>
      <c r="O14" s="2926"/>
      <c r="P14" s="3329" t="s">
        <v>2380</v>
      </c>
      <c r="Q14" s="1529" t="str">
        <f t="shared" si="6"/>
        <v>交通便捷度</v>
      </c>
      <c r="R14" s="712" t="s">
        <v>17</v>
      </c>
      <c r="S14" s="713">
        <f t="shared" si="0"/>
        <v>100</v>
      </c>
      <c r="T14" s="712" t="s">
        <v>17</v>
      </c>
      <c r="U14" s="713">
        <f t="shared" si="1"/>
        <v>100</v>
      </c>
      <c r="V14" s="712" t="s">
        <v>17</v>
      </c>
      <c r="W14" s="713">
        <f t="shared" si="2"/>
        <v>100</v>
      </c>
      <c r="X14" s="1532"/>
      <c r="Y14" s="3329" t="s">
        <v>2380</v>
      </c>
      <c r="Z14" s="1533" t="str">
        <f t="shared" si="7"/>
        <v>交通便捷度</v>
      </c>
      <c r="AA14" s="1530">
        <f t="shared" si="3"/>
        <v>1</v>
      </c>
      <c r="AB14" s="1530">
        <f t="shared" si="4"/>
        <v>1</v>
      </c>
      <c r="AC14" s="1530">
        <f t="shared" si="5"/>
        <v>1</v>
      </c>
    </row>
    <row r="15" spans="1:29" ht="15">
      <c r="A15" s="364"/>
      <c r="B15" s="602"/>
      <c r="C15" s="406"/>
      <c r="D15" s="407"/>
      <c r="E15" s="406"/>
      <c r="F15" s="408"/>
      <c r="G15" s="406"/>
      <c r="H15" s="409"/>
      <c r="I15" s="406"/>
      <c r="J15" s="407"/>
      <c r="K15" s="572"/>
      <c r="L15" s="2932"/>
      <c r="M15" s="2926"/>
      <c r="N15" s="2926"/>
      <c r="O15" s="2926"/>
      <c r="P15" s="3330"/>
      <c r="Q15" s="1529"/>
      <c r="R15" s="712"/>
      <c r="S15" s="713"/>
      <c r="T15" s="712"/>
      <c r="U15" s="713"/>
      <c r="V15" s="712"/>
      <c r="W15" s="713"/>
      <c r="X15" s="1532"/>
      <c r="Y15" s="3330"/>
      <c r="Z15" s="1533"/>
      <c r="AA15" s="1530">
        <v>1</v>
      </c>
      <c r="AB15" s="1530">
        <v>1</v>
      </c>
      <c r="AC15" s="1530">
        <v>1</v>
      </c>
    </row>
    <row r="16" spans="1:29" ht="42.75">
      <c r="A16" s="364"/>
      <c r="B16" s="586" t="s">
        <v>2508</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2"/>
      <c r="M16" s="2926"/>
      <c r="N16" s="2926"/>
      <c r="O16" s="2926"/>
      <c r="P16" s="3330"/>
      <c r="Q16" s="1529" t="str">
        <f>B16</f>
        <v>公共配套设施</v>
      </c>
      <c r="R16" s="712" t="s">
        <v>17</v>
      </c>
      <c r="S16" s="713">
        <f>F16</f>
        <v>100</v>
      </c>
      <c r="T16" s="712" t="s">
        <v>17</v>
      </c>
      <c r="U16" s="713">
        <f>H16</f>
        <v>100</v>
      </c>
      <c r="V16" s="712" t="s">
        <v>17</v>
      </c>
      <c r="W16" s="713">
        <f>J16</f>
        <v>100</v>
      </c>
      <c r="X16" s="1532"/>
      <c r="Y16" s="3330"/>
      <c r="Z16" s="1533" t="str">
        <f>Q16</f>
        <v>公共配套设施</v>
      </c>
      <c r="AA16" s="1530">
        <f t="shared" si="3"/>
        <v>1</v>
      </c>
      <c r="AB16" s="1530">
        <f t="shared" si="4"/>
        <v>1</v>
      </c>
      <c r="AC16" s="1530">
        <f t="shared" si="5"/>
        <v>1</v>
      </c>
    </row>
    <row r="17" spans="1:29" ht="15">
      <c r="A17" s="364"/>
      <c r="B17" s="587"/>
      <c r="C17" s="2079"/>
      <c r="D17" s="407"/>
      <c r="E17" s="406"/>
      <c r="F17" s="408"/>
      <c r="G17" s="406"/>
      <c r="H17" s="407"/>
      <c r="I17" s="406"/>
      <c r="J17" s="407"/>
      <c r="K17" s="572"/>
      <c r="L17" s="2932"/>
      <c r="M17" s="2926"/>
      <c r="N17" s="2926"/>
      <c r="O17" s="2926"/>
      <c r="P17" s="3330"/>
      <c r="Q17" s="1529"/>
      <c r="R17" s="712"/>
      <c r="S17" s="713"/>
      <c r="T17" s="712"/>
      <c r="U17" s="713"/>
      <c r="V17" s="712"/>
      <c r="W17" s="713"/>
      <c r="X17" s="1532"/>
      <c r="Y17" s="3330"/>
      <c r="Z17" s="1533"/>
      <c r="AA17" s="1530">
        <v>1</v>
      </c>
      <c r="AB17" s="1530">
        <v>1</v>
      </c>
      <c r="AC17" s="1530">
        <v>1</v>
      </c>
    </row>
    <row r="18" spans="1:29" ht="28.5">
      <c r="A18" s="364"/>
      <c r="B18" s="588" t="s">
        <v>2509</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2"/>
      <c r="M18" s="2926"/>
      <c r="N18" s="2926"/>
      <c r="O18" s="2926"/>
      <c r="P18" s="3330"/>
      <c r="Q18" s="1529" t="str">
        <f>B18</f>
        <v>基础设施水平</v>
      </c>
      <c r="R18" s="712" t="s">
        <v>17</v>
      </c>
      <c r="S18" s="713">
        <f>F18</f>
        <v>100</v>
      </c>
      <c r="T18" s="712" t="s">
        <v>17</v>
      </c>
      <c r="U18" s="713">
        <f>H18</f>
        <v>100</v>
      </c>
      <c r="V18" s="712" t="s">
        <v>17</v>
      </c>
      <c r="W18" s="713">
        <f>J18</f>
        <v>100</v>
      </c>
      <c r="X18" s="1532"/>
      <c r="Y18" s="3330"/>
      <c r="Z18" s="1533" t="str">
        <f>Q18</f>
        <v>基础设施水平</v>
      </c>
      <c r="AA18" s="1530">
        <f t="shared" ref="AA18" si="8">D18/F18</f>
        <v>1</v>
      </c>
      <c r="AB18" s="1530">
        <f t="shared" ref="AB18" si="9">D18/H18</f>
        <v>1</v>
      </c>
      <c r="AC18" s="1530">
        <f t="shared" ref="AC18" si="10">D18/J18</f>
        <v>1</v>
      </c>
    </row>
    <row r="19" spans="1:29" ht="15">
      <c r="A19" s="364"/>
      <c r="B19" s="588"/>
      <c r="C19" s="2079"/>
      <c r="D19" s="409"/>
      <c r="E19" s="2079"/>
      <c r="F19" s="412"/>
      <c r="G19" s="2079"/>
      <c r="H19" s="407"/>
      <c r="I19" s="406"/>
      <c r="J19" s="407"/>
      <c r="K19" s="1287"/>
      <c r="L19" s="2932"/>
      <c r="M19" s="2926"/>
      <c r="N19" s="2926"/>
      <c r="O19" s="2926"/>
      <c r="P19" s="3330"/>
      <c r="Q19" s="1529"/>
      <c r="R19" s="712"/>
      <c r="S19" s="713"/>
      <c r="T19" s="712"/>
      <c r="U19" s="713"/>
      <c r="V19" s="712"/>
      <c r="W19" s="713"/>
      <c r="X19" s="1532"/>
      <c r="Y19" s="3330"/>
      <c r="Z19" s="1533"/>
      <c r="AA19" s="1530">
        <v>1</v>
      </c>
      <c r="AB19" s="1530">
        <v>1</v>
      </c>
      <c r="AC19" s="1530">
        <v>1</v>
      </c>
    </row>
    <row r="20" spans="1:29" ht="99.75">
      <c r="A20" s="364"/>
      <c r="B20" s="586" t="s">
        <v>2530</v>
      </c>
      <c r="C20" s="2078" t="str">
        <f>IF(B1="工业",估价对象房地状况!G7,估价对象房地状况!C9)</f>
        <v>估价对象周边有盆景园、太原汾河景区等自然景观、更有菊花坪、凉亭等人文景观、环境状况较好</v>
      </c>
      <c r="D20" s="414">
        <v>100</v>
      </c>
      <c r="E20" s="416"/>
      <c r="F20" s="417">
        <f>SUMIF(69:69,E21,70:70)-SUMIF(69:69,C21,70:70)+100</f>
        <v>100</v>
      </c>
      <c r="G20" s="418"/>
      <c r="H20" s="409">
        <f>SUMIF(69:69,G21,70:70)-SUMIF(69:69,C21,70:70)+100</f>
        <v>100</v>
      </c>
      <c r="I20" s="411"/>
      <c r="J20" s="409">
        <f>SUMIF(69:69,I21,70:70)-SUMIF(69:69,C21,70:70)+100</f>
        <v>100</v>
      </c>
      <c r="K20" s="571"/>
      <c r="L20" s="2932"/>
      <c r="M20" s="2926"/>
      <c r="N20" s="2926"/>
      <c r="O20" s="2926"/>
      <c r="P20" s="3330"/>
      <c r="Q20" s="1529" t="str">
        <f>B20</f>
        <v>自然及人文环境</v>
      </c>
      <c r="R20" s="712" t="s">
        <v>17</v>
      </c>
      <c r="S20" s="713">
        <f>F20</f>
        <v>100</v>
      </c>
      <c r="T20" s="712" t="s">
        <v>17</v>
      </c>
      <c r="U20" s="713">
        <f>H20</f>
        <v>100</v>
      </c>
      <c r="V20" s="712" t="s">
        <v>17</v>
      </c>
      <c r="W20" s="713">
        <f>J20</f>
        <v>100</v>
      </c>
      <c r="X20" s="1532"/>
      <c r="Y20" s="3330"/>
      <c r="Z20" s="1533" t="str">
        <f>Q20</f>
        <v>自然及人文环境</v>
      </c>
      <c r="AA20" s="1530">
        <f t="shared" si="3"/>
        <v>1</v>
      </c>
      <c r="AB20" s="1530">
        <f t="shared" si="4"/>
        <v>1</v>
      </c>
      <c r="AC20" s="1530">
        <f t="shared" si="5"/>
        <v>1</v>
      </c>
    </row>
    <row r="21" spans="1:29" ht="15">
      <c r="A21" s="364"/>
      <c r="B21" s="587"/>
      <c r="C21" s="406"/>
      <c r="D21" s="407"/>
      <c r="E21" s="406"/>
      <c r="F21" s="408"/>
      <c r="G21" s="406"/>
      <c r="H21" s="407"/>
      <c r="I21" s="406"/>
      <c r="J21" s="407"/>
      <c r="K21" s="572"/>
      <c r="L21" s="2932"/>
      <c r="M21" s="2926"/>
      <c r="N21" s="2926"/>
      <c r="O21" s="2926"/>
      <c r="P21" s="3330"/>
      <c r="Q21" s="1529"/>
      <c r="R21" s="712"/>
      <c r="S21" s="713"/>
      <c r="T21" s="712"/>
      <c r="U21" s="713"/>
      <c r="V21" s="712"/>
      <c r="W21" s="713"/>
      <c r="X21" s="1532"/>
      <c r="Y21" s="3330"/>
      <c r="Z21" s="1533"/>
      <c r="AA21" s="1530">
        <v>1</v>
      </c>
      <c r="AB21" s="1530">
        <v>1</v>
      </c>
      <c r="AC21" s="1530">
        <v>1</v>
      </c>
    </row>
    <row r="22" spans="1:29" ht="15">
      <c r="A22" s="364"/>
      <c r="B22" s="586" t="s">
        <v>2531</v>
      </c>
      <c r="C22" s="573"/>
      <c r="D22" s="409">
        <v>100</v>
      </c>
      <c r="E22" s="573"/>
      <c r="F22" s="420">
        <f>SUMIF(71:71,E22,72:72)-SUMIF(71:71,C22,72:72)+100</f>
        <v>100</v>
      </c>
      <c r="G22" s="573"/>
      <c r="H22" s="394">
        <f>SUMIF(71:71,G22,72:72)-SUMIF(71:71,C22,72:72)+100</f>
        <v>100</v>
      </c>
      <c r="I22" s="573"/>
      <c r="J22" s="394">
        <f>SUMIF(71:71,I22,72:72)-SUMIF(71:71,C22,72:72)+100</f>
        <v>100</v>
      </c>
      <c r="K22" s="569"/>
      <c r="L22" s="2932"/>
      <c r="M22" s="2926"/>
      <c r="N22" s="2926"/>
      <c r="O22" s="2926"/>
      <c r="P22" s="3330"/>
      <c r="Q22" s="1529" t="str">
        <f>B22</f>
        <v>楼层</v>
      </c>
      <c r="R22" s="712" t="s">
        <v>17</v>
      </c>
      <c r="S22" s="713">
        <f>F22</f>
        <v>100</v>
      </c>
      <c r="T22" s="712" t="s">
        <v>17</v>
      </c>
      <c r="U22" s="713">
        <f>H22</f>
        <v>100</v>
      </c>
      <c r="V22" s="712" t="s">
        <v>17</v>
      </c>
      <c r="W22" s="713">
        <f>J22</f>
        <v>100</v>
      </c>
      <c r="X22" s="1532"/>
      <c r="Y22" s="3330"/>
      <c r="Z22" s="1533" t="str">
        <f>Q22</f>
        <v>楼层</v>
      </c>
      <c r="AA22" s="1530">
        <f t="shared" si="3"/>
        <v>1</v>
      </c>
      <c r="AB22" s="1530">
        <f t="shared" si="4"/>
        <v>1</v>
      </c>
      <c r="AC22" s="1530">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32"/>
      <c r="M23" s="2926"/>
      <c r="N23" s="2926"/>
      <c r="O23" s="2926"/>
      <c r="P23" s="3330"/>
      <c r="Q23" s="1529">
        <f>B23</f>
        <v>111</v>
      </c>
      <c r="R23" s="712" t="s">
        <v>17</v>
      </c>
      <c r="S23" s="713">
        <f>F23</f>
        <v>100</v>
      </c>
      <c r="T23" s="712" t="s">
        <v>17</v>
      </c>
      <c r="U23" s="713">
        <f>H23</f>
        <v>100</v>
      </c>
      <c r="V23" s="712" t="s">
        <v>17</v>
      </c>
      <c r="W23" s="713">
        <f>J23</f>
        <v>100</v>
      </c>
      <c r="X23" s="1532"/>
      <c r="Y23" s="3330"/>
      <c r="Z23" s="1533">
        <f>Q23</f>
        <v>111</v>
      </c>
      <c r="AA23" s="1530">
        <f t="shared" si="3"/>
        <v>1</v>
      </c>
      <c r="AB23" s="1530">
        <f t="shared" si="4"/>
        <v>1</v>
      </c>
      <c r="AC23" s="1530">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32"/>
      <c r="M24" s="2926"/>
      <c r="N24" s="2926"/>
      <c r="O24" s="2926"/>
      <c r="P24" s="3330"/>
      <c r="Q24" s="1529">
        <f t="shared" ref="Q24:Q36" si="11">B24</f>
        <v>111</v>
      </c>
      <c r="R24" s="712" t="s">
        <v>17</v>
      </c>
      <c r="S24" s="713">
        <f>F24</f>
        <v>100</v>
      </c>
      <c r="T24" s="712" t="s">
        <v>17</v>
      </c>
      <c r="U24" s="713">
        <f>H24</f>
        <v>100</v>
      </c>
      <c r="V24" s="712" t="s">
        <v>17</v>
      </c>
      <c r="W24" s="713">
        <f>J24</f>
        <v>100</v>
      </c>
      <c r="X24" s="1532"/>
      <c r="Y24" s="3330"/>
      <c r="Z24" s="1533">
        <f>Q24</f>
        <v>111</v>
      </c>
      <c r="AA24" s="1530">
        <f t="shared" si="3"/>
        <v>1</v>
      </c>
      <c r="AB24" s="1530">
        <f t="shared" si="4"/>
        <v>1</v>
      </c>
      <c r="AC24" s="1530">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27"/>
      <c r="M25" s="2928"/>
      <c r="N25" s="2928"/>
      <c r="O25" s="2928"/>
      <c r="P25" s="3330"/>
      <c r="Q25" s="1520">
        <f t="shared" si="11"/>
        <v>111</v>
      </c>
      <c r="R25" s="708" t="s">
        <v>17</v>
      </c>
      <c r="S25" s="709">
        <f>F25</f>
        <v>100</v>
      </c>
      <c r="T25" s="708" t="s">
        <v>17</v>
      </c>
      <c r="U25" s="709">
        <f>H25</f>
        <v>100</v>
      </c>
      <c r="V25" s="708" t="s">
        <v>17</v>
      </c>
      <c r="W25" s="709">
        <f>J25</f>
        <v>100</v>
      </c>
      <c r="X25" s="710"/>
      <c r="Y25" s="3330"/>
      <c r="Z25" s="55">
        <f>Q25</f>
        <v>111</v>
      </c>
      <c r="AA25" s="1530">
        <f>D25/F25</f>
        <v>1</v>
      </c>
      <c r="AB25" s="1530">
        <f>D25/H25</f>
        <v>1</v>
      </c>
      <c r="AC25" s="1530">
        <f>D25/J25</f>
        <v>1</v>
      </c>
    </row>
    <row r="26" spans="1:29" ht="28.5">
      <c r="A26" s="607" t="s">
        <v>2383</v>
      </c>
      <c r="B26" s="66" t="s">
        <v>2532</v>
      </c>
      <c r="C26" s="2148">
        <f>B1</f>
        <v>0</v>
      </c>
      <c r="D26" s="407">
        <v>100</v>
      </c>
      <c r="E26" s="406"/>
      <c r="F26" s="408">
        <f>SUMIF(79:79,E26,80:80)-SUMIF(79:79,C26,80:80)+100</f>
        <v>100</v>
      </c>
      <c r="G26" s="406"/>
      <c r="H26" s="407">
        <f>SUMIF(79:79,G26,80:80)-SUMIF(79:79,C26,80:80)+100</f>
        <v>100</v>
      </c>
      <c r="I26" s="406"/>
      <c r="J26" s="407">
        <f>SUMIF(79:79,I26,80:80)-SUMIF(79:79,C26,80:80)+100</f>
        <v>100</v>
      </c>
      <c r="K26" s="569"/>
      <c r="L26" s="2932"/>
      <c r="M26" s="2926"/>
      <c r="N26" s="2926"/>
      <c r="O26" s="2926"/>
      <c r="P26" s="3380" t="s">
        <v>2385</v>
      </c>
      <c r="Q26" s="1529" t="str">
        <f t="shared" si="11"/>
        <v>配套类型</v>
      </c>
      <c r="R26" s="712" t="s">
        <v>17</v>
      </c>
      <c r="S26" s="713">
        <f t="shared" ref="S26:S36" si="12">F26</f>
        <v>100</v>
      </c>
      <c r="T26" s="712" t="s">
        <v>17</v>
      </c>
      <c r="U26" s="713">
        <f t="shared" ref="U26:U36" si="13">H26</f>
        <v>100</v>
      </c>
      <c r="V26" s="712" t="s">
        <v>17</v>
      </c>
      <c r="W26" s="713">
        <f t="shared" ref="W26:W36" si="14">J26</f>
        <v>100</v>
      </c>
      <c r="X26" s="1532"/>
      <c r="Y26" s="3334" t="s">
        <v>2385</v>
      </c>
      <c r="Z26" s="1533" t="str">
        <f t="shared" ref="Z26:Z36" si="15">Q26</f>
        <v>配套类型</v>
      </c>
      <c r="AA26" s="1530">
        <f t="shared" si="3"/>
        <v>1</v>
      </c>
      <c r="AB26" s="1530">
        <f t="shared" si="4"/>
        <v>1</v>
      </c>
      <c r="AC26" s="1530">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31"/>
      <c r="M27" s="2933"/>
      <c r="N27" s="2933"/>
      <c r="O27" s="2933"/>
      <c r="P27" s="3334"/>
      <c r="Q27" s="714" t="str">
        <f t="shared" si="11"/>
        <v>项目停车位配比</v>
      </c>
      <c r="R27" s="715" t="s">
        <v>17</v>
      </c>
      <c r="S27" s="716">
        <f t="shared" si="12"/>
        <v>100</v>
      </c>
      <c r="T27" s="715" t="s">
        <v>17</v>
      </c>
      <c r="U27" s="716">
        <f t="shared" si="13"/>
        <v>100</v>
      </c>
      <c r="V27" s="715" t="s">
        <v>17</v>
      </c>
      <c r="W27" s="716">
        <f t="shared" si="14"/>
        <v>100</v>
      </c>
      <c r="X27" s="717"/>
      <c r="Y27" s="3334"/>
      <c r="Z27" s="718" t="str">
        <f t="shared" si="15"/>
        <v>项目停车位配比</v>
      </c>
      <c r="AA27" s="1530">
        <f t="shared" si="3"/>
        <v>1</v>
      </c>
      <c r="AB27" s="1530">
        <f t="shared" si="4"/>
        <v>1</v>
      </c>
      <c r="AC27" s="1530">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32"/>
      <c r="M28" s="2926"/>
      <c r="N28" s="2926"/>
      <c r="O28" s="2926"/>
      <c r="P28" s="3334"/>
      <c r="Q28" s="1529" t="str">
        <f t="shared" si="11"/>
        <v>公共部分装修</v>
      </c>
      <c r="R28" s="712" t="s">
        <v>17</v>
      </c>
      <c r="S28" s="713">
        <f t="shared" si="12"/>
        <v>100</v>
      </c>
      <c r="T28" s="712" t="s">
        <v>17</v>
      </c>
      <c r="U28" s="713">
        <f t="shared" si="13"/>
        <v>100</v>
      </c>
      <c r="V28" s="712" t="s">
        <v>17</v>
      </c>
      <c r="W28" s="713">
        <f t="shared" si="14"/>
        <v>100</v>
      </c>
      <c r="X28" s="1532"/>
      <c r="Y28" s="3334"/>
      <c r="Z28" s="1533" t="str">
        <f t="shared" si="15"/>
        <v>公共部分装修</v>
      </c>
      <c r="AA28" s="1530">
        <f t="shared" si="3"/>
        <v>1</v>
      </c>
      <c r="AB28" s="1530">
        <f t="shared" si="4"/>
        <v>1</v>
      </c>
      <c r="AC28" s="1530">
        <f t="shared" si="5"/>
        <v>1</v>
      </c>
    </row>
    <row r="29" spans="1:29" ht="15">
      <c r="A29" s="611"/>
      <c r="B29" s="609"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2"/>
      <c r="M29" s="2926"/>
      <c r="N29" s="2926"/>
      <c r="O29" s="2926"/>
      <c r="P29" s="3334"/>
      <c r="Q29" s="1529" t="str">
        <f t="shared" si="11"/>
        <v>成新率</v>
      </c>
      <c r="R29" s="712" t="s">
        <v>17</v>
      </c>
      <c r="S29" s="713" t="e">
        <f t="shared" si="12"/>
        <v>#N/A</v>
      </c>
      <c r="T29" s="712" t="s">
        <v>17</v>
      </c>
      <c r="U29" s="713" t="e">
        <f t="shared" si="13"/>
        <v>#N/A</v>
      </c>
      <c r="V29" s="712" t="s">
        <v>17</v>
      </c>
      <c r="W29" s="713" t="e">
        <f t="shared" si="14"/>
        <v>#N/A</v>
      </c>
      <c r="X29" s="1532"/>
      <c r="Y29" s="3334"/>
      <c r="Z29" s="1533" t="str">
        <f t="shared" si="15"/>
        <v>成新率</v>
      </c>
      <c r="AA29" s="1530" t="e">
        <f t="shared" si="3"/>
        <v>#N/A</v>
      </c>
      <c r="AB29" s="1530" t="e">
        <f t="shared" si="4"/>
        <v>#N/A</v>
      </c>
      <c r="AC29" s="1530" t="e">
        <f t="shared" si="5"/>
        <v>#N/A</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32"/>
      <c r="M30" s="2926"/>
      <c r="N30" s="2926"/>
      <c r="O30" s="2926"/>
      <c r="P30" s="3334"/>
      <c r="Q30" s="1529" t="str">
        <f t="shared" si="11"/>
        <v>物业等级</v>
      </c>
      <c r="R30" s="712" t="s">
        <v>17</v>
      </c>
      <c r="S30" s="713">
        <f t="shared" si="12"/>
        <v>100</v>
      </c>
      <c r="T30" s="712" t="s">
        <v>17</v>
      </c>
      <c r="U30" s="713">
        <f t="shared" si="13"/>
        <v>100</v>
      </c>
      <c r="V30" s="712" t="s">
        <v>17</v>
      </c>
      <c r="W30" s="713">
        <f t="shared" si="14"/>
        <v>100</v>
      </c>
      <c r="X30" s="1532"/>
      <c r="Y30" s="3334"/>
      <c r="Z30" s="1533" t="str">
        <f t="shared" si="15"/>
        <v>物业等级</v>
      </c>
      <c r="AA30" s="1530">
        <f t="shared" si="3"/>
        <v>1</v>
      </c>
      <c r="AB30" s="1530">
        <f t="shared" si="4"/>
        <v>1</v>
      </c>
      <c r="AC30" s="1530">
        <f t="shared" si="5"/>
        <v>1</v>
      </c>
    </row>
    <row r="31" spans="1:29" s="113" customFormat="1" ht="15">
      <c r="A31" s="613"/>
      <c r="B31" s="609"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7"/>
      <c r="M31" s="2928"/>
      <c r="N31" s="2928"/>
      <c r="O31" s="2928"/>
      <c r="P31" s="3334"/>
      <c r="Q31" s="1520" t="str">
        <f t="shared" si="11"/>
        <v>停车位面积</v>
      </c>
      <c r="R31" s="708" t="s">
        <v>17</v>
      </c>
      <c r="S31" s="709" t="e">
        <f t="shared" si="12"/>
        <v>#N/A</v>
      </c>
      <c r="T31" s="708" t="s">
        <v>17</v>
      </c>
      <c r="U31" s="709" t="e">
        <f t="shared" si="13"/>
        <v>#N/A</v>
      </c>
      <c r="V31" s="708" t="s">
        <v>17</v>
      </c>
      <c r="W31" s="709" t="e">
        <f t="shared" si="14"/>
        <v>#N/A</v>
      </c>
      <c r="X31" s="710"/>
      <c r="Y31" s="3334"/>
      <c r="Z31" s="55" t="str">
        <f t="shared" si="15"/>
        <v>停车位面积</v>
      </c>
      <c r="AA31" s="711" t="e">
        <f t="shared" si="3"/>
        <v>#N/A</v>
      </c>
      <c r="AB31" s="711" t="e">
        <f t="shared" si="4"/>
        <v>#N/A</v>
      </c>
      <c r="AC31" s="711" t="e">
        <f t="shared" si="5"/>
        <v>#N/A</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32"/>
      <c r="M32" s="2926"/>
      <c r="N32" s="2926"/>
      <c r="O32" s="2926"/>
      <c r="P32" s="3334" t="s">
        <v>2385</v>
      </c>
      <c r="Q32" s="1529" t="str">
        <f t="shared" si="11"/>
        <v>车位类型</v>
      </c>
      <c r="R32" s="712" t="s">
        <v>17</v>
      </c>
      <c r="S32" s="713">
        <f t="shared" si="12"/>
        <v>100</v>
      </c>
      <c r="T32" s="712" t="s">
        <v>17</v>
      </c>
      <c r="U32" s="713">
        <f t="shared" si="13"/>
        <v>100</v>
      </c>
      <c r="V32" s="712" t="s">
        <v>17</v>
      </c>
      <c r="W32" s="713">
        <f t="shared" si="14"/>
        <v>100</v>
      </c>
      <c r="X32" s="1532"/>
      <c r="Y32" s="3334" t="s">
        <v>2385</v>
      </c>
      <c r="Z32" s="1533" t="str">
        <f t="shared" si="15"/>
        <v>车位类型</v>
      </c>
      <c r="AA32" s="1530">
        <f t="shared" si="3"/>
        <v>1</v>
      </c>
      <c r="AB32" s="1530">
        <f t="shared" si="4"/>
        <v>1</v>
      </c>
      <c r="AC32" s="1530">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32"/>
      <c r="M33" s="2926"/>
      <c r="N33" s="2926"/>
      <c r="O33" s="2926"/>
      <c r="P33" s="3334"/>
      <c r="Q33" s="1529" t="str">
        <f t="shared" si="11"/>
        <v>是否直接入户</v>
      </c>
      <c r="R33" s="712" t="s">
        <v>17</v>
      </c>
      <c r="S33" s="713">
        <f t="shared" si="12"/>
        <v>100</v>
      </c>
      <c r="T33" s="712" t="s">
        <v>17</v>
      </c>
      <c r="U33" s="713">
        <f t="shared" si="13"/>
        <v>100</v>
      </c>
      <c r="V33" s="712" t="s">
        <v>17</v>
      </c>
      <c r="W33" s="713">
        <f t="shared" si="14"/>
        <v>100</v>
      </c>
      <c r="X33" s="1532"/>
      <c r="Y33" s="3334"/>
      <c r="Z33" s="1533" t="str">
        <f t="shared" si="15"/>
        <v>是否直接入户</v>
      </c>
      <c r="AA33" s="1530">
        <f t="shared" si="3"/>
        <v>1</v>
      </c>
      <c r="AB33" s="1530">
        <f t="shared" si="4"/>
        <v>1</v>
      </c>
      <c r="AC33" s="1530">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32"/>
      <c r="M34" s="2926"/>
      <c r="N34" s="2926"/>
      <c r="O34" s="2926"/>
      <c r="P34" s="3334"/>
      <c r="Q34" s="1529">
        <f t="shared" si="11"/>
        <v>111</v>
      </c>
      <c r="R34" s="712" t="s">
        <v>17</v>
      </c>
      <c r="S34" s="713">
        <f t="shared" si="12"/>
        <v>100</v>
      </c>
      <c r="T34" s="712" t="s">
        <v>17</v>
      </c>
      <c r="U34" s="713">
        <f t="shared" si="13"/>
        <v>100</v>
      </c>
      <c r="V34" s="712" t="s">
        <v>17</v>
      </c>
      <c r="W34" s="713">
        <f t="shared" si="14"/>
        <v>100</v>
      </c>
      <c r="X34" s="1532"/>
      <c r="Y34" s="3334"/>
      <c r="Z34" s="1533">
        <f t="shared" si="15"/>
        <v>111</v>
      </c>
      <c r="AA34" s="1530">
        <f t="shared" si="3"/>
        <v>1</v>
      </c>
      <c r="AB34" s="1530">
        <f t="shared" si="4"/>
        <v>1</v>
      </c>
      <c r="AC34" s="1530">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1"/>
      <c r="M35" s="2933"/>
      <c r="N35" s="2933"/>
      <c r="O35" s="2933"/>
      <c r="P35" s="3334"/>
      <c r="Q35" s="714">
        <f t="shared" si="11"/>
        <v>111</v>
      </c>
      <c r="R35" s="715" t="s">
        <v>17</v>
      </c>
      <c r="S35" s="716">
        <f t="shared" si="12"/>
        <v>100</v>
      </c>
      <c r="T35" s="715" t="s">
        <v>17</v>
      </c>
      <c r="U35" s="716">
        <f t="shared" si="13"/>
        <v>100</v>
      </c>
      <c r="V35" s="715" t="s">
        <v>17</v>
      </c>
      <c r="W35" s="716">
        <f t="shared" si="14"/>
        <v>100</v>
      </c>
      <c r="X35" s="717"/>
      <c r="Y35" s="3334"/>
      <c r="Z35" s="718">
        <f t="shared" si="15"/>
        <v>111</v>
      </c>
      <c r="AA35" s="1530">
        <f t="shared" si="3"/>
        <v>1</v>
      </c>
      <c r="AB35" s="1530">
        <f t="shared" si="4"/>
        <v>1</v>
      </c>
      <c r="AC35" s="1530">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2"/>
      <c r="M36" s="2926"/>
      <c r="N36" s="2926"/>
      <c r="O36" s="2926"/>
      <c r="P36" s="3334"/>
      <c r="Q36" s="1529">
        <f t="shared" si="11"/>
        <v>111</v>
      </c>
      <c r="R36" s="712" t="s">
        <v>17</v>
      </c>
      <c r="S36" s="713">
        <f t="shared" si="12"/>
        <v>100</v>
      </c>
      <c r="T36" s="712" t="s">
        <v>17</v>
      </c>
      <c r="U36" s="713">
        <f t="shared" si="13"/>
        <v>100</v>
      </c>
      <c r="V36" s="712" t="s">
        <v>17</v>
      </c>
      <c r="W36" s="713">
        <f t="shared" si="14"/>
        <v>100</v>
      </c>
      <c r="X36" s="1532"/>
      <c r="Y36" s="3334"/>
      <c r="Z36" s="1533">
        <f t="shared" si="15"/>
        <v>111</v>
      </c>
      <c r="AA36" s="1530">
        <f t="shared" si="3"/>
        <v>1</v>
      </c>
      <c r="AB36" s="1530">
        <f t="shared" si="4"/>
        <v>1</v>
      </c>
      <c r="AC36" s="1530">
        <f t="shared" si="5"/>
        <v>1</v>
      </c>
    </row>
    <row r="37" spans="1:29" ht="15">
      <c r="A37" s="438" t="s">
        <v>2540</v>
      </c>
      <c r="B37" s="2149" t="s">
        <v>2541</v>
      </c>
      <c r="C37" s="1311" t="s">
        <v>1</v>
      </c>
      <c r="D37" s="1312"/>
      <c r="E37" s="1313"/>
      <c r="F37" s="1314"/>
      <c r="G37" s="1315"/>
      <c r="H37" s="1316"/>
      <c r="I37" s="1313"/>
      <c r="J37" s="1316"/>
      <c r="K37" s="575"/>
      <c r="L37" s="2934"/>
      <c r="M37" s="2935"/>
      <c r="N37" s="2926"/>
      <c r="O37" s="2935"/>
      <c r="P37" s="3327" t="str">
        <f>A37</f>
        <v>成交单价</v>
      </c>
      <c r="Q37" s="3327"/>
      <c r="R37" s="3328">
        <f>E37</f>
        <v>0</v>
      </c>
      <c r="S37" s="3328"/>
      <c r="T37" s="3328">
        <f>G37</f>
        <v>0</v>
      </c>
      <c r="U37" s="3328"/>
      <c r="V37" s="3328">
        <f>I37</f>
        <v>0</v>
      </c>
      <c r="W37" s="3328"/>
      <c r="X37" s="697"/>
      <c r="Y37" s="719"/>
      <c r="Z37" s="697"/>
      <c r="AA37" s="697"/>
      <c r="AB37" s="697"/>
      <c r="AC37" s="697"/>
    </row>
    <row r="38" spans="1:29" ht="15.75" thickBot="1">
      <c r="A38" s="445" t="s">
        <v>2542</v>
      </c>
      <c r="B38" s="446" t="str">
        <f>B37</f>
        <v>元/车位</v>
      </c>
      <c r="C38" s="1317" t="e">
        <f>R39</f>
        <v>#DIV/0!</v>
      </c>
      <c r="D38" s="2528" t="s">
        <v>2876</v>
      </c>
      <c r="E38" s="1318" t="e">
        <f>R38</f>
        <v>#DIV/0!</v>
      </c>
      <c r="F38" s="2529"/>
      <c r="G38" s="1317" t="e">
        <f>T38</f>
        <v>#DIV/0!</v>
      </c>
      <c r="H38" s="2529"/>
      <c r="I38" s="1318" t="e">
        <f>V38</f>
        <v>#DIV/0!</v>
      </c>
      <c r="J38" s="2529"/>
      <c r="K38" s="2531">
        <f>F38+H38+J38</f>
        <v>0</v>
      </c>
      <c r="L38" s="2934"/>
      <c r="M38" s="2935"/>
      <c r="N38" s="2935"/>
      <c r="O38" s="2935"/>
      <c r="P38" s="3327" t="str">
        <f>A38</f>
        <v>比较价值（元/平方米）</v>
      </c>
      <c r="Q38" s="3327"/>
      <c r="R38" s="3328" t="e">
        <f>IF(F1="售价",ROUND(PRODUCT(R37,AA7:AA36),0),ROUND(PRODUCT(R37,AA7:AA36),1))</f>
        <v>#DIV/0!</v>
      </c>
      <c r="S38" s="3328"/>
      <c r="T38" s="3328" t="e">
        <f>IF(F1="售价",ROUND(PRODUCT(T37,AB7:AB36),0),ROUND(PRODUCT(T37,AB7:AB36),1))</f>
        <v>#DIV/0!</v>
      </c>
      <c r="U38" s="3328"/>
      <c r="V38" s="3328" t="e">
        <f>IF(F1="售价",ROUND(PRODUCT(V37,AC7:AC36),0),ROUND(PRODUCT(V37,AC7:AC36),1))</f>
        <v>#DIV/0!</v>
      </c>
      <c r="W38" s="3328"/>
      <c r="X38" s="697"/>
      <c r="Y38" s="697"/>
      <c r="Z38" s="697"/>
      <c r="AA38" s="697"/>
      <c r="AB38" s="697"/>
      <c r="AC38" s="697"/>
    </row>
    <row r="39" spans="1:29" ht="15.75" thickBot="1">
      <c r="A39" s="449" t="s">
        <v>2543</v>
      </c>
      <c r="B39" s="450"/>
      <c r="C39" s="1320" t="e">
        <f>R39</f>
        <v>#DIV/0!</v>
      </c>
      <c r="D39" s="1320"/>
      <c r="E39" s="1320"/>
      <c r="F39" s="1320"/>
      <c r="G39" s="1320"/>
      <c r="H39" s="1320"/>
      <c r="I39" s="1320"/>
      <c r="J39" s="1320"/>
      <c r="K39" s="576"/>
      <c r="L39" s="2934"/>
      <c r="M39" s="2935"/>
      <c r="N39" s="2935"/>
      <c r="O39" s="2935"/>
      <c r="P39" s="3324" t="str">
        <f>A39</f>
        <v>估价对象XX用房的比较价值（楼面单价，元/平方米）</v>
      </c>
      <c r="Q39" s="3325"/>
      <c r="R39" s="3381" t="e">
        <f>IF(F1="售价",ROUND(IF(D38="简单平均",AVERAGE(R38:W38),R38*F38+T38*H38+V38*J38),0),ROUND(IF(D38="简单平均",AVERAGE(R38:V38),R38*F38+T38*H38+V38*J38),1))</f>
        <v>#DIV/0!</v>
      </c>
      <c r="S39" s="3381"/>
      <c r="T39" s="3381"/>
      <c r="U39" s="3381"/>
      <c r="V39" s="3381"/>
      <c r="W39" s="3381"/>
      <c r="X39" s="697"/>
      <c r="Y39" s="697"/>
      <c r="Z39" s="697"/>
      <c r="AA39" s="697"/>
      <c r="AB39" s="697"/>
      <c r="AC39" s="697"/>
    </row>
    <row r="40" spans="1:29">
      <c r="A40" s="2935"/>
      <c r="B40" s="2935"/>
      <c r="C40" s="2935"/>
      <c r="D40" s="2935"/>
      <c r="E40" s="2935"/>
      <c r="F40" s="2935"/>
      <c r="G40" s="2939"/>
      <c r="H40" s="2935"/>
      <c r="I40" s="2935"/>
      <c r="J40" s="2935"/>
      <c r="K40" s="2940"/>
      <c r="L40" s="2936"/>
      <c r="M40" s="2935"/>
      <c r="N40" s="2935"/>
      <c r="O40" s="2935"/>
      <c r="P40" s="2966"/>
      <c r="Q40" s="2935"/>
      <c r="R40" s="2935"/>
      <c r="S40" s="2935"/>
      <c r="T40" s="2935"/>
      <c r="U40" s="2935"/>
      <c r="V40" s="2935"/>
      <c r="W40" s="2935"/>
      <c r="X40" s="2935"/>
      <c r="Y40" s="2935"/>
      <c r="Z40" s="2935"/>
      <c r="AA40" s="2935"/>
      <c r="AB40" s="2935"/>
      <c r="AC40" s="2935"/>
    </row>
    <row r="41" spans="1:29">
      <c r="A41" s="2935"/>
      <c r="B41" s="2935"/>
      <c r="C41" s="2935"/>
      <c r="D41" s="2935"/>
      <c r="E41" s="2935"/>
      <c r="F41" s="2935"/>
      <c r="G41" s="2935"/>
      <c r="H41" s="2935"/>
      <c r="I41" s="2935"/>
      <c r="J41" s="2935"/>
      <c r="K41" s="2940"/>
      <c r="L41" s="2936"/>
      <c r="M41" s="2935"/>
      <c r="N41" s="2935"/>
      <c r="O41" s="2935"/>
      <c r="P41" s="2966"/>
      <c r="Q41" s="2935"/>
      <c r="R41" s="2935"/>
      <c r="S41" s="2935"/>
      <c r="T41" s="2935"/>
      <c r="U41" s="2935"/>
      <c r="V41" s="2935"/>
      <c r="W41" s="2935"/>
      <c r="X41" s="2935"/>
      <c r="Y41" s="2935"/>
      <c r="Z41" s="2935"/>
      <c r="AA41" s="2935"/>
      <c r="AB41" s="2935"/>
      <c r="AC41" s="2935"/>
    </row>
    <row r="42" spans="1:29" ht="13.5" customHeight="1">
      <c r="A42" s="2935"/>
      <c r="B42" s="293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0"/>
      <c r="L42" s="2936"/>
      <c r="M42" s="2935"/>
      <c r="N42" s="2935"/>
      <c r="O42" s="2935"/>
      <c r="P42" s="2966"/>
      <c r="Q42" s="2935"/>
      <c r="R42" s="2935"/>
      <c r="S42" s="2935"/>
      <c r="T42" s="2935"/>
      <c r="U42" s="2935"/>
      <c r="V42" s="2935"/>
      <c r="W42" s="2935"/>
      <c r="X42" s="2935"/>
      <c r="Y42" s="2935"/>
      <c r="Z42" s="2935"/>
      <c r="AA42" s="2935"/>
      <c r="AB42" s="2935"/>
      <c r="AC42" s="2935"/>
    </row>
    <row r="43" spans="1:29" ht="13.5" customHeight="1">
      <c r="A43" s="2935"/>
      <c r="B43" s="293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0"/>
      <c r="L43" s="2936"/>
      <c r="M43" s="2935"/>
      <c r="N43" s="2935"/>
      <c r="O43" s="2935"/>
      <c r="P43" s="2966"/>
      <c r="Q43" s="2935"/>
      <c r="R43" s="2935"/>
      <c r="S43" s="2935"/>
      <c r="T43" s="2935"/>
      <c r="U43" s="2935"/>
      <c r="V43" s="2935"/>
      <c r="W43" s="2935"/>
      <c r="X43" s="2935"/>
      <c r="Y43" s="2935"/>
      <c r="Z43" s="2935"/>
      <c r="AA43" s="2935"/>
      <c r="AB43" s="2935"/>
      <c r="AC43" s="2935"/>
    </row>
    <row r="44" spans="1:29" s="459" customFormat="1" ht="13.5" customHeight="1">
      <c r="A44" s="2938"/>
      <c r="B44" s="293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3"/>
      <c r="L44" s="2937"/>
      <c r="M44" s="2938"/>
      <c r="N44" s="2938"/>
      <c r="O44" s="2938"/>
      <c r="P44" s="2967"/>
      <c r="Q44" s="2938"/>
      <c r="R44" s="2938"/>
      <c r="S44" s="2938"/>
      <c r="T44" s="2938"/>
      <c r="U44" s="2938"/>
      <c r="V44" s="2938"/>
      <c r="W44" s="2938"/>
      <c r="X44" s="2938"/>
      <c r="Y44" s="2938"/>
      <c r="Z44" s="2938"/>
      <c r="AA44" s="2938"/>
      <c r="AB44" s="2938"/>
      <c r="AC44" s="2938"/>
    </row>
    <row r="45" spans="1:29" s="459" customFormat="1">
      <c r="A45" s="2938"/>
      <c r="B45" s="2941"/>
      <c r="C45" s="2942"/>
      <c r="D45" s="2938"/>
      <c r="E45" s="2938"/>
      <c r="F45" s="2938"/>
      <c r="G45" s="2938"/>
      <c r="H45" s="2938"/>
      <c r="I45" s="2938"/>
      <c r="J45" s="2938"/>
      <c r="K45" s="2943"/>
      <c r="L45" s="2937"/>
      <c r="M45" s="2938"/>
      <c r="N45" s="2938"/>
      <c r="O45" s="2938"/>
      <c r="P45" s="2967"/>
      <c r="Q45" s="2938"/>
      <c r="R45" s="2938"/>
      <c r="S45" s="2938"/>
      <c r="T45" s="2938"/>
      <c r="U45" s="2938"/>
      <c r="V45" s="2938"/>
      <c r="W45" s="2938"/>
      <c r="X45" s="2938"/>
      <c r="Y45" s="2938"/>
      <c r="Z45" s="2938"/>
      <c r="AA45" s="2938"/>
      <c r="AB45" s="2938"/>
      <c r="AC45" s="2938"/>
    </row>
    <row r="46" spans="1:29">
      <c r="A46" s="2935"/>
      <c r="B46" s="2941"/>
      <c r="C46" s="2942"/>
      <c r="D46" s="2935"/>
      <c r="E46" s="2935"/>
      <c r="F46" s="2935"/>
      <c r="G46" s="2935"/>
      <c r="H46" s="2935"/>
      <c r="I46" s="2935"/>
      <c r="J46" s="2935"/>
      <c r="K46" s="2940"/>
      <c r="L46" s="2936"/>
      <c r="M46" s="2935"/>
      <c r="N46" s="2935"/>
      <c r="O46" s="2935"/>
      <c r="P46" s="2966"/>
      <c r="Q46" s="2935"/>
      <c r="R46" s="2935"/>
      <c r="S46" s="2935"/>
      <c r="T46" s="2935"/>
      <c r="U46" s="2935"/>
      <c r="V46" s="2935"/>
      <c r="W46" s="2935"/>
      <c r="X46" s="2935"/>
      <c r="Y46" s="2935"/>
      <c r="Z46" s="2935"/>
      <c r="AA46" s="2935"/>
      <c r="AB46" s="2935"/>
      <c r="AC46" s="2935"/>
    </row>
    <row r="47" spans="1:29" ht="21.75" thickBot="1">
      <c r="A47" s="1323" t="s">
        <v>2547</v>
      </c>
      <c r="B47" s="1055"/>
      <c r="C47" s="1068"/>
      <c r="D47" s="1068"/>
      <c r="E47" s="1068"/>
      <c r="F47" s="1324"/>
      <c r="G47" s="1324"/>
      <c r="H47" s="1068"/>
      <c r="I47" s="1068"/>
      <c r="J47" s="1068"/>
      <c r="K47" s="1069"/>
      <c r="L47" s="1070"/>
      <c r="M47" s="1068"/>
      <c r="N47" s="2979"/>
      <c r="O47" s="2979"/>
      <c r="P47" s="2968"/>
      <c r="Q47" s="2949"/>
      <c r="R47" s="2935"/>
      <c r="S47" s="2935"/>
      <c r="T47" s="2935"/>
      <c r="U47" s="2935"/>
      <c r="V47" s="2935"/>
      <c r="W47" s="2935"/>
      <c r="X47" s="2935"/>
      <c r="Y47" s="2935"/>
      <c r="Z47" s="2935"/>
      <c r="AA47" s="2935"/>
      <c r="AB47" s="2935"/>
      <c r="AC47" s="2935"/>
    </row>
    <row r="48" spans="1:29" s="465" customFormat="1" ht="15">
      <c r="A48" s="462" t="s">
        <v>2548</v>
      </c>
      <c r="B48" s="463"/>
      <c r="C48" s="1341" t="str">
        <f>YEAR(C7)&amp;"-"&amp;MONTH(C7)</f>
        <v>2021-5</v>
      </c>
      <c r="D48" s="1342">
        <f>EDATE(C48,-1)</f>
        <v>44287</v>
      </c>
      <c r="E48" s="1342">
        <f t="shared" ref="E48:O48" si="16">EDATE(D48,-1)</f>
        <v>44256</v>
      </c>
      <c r="F48" s="1342">
        <f t="shared" si="16"/>
        <v>44228</v>
      </c>
      <c r="G48" s="1342">
        <f t="shared" si="16"/>
        <v>44197</v>
      </c>
      <c r="H48" s="1342">
        <f t="shared" si="16"/>
        <v>44166</v>
      </c>
      <c r="I48" s="1342">
        <f t="shared" si="16"/>
        <v>44136</v>
      </c>
      <c r="J48" s="1342">
        <f t="shared" si="16"/>
        <v>44105</v>
      </c>
      <c r="K48" s="1342">
        <f t="shared" si="16"/>
        <v>44075</v>
      </c>
      <c r="L48" s="1342">
        <f t="shared" si="16"/>
        <v>44044</v>
      </c>
      <c r="M48" s="1342">
        <f t="shared" si="16"/>
        <v>44013</v>
      </c>
      <c r="N48" s="1342">
        <f t="shared" si="16"/>
        <v>43983</v>
      </c>
      <c r="O48" s="1342">
        <f t="shared" si="16"/>
        <v>43952</v>
      </c>
      <c r="P48" s="2969"/>
      <c r="Q48" s="2951"/>
      <c r="R48" s="2951"/>
      <c r="S48" s="2951"/>
      <c r="T48" s="2951"/>
      <c r="U48" s="2951"/>
      <c r="V48" s="2951"/>
      <c r="W48" s="2951"/>
      <c r="X48" s="2951"/>
      <c r="Y48" s="2951"/>
      <c r="Z48" s="2951"/>
      <c r="AA48" s="2951"/>
      <c r="AB48" s="2951"/>
      <c r="AC48" s="2951"/>
    </row>
    <row r="49" spans="1:29" s="113" customFormat="1" ht="15">
      <c r="A49" s="466"/>
      <c r="B49" s="467"/>
      <c r="C49" s="1334">
        <v>100</v>
      </c>
      <c r="D49" s="469"/>
      <c r="E49" s="469"/>
      <c r="F49" s="469"/>
      <c r="G49" s="469"/>
      <c r="H49" s="469"/>
      <c r="I49" s="469"/>
      <c r="J49" s="469"/>
      <c r="K49" s="469"/>
      <c r="L49" s="469"/>
      <c r="M49" s="470"/>
      <c r="N49" s="469"/>
      <c r="O49" s="470"/>
      <c r="P49" s="2970"/>
      <c r="Q49" s="2870"/>
      <c r="R49" s="2870"/>
      <c r="S49" s="2870"/>
      <c r="T49" s="2870"/>
      <c r="U49" s="2870"/>
      <c r="V49" s="2870"/>
      <c r="W49" s="2870"/>
      <c r="X49" s="2870"/>
      <c r="Y49" s="2870"/>
      <c r="Z49" s="2870"/>
      <c r="AA49" s="2870"/>
      <c r="AB49" s="2870"/>
      <c r="AC49" s="2870"/>
    </row>
    <row r="50" spans="1:29" s="113" customFormat="1" ht="15.75" thickBot="1">
      <c r="A50" s="472" t="s">
        <v>2405</v>
      </c>
      <c r="B50" s="473"/>
      <c r="C50" s="474"/>
      <c r="D50" s="475"/>
      <c r="E50" s="475"/>
      <c r="F50" s="475"/>
      <c r="G50" s="475"/>
      <c r="H50" s="475"/>
      <c r="I50" s="475"/>
      <c r="J50" s="475"/>
      <c r="K50" s="475"/>
      <c r="L50" s="475"/>
      <c r="M50" s="476"/>
      <c r="N50" s="475"/>
      <c r="O50" s="476"/>
      <c r="P50" s="2970"/>
      <c r="Q50" s="2949"/>
      <c r="R50" s="2870"/>
      <c r="S50" s="2870"/>
      <c r="T50" s="2870"/>
      <c r="U50" s="2870"/>
      <c r="V50" s="2870"/>
      <c r="W50" s="2870"/>
      <c r="X50" s="2870"/>
      <c r="Y50" s="2870"/>
      <c r="Z50" s="2870"/>
      <c r="AA50" s="2870"/>
      <c r="AB50" s="2870"/>
      <c r="AC50" s="2870"/>
    </row>
    <row r="51" spans="1:29" s="113" customFormat="1" ht="15">
      <c r="A51" s="478" t="s">
        <v>2370</v>
      </c>
      <c r="B51" s="467"/>
      <c r="C51" s="479" t="s">
        <v>2472</v>
      </c>
      <c r="D51" s="480"/>
      <c r="E51" s="480"/>
      <c r="F51" s="480"/>
      <c r="G51" s="480"/>
      <c r="H51" s="480"/>
      <c r="I51" s="480"/>
      <c r="J51" s="480"/>
      <c r="K51" s="480"/>
      <c r="L51" s="481"/>
      <c r="M51" s="482"/>
      <c r="N51" s="2962"/>
      <c r="O51" s="2962"/>
      <c r="P51" s="2971"/>
      <c r="Q51" s="2949"/>
      <c r="R51" s="2870"/>
      <c r="S51" s="2870"/>
      <c r="T51" s="2870"/>
      <c r="U51" s="2870"/>
      <c r="V51" s="2870"/>
      <c r="W51" s="2870"/>
      <c r="X51" s="2870"/>
      <c r="Y51" s="2870"/>
      <c r="Z51" s="2870"/>
      <c r="AA51" s="2870"/>
      <c r="AB51" s="2870"/>
      <c r="AC51" s="2870"/>
    </row>
    <row r="52" spans="1:29" s="113" customFormat="1" ht="15.75" thickBot="1">
      <c r="A52" s="478"/>
      <c r="B52" s="467"/>
      <c r="C52" s="594">
        <v>100</v>
      </c>
      <c r="D52" s="469"/>
      <c r="E52" s="469"/>
      <c r="F52" s="469"/>
      <c r="G52" s="469"/>
      <c r="H52" s="469"/>
      <c r="I52" s="469"/>
      <c r="J52" s="469"/>
      <c r="K52" s="469"/>
      <c r="L52" s="469"/>
      <c r="M52" s="471"/>
      <c r="N52" s="2962"/>
      <c r="O52" s="2962"/>
      <c r="P52" s="2970"/>
      <c r="Q52" s="2949"/>
      <c r="R52" s="2870"/>
      <c r="S52" s="2870"/>
      <c r="T52" s="2870"/>
      <c r="U52" s="2870"/>
      <c r="V52" s="2870"/>
      <c r="W52" s="2870"/>
      <c r="X52" s="2870"/>
      <c r="Y52" s="2870"/>
      <c r="Z52" s="2870"/>
      <c r="AA52" s="2870"/>
      <c r="AB52" s="2870"/>
      <c r="AC52" s="2870"/>
    </row>
    <row r="53" spans="1:29">
      <c r="A53" s="484" t="s">
        <v>2408</v>
      </c>
      <c r="B53" s="485" t="s">
        <v>2374</v>
      </c>
      <c r="C53" s="486">
        <f>C9</f>
        <v>0</v>
      </c>
      <c r="D53" s="487"/>
      <c r="E53" s="487"/>
      <c r="F53" s="487"/>
      <c r="G53" s="487"/>
      <c r="H53" s="487"/>
      <c r="I53" s="487"/>
      <c r="J53" s="487"/>
      <c r="K53" s="488"/>
      <c r="L53" s="489"/>
      <c r="M53" s="490"/>
      <c r="N53" s="2963"/>
      <c r="O53" s="2963"/>
      <c r="P53" s="2972"/>
      <c r="Q53" s="2949"/>
      <c r="R53" s="2935"/>
      <c r="S53" s="2935"/>
      <c r="T53" s="2935"/>
      <c r="U53" s="2935"/>
      <c r="V53" s="2935"/>
      <c r="W53" s="2935"/>
      <c r="X53" s="2935"/>
      <c r="Y53" s="2935"/>
      <c r="Z53" s="2935"/>
      <c r="AA53" s="2935"/>
      <c r="AB53" s="2935"/>
      <c r="AC53" s="2935"/>
    </row>
    <row r="54" spans="1:29" ht="15.75" thickBot="1">
      <c r="A54" s="491"/>
      <c r="B54" s="492"/>
      <c r="C54" s="493">
        <v>100</v>
      </c>
      <c r="D54" s="493"/>
      <c r="E54" s="493"/>
      <c r="F54" s="493"/>
      <c r="G54" s="493"/>
      <c r="H54" s="493"/>
      <c r="I54" s="493"/>
      <c r="J54" s="493"/>
      <c r="K54" s="493"/>
      <c r="L54" s="493"/>
      <c r="M54" s="494"/>
      <c r="N54" s="2964"/>
      <c r="O54" s="2964"/>
      <c r="P54" s="2972"/>
      <c r="Q54" s="2949"/>
      <c r="R54" s="2935"/>
      <c r="S54" s="2935"/>
      <c r="T54" s="2935"/>
      <c r="U54" s="2935"/>
      <c r="V54" s="2935"/>
      <c r="W54" s="2935"/>
      <c r="X54" s="2935"/>
      <c r="Y54" s="2935"/>
      <c r="Z54" s="2935"/>
      <c r="AA54" s="2935"/>
      <c r="AB54" s="2935"/>
      <c r="AC54" s="293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3"/>
      <c r="O55" s="2963"/>
      <c r="P55" s="2972"/>
      <c r="Q55" s="2949"/>
      <c r="R55" s="2935"/>
      <c r="S55" s="2935"/>
      <c r="T55" s="2935"/>
      <c r="U55" s="2935"/>
      <c r="V55" s="2935"/>
      <c r="W55" s="2935"/>
      <c r="X55" s="2935"/>
      <c r="Y55" s="2935"/>
      <c r="Z55" s="2935"/>
      <c r="AA55" s="2935"/>
      <c r="AB55" s="2935"/>
      <c r="AC55" s="293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4"/>
      <c r="O56" s="2964"/>
      <c r="P56" s="2972"/>
      <c r="Q56" s="2949"/>
      <c r="R56" s="2935"/>
      <c r="S56" s="2935"/>
      <c r="T56" s="2935"/>
      <c r="U56" s="2935"/>
      <c r="V56" s="2935"/>
      <c r="W56" s="2935"/>
      <c r="X56" s="2935"/>
      <c r="Y56" s="2935"/>
      <c r="Z56" s="2935"/>
      <c r="AA56" s="2935"/>
      <c r="AB56" s="2935"/>
      <c r="AC56" s="2935"/>
    </row>
    <row r="57" spans="1:29" ht="15.75" thickTop="1">
      <c r="A57" s="491"/>
      <c r="B57" s="615">
        <f>B11</f>
        <v>111</v>
      </c>
      <c r="C57" s="506"/>
      <c r="D57" s="506"/>
      <c r="E57" s="506"/>
      <c r="F57" s="506"/>
      <c r="G57" s="506"/>
      <c r="H57" s="506"/>
      <c r="I57" s="506"/>
      <c r="J57" s="506"/>
      <c r="K57" s="507"/>
      <c r="L57" s="508"/>
      <c r="M57" s="509"/>
      <c r="N57" s="2963"/>
      <c r="O57" s="2963"/>
      <c r="P57" s="2972"/>
      <c r="Q57" s="2949"/>
      <c r="R57" s="2935"/>
      <c r="S57" s="2935"/>
      <c r="T57" s="2935"/>
      <c r="U57" s="2935"/>
      <c r="V57" s="2935"/>
      <c r="W57" s="2935"/>
      <c r="X57" s="2935"/>
      <c r="Y57" s="2935"/>
      <c r="Z57" s="2935"/>
      <c r="AA57" s="2935"/>
      <c r="AB57" s="2935"/>
      <c r="AC57" s="2935"/>
    </row>
    <row r="58" spans="1:29" ht="15.75" thickBot="1">
      <c r="A58" s="491"/>
      <c r="B58" s="492"/>
      <c r="C58" s="517"/>
      <c r="D58" s="493"/>
      <c r="E58" s="493"/>
      <c r="F58" s="493"/>
      <c r="G58" s="493"/>
      <c r="H58" s="493"/>
      <c r="I58" s="493"/>
      <c r="J58" s="493"/>
      <c r="K58" s="493"/>
      <c r="L58" s="493"/>
      <c r="M58" s="494"/>
      <c r="N58" s="2964"/>
      <c r="O58" s="2964"/>
      <c r="P58" s="2972"/>
      <c r="Q58" s="2949"/>
      <c r="R58" s="2935"/>
      <c r="S58" s="2935"/>
      <c r="T58" s="2935"/>
      <c r="U58" s="2935"/>
      <c r="V58" s="2935"/>
      <c r="W58" s="2935"/>
      <c r="X58" s="2935"/>
      <c r="Y58" s="2935"/>
      <c r="Z58" s="2935"/>
      <c r="AA58" s="2935"/>
      <c r="AB58" s="2935"/>
      <c r="AC58" s="2935"/>
    </row>
    <row r="59" spans="1:29" s="430" customFormat="1" ht="15.75" thickTop="1">
      <c r="A59" s="510"/>
      <c r="B59" s="495">
        <f>B12</f>
        <v>111</v>
      </c>
      <c r="C59" s="506"/>
      <c r="D59" s="506"/>
      <c r="E59" s="506"/>
      <c r="F59" s="506"/>
      <c r="G59" s="511"/>
      <c r="H59" s="512"/>
      <c r="I59" s="512"/>
      <c r="J59" s="512"/>
      <c r="K59" s="512"/>
      <c r="L59" s="513"/>
      <c r="M59" s="514"/>
      <c r="N59" s="2965"/>
      <c r="O59" s="2965"/>
      <c r="P59" s="2973"/>
      <c r="Q59" s="2956"/>
      <c r="R59" s="2957"/>
      <c r="S59" s="2957"/>
      <c r="T59" s="2957"/>
      <c r="U59" s="2957"/>
      <c r="V59" s="2957"/>
      <c r="W59" s="2957"/>
      <c r="X59" s="2957"/>
      <c r="Y59" s="2957"/>
      <c r="Z59" s="2957"/>
      <c r="AA59" s="2957"/>
      <c r="AB59" s="2957"/>
      <c r="AC59" s="2957"/>
    </row>
    <row r="60" spans="1:29" s="430" customFormat="1" ht="15.75" thickBot="1">
      <c r="A60" s="510"/>
      <c r="B60" s="500"/>
      <c r="C60" s="517"/>
      <c r="D60" s="493"/>
      <c r="E60" s="493"/>
      <c r="F60" s="493"/>
      <c r="G60" s="493"/>
      <c r="H60" s="493"/>
      <c r="I60" s="493"/>
      <c r="J60" s="493"/>
      <c r="K60" s="493"/>
      <c r="L60" s="493"/>
      <c r="M60" s="494"/>
      <c r="N60" s="2964"/>
      <c r="O60" s="2964"/>
      <c r="P60" s="2973"/>
      <c r="Q60" s="2956"/>
      <c r="R60" s="2957"/>
      <c r="S60" s="2957"/>
      <c r="T60" s="2957"/>
      <c r="U60" s="2957"/>
      <c r="V60" s="2957"/>
      <c r="W60" s="2957"/>
      <c r="X60" s="2957"/>
      <c r="Y60" s="2957"/>
      <c r="Z60" s="2957"/>
      <c r="AA60" s="2957"/>
      <c r="AB60" s="2957"/>
      <c r="AC60" s="2957"/>
    </row>
    <row r="61" spans="1:29" s="430" customFormat="1" ht="15.75" thickTop="1">
      <c r="A61" s="510"/>
      <c r="B61" s="495">
        <f>B13</f>
        <v>111</v>
      </c>
      <c r="C61" s="511"/>
      <c r="D61" s="511"/>
      <c r="E61" s="511"/>
      <c r="F61" s="511"/>
      <c r="G61" s="511"/>
      <c r="H61" s="512"/>
      <c r="I61" s="512"/>
      <c r="J61" s="512"/>
      <c r="K61" s="512"/>
      <c r="L61" s="513"/>
      <c r="M61" s="514"/>
      <c r="N61" s="2965"/>
      <c r="O61" s="2965"/>
      <c r="P61" s="2974"/>
      <c r="Q61" s="2959"/>
      <c r="R61" s="2957"/>
      <c r="S61" s="2957"/>
      <c r="T61" s="2957"/>
      <c r="U61" s="2957"/>
      <c r="V61" s="2957"/>
      <c r="W61" s="2957"/>
      <c r="X61" s="2957"/>
      <c r="Y61" s="2957"/>
      <c r="Z61" s="2957"/>
      <c r="AA61" s="2957"/>
      <c r="AB61" s="2957"/>
      <c r="AC61" s="2957"/>
    </row>
    <row r="62" spans="1:29" s="430" customFormat="1" ht="15.75" thickBot="1">
      <c r="A62" s="510"/>
      <c r="B62" s="500"/>
      <c r="C62" s="517"/>
      <c r="D62" s="517"/>
      <c r="E62" s="517"/>
      <c r="F62" s="517"/>
      <c r="G62" s="517"/>
      <c r="H62" s="519"/>
      <c r="I62" s="519"/>
      <c r="J62" s="519"/>
      <c r="K62" s="519"/>
      <c r="L62" s="519"/>
      <c r="M62" s="520"/>
      <c r="N62" s="2965"/>
      <c r="O62" s="2965"/>
      <c r="P62" s="2973"/>
      <c r="Q62" s="2956"/>
      <c r="R62" s="2957"/>
      <c r="S62" s="2957"/>
      <c r="T62" s="2957"/>
      <c r="U62" s="2957"/>
      <c r="V62" s="2957"/>
      <c r="W62" s="2957"/>
      <c r="X62" s="2957"/>
      <c r="Y62" s="2957"/>
      <c r="Z62" s="2957"/>
      <c r="AA62" s="2957"/>
      <c r="AB62" s="2957"/>
      <c r="AC62" s="295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3"/>
      <c r="O63" s="2963"/>
      <c r="P63" s="2976"/>
      <c r="Q63" s="2949"/>
      <c r="R63" s="2935"/>
      <c r="S63" s="2935"/>
      <c r="T63" s="2935"/>
      <c r="U63" s="2935"/>
      <c r="V63" s="2935"/>
      <c r="W63" s="2935"/>
      <c r="X63" s="2935"/>
      <c r="Y63" s="2935"/>
      <c r="Z63" s="2935"/>
      <c r="AA63" s="2935"/>
      <c r="AB63" s="2935"/>
      <c r="AC63" s="293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4"/>
      <c r="O64" s="2964"/>
      <c r="P64" s="2972"/>
      <c r="Q64" s="2949"/>
      <c r="R64" s="2935"/>
      <c r="S64" s="2935"/>
      <c r="T64" s="2935"/>
      <c r="U64" s="2935"/>
      <c r="V64" s="2935"/>
      <c r="W64" s="2935"/>
      <c r="X64" s="2935"/>
      <c r="Y64" s="2935"/>
      <c r="Z64" s="2935"/>
      <c r="AA64" s="2935"/>
      <c r="AB64" s="2935"/>
      <c r="AC64" s="2935"/>
    </row>
    <row r="65" spans="1:29" ht="15.75" thickTop="1">
      <c r="A65" s="491"/>
      <c r="B65" s="495" t="s">
        <v>2423</v>
      </c>
      <c r="C65" s="535" t="s">
        <v>2417</v>
      </c>
      <c r="D65" s="535" t="s">
        <v>2418</v>
      </c>
      <c r="E65" s="535" t="s">
        <v>2419</v>
      </c>
      <c r="F65" s="535" t="s">
        <v>2420</v>
      </c>
      <c r="G65" s="535" t="s">
        <v>2421</v>
      </c>
      <c r="H65" s="496"/>
      <c r="I65" s="496"/>
      <c r="J65" s="496"/>
      <c r="K65" s="497"/>
      <c r="L65" s="498"/>
      <c r="M65" s="499"/>
      <c r="N65" s="2963"/>
      <c r="O65" s="2963"/>
      <c r="P65" s="2972"/>
      <c r="Q65" s="2949"/>
      <c r="R65" s="2935"/>
      <c r="S65" s="2935"/>
      <c r="T65" s="2935"/>
      <c r="U65" s="2935"/>
      <c r="V65" s="2935"/>
      <c r="W65" s="2935"/>
      <c r="X65" s="2935"/>
      <c r="Y65" s="2935"/>
      <c r="Z65" s="2935"/>
      <c r="AA65" s="2935"/>
      <c r="AB65" s="2935"/>
      <c r="AC65" s="293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4"/>
      <c r="O66" s="2964"/>
      <c r="P66" s="2972"/>
      <c r="Q66" s="2949"/>
      <c r="R66" s="2935"/>
      <c r="S66" s="2935"/>
      <c r="T66" s="2935"/>
      <c r="U66" s="2935"/>
      <c r="V66" s="2935"/>
      <c r="W66" s="2935"/>
      <c r="X66" s="2935"/>
      <c r="Y66" s="2935"/>
      <c r="Z66" s="2935"/>
      <c r="AA66" s="2935"/>
      <c r="AB66" s="2935"/>
      <c r="AC66" s="2935"/>
    </row>
    <row r="67" spans="1:29" ht="15.75" thickTop="1">
      <c r="A67" s="491"/>
      <c r="B67" s="503" t="s">
        <v>2509</v>
      </c>
      <c r="C67" s="615" t="s">
        <v>2495</v>
      </c>
      <c r="D67" s="615" t="s">
        <v>2496</v>
      </c>
      <c r="E67" s="615" t="s">
        <v>2497</v>
      </c>
      <c r="F67" s="615" t="s">
        <v>2498</v>
      </c>
      <c r="G67" s="615" t="s">
        <v>2499</v>
      </c>
      <c r="H67" s="496"/>
      <c r="I67" s="496"/>
      <c r="J67" s="496"/>
      <c r="K67" s="496"/>
      <c r="L67" s="496"/>
      <c r="M67" s="1286"/>
      <c r="N67" s="2964"/>
      <c r="O67" s="2964"/>
      <c r="P67" s="2972"/>
      <c r="Q67" s="2949"/>
      <c r="R67" s="2935"/>
      <c r="S67" s="2935"/>
      <c r="T67" s="2935"/>
      <c r="U67" s="2935"/>
      <c r="V67" s="2935"/>
      <c r="W67" s="2935"/>
      <c r="X67" s="2935"/>
      <c r="Y67" s="2935"/>
      <c r="Z67" s="2935"/>
      <c r="AA67" s="2935"/>
      <c r="AB67" s="2935"/>
      <c r="AC67" s="2935"/>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64"/>
      <c r="O68" s="2964"/>
      <c r="P68" s="2972"/>
      <c r="Q68" s="2949"/>
      <c r="R68" s="2935"/>
      <c r="S68" s="2935"/>
      <c r="T68" s="2935"/>
      <c r="U68" s="2935"/>
      <c r="V68" s="2935"/>
      <c r="W68" s="2935"/>
      <c r="X68" s="2935"/>
      <c r="Y68" s="2935"/>
      <c r="Z68" s="2935"/>
      <c r="AA68" s="2935"/>
      <c r="AB68" s="2935"/>
      <c r="AC68" s="2935"/>
    </row>
    <row r="69" spans="1:29" ht="15.75" thickTop="1">
      <c r="A69" s="491"/>
      <c r="B69" s="495" t="s">
        <v>2429</v>
      </c>
      <c r="C69" s="535" t="s">
        <v>2417</v>
      </c>
      <c r="D69" s="535" t="s">
        <v>2418</v>
      </c>
      <c r="E69" s="535" t="s">
        <v>2419</v>
      </c>
      <c r="F69" s="535" t="s">
        <v>2420</v>
      </c>
      <c r="G69" s="535" t="s">
        <v>2421</v>
      </c>
      <c r="H69" s="496"/>
      <c r="I69" s="496"/>
      <c r="J69" s="496"/>
      <c r="K69" s="497"/>
      <c r="L69" s="498"/>
      <c r="M69" s="499"/>
      <c r="N69" s="2963"/>
      <c r="O69" s="2963"/>
      <c r="P69" s="2972"/>
      <c r="Q69" s="2949"/>
      <c r="R69" s="2935"/>
      <c r="S69" s="2935"/>
      <c r="T69" s="2935"/>
      <c r="U69" s="2935"/>
      <c r="V69" s="2935"/>
      <c r="W69" s="2935"/>
      <c r="X69" s="2935"/>
      <c r="Y69" s="2935"/>
      <c r="Z69" s="2935"/>
      <c r="AA69" s="2935"/>
      <c r="AB69" s="2935"/>
      <c r="AC69" s="293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4"/>
      <c r="O70" s="2964"/>
      <c r="P70" s="2972"/>
      <c r="Q70" s="2949"/>
      <c r="R70" s="2935"/>
      <c r="S70" s="2935"/>
      <c r="T70" s="2935"/>
      <c r="U70" s="2935"/>
      <c r="V70" s="2935"/>
      <c r="W70" s="2935"/>
      <c r="X70" s="2935"/>
      <c r="Y70" s="2935"/>
      <c r="Z70" s="2935"/>
      <c r="AA70" s="2935"/>
      <c r="AB70" s="2935"/>
      <c r="AC70" s="2935"/>
    </row>
    <row r="71" spans="1:29" ht="15.75" thickTop="1">
      <c r="A71" s="491"/>
      <c r="B71" s="495" t="s">
        <v>2549</v>
      </c>
      <c r="C71" s="511"/>
      <c r="D71" s="511"/>
      <c r="E71" s="511"/>
      <c r="F71" s="511"/>
      <c r="G71" s="511"/>
      <c r="H71" s="540"/>
      <c r="I71" s="540"/>
      <c r="J71" s="540"/>
      <c r="K71" s="541"/>
      <c r="L71" s="542"/>
      <c r="M71" s="543"/>
      <c r="N71" s="2963"/>
      <c r="O71" s="2963"/>
      <c r="P71" s="2972"/>
      <c r="Q71" s="2949"/>
      <c r="R71" s="2935"/>
      <c r="S71" s="2935"/>
      <c r="T71" s="2935"/>
      <c r="U71" s="2935"/>
      <c r="V71" s="2935"/>
      <c r="W71" s="2935"/>
      <c r="X71" s="2935"/>
      <c r="Y71" s="2935"/>
      <c r="Z71" s="2935"/>
      <c r="AA71" s="2935"/>
      <c r="AB71" s="2935"/>
      <c r="AC71" s="293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4"/>
      <c r="O72" s="2964"/>
      <c r="P72" s="2972"/>
      <c r="Q72" s="2949"/>
      <c r="R72" s="2935"/>
      <c r="S72" s="2935"/>
      <c r="T72" s="2935"/>
      <c r="U72" s="2935"/>
      <c r="V72" s="2935"/>
      <c r="W72" s="2935"/>
      <c r="X72" s="2935"/>
      <c r="Y72" s="2935"/>
      <c r="Z72" s="2935"/>
      <c r="AA72" s="2935"/>
      <c r="AB72" s="2935"/>
      <c r="AC72" s="2935"/>
    </row>
    <row r="73" spans="1:29" s="113" customFormat="1" ht="15.75" thickTop="1">
      <c r="A73" s="536"/>
      <c r="B73" s="495">
        <f>B23</f>
        <v>111</v>
      </c>
      <c r="C73" s="506"/>
      <c r="D73" s="506"/>
      <c r="E73" s="506"/>
      <c r="F73" s="506"/>
      <c r="G73" s="511"/>
      <c r="H73" s="511"/>
      <c r="I73" s="511"/>
      <c r="J73" s="511"/>
      <c r="K73" s="511"/>
      <c r="L73" s="537"/>
      <c r="M73" s="538"/>
      <c r="N73" s="2962"/>
      <c r="O73" s="2962"/>
      <c r="P73" s="2972"/>
      <c r="Q73" s="2949"/>
      <c r="R73" s="2870"/>
      <c r="S73" s="2870"/>
      <c r="T73" s="2870"/>
      <c r="U73" s="2870"/>
      <c r="V73" s="2870"/>
      <c r="W73" s="2870"/>
      <c r="X73" s="2870"/>
      <c r="Y73" s="2870"/>
      <c r="Z73" s="2870"/>
      <c r="AA73" s="2870"/>
      <c r="AB73" s="2870"/>
      <c r="AC73" s="2870"/>
    </row>
    <row r="74" spans="1:29" s="113" customFormat="1" ht="15.75" thickBot="1">
      <c r="A74" s="536"/>
      <c r="B74" s="500"/>
      <c r="C74" s="517"/>
      <c r="D74" s="493"/>
      <c r="E74" s="493"/>
      <c r="F74" s="493"/>
      <c r="G74" s="493"/>
      <c r="H74" s="493"/>
      <c r="I74" s="493"/>
      <c r="J74" s="493"/>
      <c r="K74" s="493"/>
      <c r="L74" s="493"/>
      <c r="M74" s="494"/>
      <c r="N74" s="2964"/>
      <c r="O74" s="2964"/>
      <c r="P74" s="2972"/>
      <c r="Q74" s="2949"/>
      <c r="R74" s="2870"/>
      <c r="S74" s="2870"/>
      <c r="T74" s="2870"/>
      <c r="U74" s="2870"/>
      <c r="V74" s="2870"/>
      <c r="W74" s="2870"/>
      <c r="X74" s="2870"/>
      <c r="Y74" s="2870"/>
      <c r="Z74" s="2870"/>
      <c r="AA74" s="2870"/>
      <c r="AB74" s="2870"/>
      <c r="AC74" s="2870"/>
    </row>
    <row r="75" spans="1:29" s="113" customFormat="1" ht="15.75" thickTop="1">
      <c r="A75" s="536"/>
      <c r="B75" s="495">
        <f>B24</f>
        <v>111</v>
      </c>
      <c r="C75" s="506"/>
      <c r="D75" s="506"/>
      <c r="E75" s="506"/>
      <c r="F75" s="506"/>
      <c r="G75" s="511"/>
      <c r="H75" s="511"/>
      <c r="I75" s="511"/>
      <c r="J75" s="511"/>
      <c r="K75" s="511"/>
      <c r="L75" s="511"/>
      <c r="M75" s="538"/>
      <c r="N75" s="2962"/>
      <c r="O75" s="2962"/>
      <c r="P75" s="2972"/>
      <c r="Q75" s="2949"/>
      <c r="R75" s="2870"/>
      <c r="S75" s="2870"/>
      <c r="T75" s="2870"/>
      <c r="U75" s="2870"/>
      <c r="V75" s="2870"/>
      <c r="W75" s="2870"/>
      <c r="X75" s="2870"/>
      <c r="Y75" s="2870"/>
      <c r="Z75" s="2870"/>
      <c r="AA75" s="2870"/>
      <c r="AB75" s="2870"/>
      <c r="AC75" s="2870"/>
    </row>
    <row r="76" spans="1:29" s="113" customFormat="1" ht="15.75" thickBot="1">
      <c r="A76" s="536"/>
      <c r="B76" s="500"/>
      <c r="C76" s="517"/>
      <c r="D76" s="493"/>
      <c r="E76" s="493"/>
      <c r="F76" s="493"/>
      <c r="G76" s="493"/>
      <c r="H76" s="493"/>
      <c r="I76" s="493"/>
      <c r="J76" s="493"/>
      <c r="K76" s="493"/>
      <c r="L76" s="493"/>
      <c r="M76" s="494"/>
      <c r="N76" s="2964"/>
      <c r="O76" s="2964"/>
      <c r="P76" s="2972"/>
      <c r="Q76" s="2949"/>
      <c r="R76" s="2870"/>
      <c r="S76" s="2870"/>
      <c r="T76" s="2870"/>
      <c r="U76" s="2870"/>
      <c r="V76" s="2870"/>
      <c r="W76" s="2870"/>
      <c r="X76" s="2870"/>
      <c r="Y76" s="2870"/>
      <c r="Z76" s="2870"/>
      <c r="AA76" s="2870"/>
      <c r="AB76" s="2870"/>
      <c r="AC76" s="2870"/>
    </row>
    <row r="77" spans="1:29" s="430" customFormat="1" ht="15.75" thickTop="1">
      <c r="A77" s="510"/>
      <c r="B77" s="495">
        <f>B25</f>
        <v>111</v>
      </c>
      <c r="C77" s="511"/>
      <c r="D77" s="511"/>
      <c r="E77" s="511"/>
      <c r="F77" s="511"/>
      <c r="G77" s="511"/>
      <c r="H77" s="512"/>
      <c r="I77" s="512"/>
      <c r="J77" s="512"/>
      <c r="K77" s="512"/>
      <c r="L77" s="513"/>
      <c r="M77" s="514"/>
      <c r="N77" s="2965"/>
      <c r="O77" s="2965"/>
      <c r="P77" s="2973"/>
      <c r="Q77" s="2956"/>
      <c r="R77" s="2957"/>
      <c r="S77" s="2957"/>
      <c r="T77" s="2957"/>
      <c r="U77" s="2957"/>
      <c r="V77" s="2957"/>
      <c r="W77" s="2957"/>
      <c r="X77" s="2957"/>
      <c r="Y77" s="2957"/>
      <c r="Z77" s="2957"/>
      <c r="AA77" s="2957"/>
      <c r="AB77" s="2957"/>
      <c r="AC77" s="2957"/>
    </row>
    <row r="78" spans="1:29" s="430" customFormat="1" ht="15.75" thickBot="1">
      <c r="A78" s="510"/>
      <c r="B78" s="500"/>
      <c r="C78" s="517"/>
      <c r="D78" s="517"/>
      <c r="E78" s="517"/>
      <c r="F78" s="517"/>
      <c r="G78" s="493"/>
      <c r="H78" s="493"/>
      <c r="I78" s="493"/>
      <c r="J78" s="493"/>
      <c r="K78" s="493"/>
      <c r="L78" s="493"/>
      <c r="M78" s="494"/>
      <c r="N78" s="2965"/>
      <c r="O78" s="2965"/>
      <c r="P78" s="2973"/>
      <c r="Q78" s="2956"/>
      <c r="R78" s="2957"/>
      <c r="S78" s="2957"/>
      <c r="T78" s="2957"/>
      <c r="U78" s="2957"/>
      <c r="V78" s="2957"/>
      <c r="W78" s="2957"/>
      <c r="X78" s="2957"/>
      <c r="Y78" s="2957"/>
      <c r="Z78" s="2957"/>
      <c r="AA78" s="2957"/>
      <c r="AB78" s="2957"/>
      <c r="AC78" s="2957"/>
    </row>
    <row r="79" spans="1:29" ht="27.75" thickTop="1">
      <c r="A79" s="484" t="s">
        <v>2383</v>
      </c>
      <c r="B79" s="485" t="s">
        <v>2550</v>
      </c>
      <c r="C79" s="486">
        <f>C26</f>
        <v>0</v>
      </c>
      <c r="D79" s="487"/>
      <c r="E79" s="487"/>
      <c r="F79" s="487"/>
      <c r="G79" s="487"/>
      <c r="H79" s="487"/>
      <c r="I79" s="487"/>
      <c r="J79" s="487"/>
      <c r="K79" s="488"/>
      <c r="L79" s="489"/>
      <c r="M79" s="490"/>
      <c r="N79" s="2963"/>
      <c r="O79" s="2963"/>
      <c r="P79" s="2972"/>
      <c r="Q79" s="2949"/>
      <c r="R79" s="2935"/>
      <c r="S79" s="2935"/>
      <c r="T79" s="2935"/>
      <c r="U79" s="2935"/>
      <c r="V79" s="2935"/>
      <c r="W79" s="2935"/>
      <c r="X79" s="2935"/>
      <c r="Y79" s="2935"/>
      <c r="Z79" s="2935"/>
      <c r="AA79" s="2935"/>
      <c r="AB79" s="2935"/>
      <c r="AC79" s="293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4"/>
      <c r="O80" s="2964"/>
      <c r="P80" s="2972"/>
      <c r="Q80" s="2949"/>
      <c r="R80" s="2935"/>
      <c r="S80" s="2935"/>
      <c r="T80" s="2935"/>
      <c r="U80" s="2935"/>
      <c r="V80" s="2935"/>
      <c r="W80" s="2935"/>
      <c r="X80" s="2935"/>
      <c r="Y80" s="2935"/>
      <c r="Z80" s="2935"/>
      <c r="AA80" s="2935"/>
      <c r="AB80" s="2935"/>
      <c r="AC80" s="2935"/>
    </row>
    <row r="81" spans="1:29" ht="15.75" thickTop="1">
      <c r="A81" s="491"/>
      <c r="B81" s="495" t="s">
        <v>2551</v>
      </c>
      <c r="C81" s="616"/>
      <c r="D81" s="616"/>
      <c r="E81" s="616"/>
      <c r="F81" s="616"/>
      <c r="G81" s="616"/>
      <c r="H81" s="616"/>
      <c r="I81" s="616"/>
      <c r="J81" s="616"/>
      <c r="K81" s="617"/>
      <c r="L81" s="618"/>
      <c r="M81" s="619"/>
      <c r="N81" s="2962"/>
      <c r="O81" s="2962"/>
      <c r="P81" s="2972"/>
      <c r="Q81" s="2949"/>
      <c r="R81" s="2935"/>
      <c r="S81" s="2935"/>
      <c r="T81" s="2935"/>
      <c r="U81" s="2935"/>
      <c r="V81" s="2935"/>
      <c r="W81" s="2935"/>
      <c r="X81" s="2935"/>
      <c r="Y81" s="2935"/>
      <c r="Z81" s="2935"/>
      <c r="AA81" s="2935"/>
      <c r="AB81" s="2935"/>
      <c r="AC81" s="2935"/>
    </row>
    <row r="82" spans="1:29" s="430" customFormat="1" ht="15.75" thickBot="1">
      <c r="A82" s="510"/>
      <c r="B82" s="500"/>
      <c r="C82" s="517"/>
      <c r="D82" s="493"/>
      <c r="E82" s="493"/>
      <c r="F82" s="493"/>
      <c r="G82" s="493"/>
      <c r="H82" s="493"/>
      <c r="I82" s="493"/>
      <c r="J82" s="493"/>
      <c r="K82" s="493"/>
      <c r="L82" s="493"/>
      <c r="M82" s="494"/>
      <c r="N82" s="2964"/>
      <c r="O82" s="2964"/>
      <c r="P82" s="2973"/>
      <c r="Q82" s="2956"/>
      <c r="R82" s="2957"/>
      <c r="S82" s="2957"/>
      <c r="T82" s="2957"/>
      <c r="U82" s="2957"/>
      <c r="V82" s="2957"/>
      <c r="W82" s="2957"/>
      <c r="X82" s="2957"/>
      <c r="Y82" s="2957"/>
      <c r="Z82" s="2957"/>
      <c r="AA82" s="2957"/>
      <c r="AB82" s="2957"/>
      <c r="AC82" s="2957"/>
    </row>
    <row r="83" spans="1:29" ht="15" thickTop="1">
      <c r="A83" s="556"/>
      <c r="B83" s="495" t="s">
        <v>2436</v>
      </c>
      <c r="C83" s="511"/>
      <c r="D83" s="511"/>
      <c r="E83" s="540"/>
      <c r="F83" s="540"/>
      <c r="G83" s="540"/>
      <c r="H83" s="540"/>
      <c r="I83" s="540"/>
      <c r="J83" s="540"/>
      <c r="K83" s="541"/>
      <c r="L83" s="542"/>
      <c r="M83" s="543"/>
      <c r="N83" s="2963"/>
      <c r="O83" s="2963"/>
      <c r="P83" s="2972"/>
      <c r="Q83" s="2949"/>
      <c r="R83" s="2935"/>
      <c r="S83" s="2935"/>
      <c r="T83" s="2935"/>
      <c r="U83" s="2935"/>
      <c r="V83" s="2935"/>
      <c r="W83" s="2935"/>
      <c r="X83" s="2935"/>
      <c r="Y83" s="2935"/>
      <c r="Z83" s="2935"/>
      <c r="AA83" s="2935"/>
      <c r="AB83" s="2935"/>
      <c r="AC83" s="293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4"/>
      <c r="O84" s="2964"/>
      <c r="P84" s="2972"/>
      <c r="Q84" s="2949"/>
      <c r="R84" s="2935"/>
      <c r="S84" s="2935"/>
      <c r="T84" s="2935"/>
      <c r="U84" s="2935"/>
      <c r="V84" s="2935"/>
      <c r="W84" s="2935"/>
      <c r="X84" s="2935"/>
      <c r="Y84" s="2935"/>
      <c r="Z84" s="2935"/>
      <c r="AA84" s="2935"/>
      <c r="AB84" s="2935"/>
      <c r="AC84" s="293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3"/>
      <c r="O85" s="2963"/>
      <c r="P85" s="2972"/>
      <c r="Q85" s="2949"/>
      <c r="R85" s="2935"/>
      <c r="S85" s="2935"/>
      <c r="T85" s="2935"/>
      <c r="U85" s="2935"/>
      <c r="V85" s="2935"/>
      <c r="W85" s="2935"/>
      <c r="X85" s="2935"/>
      <c r="Y85" s="2935"/>
      <c r="Z85" s="2935"/>
      <c r="AA85" s="2935"/>
      <c r="AB85" s="2935"/>
      <c r="AC85" s="2935"/>
    </row>
    <row r="86" spans="1:29">
      <c r="A86" s="556"/>
      <c r="B86" s="503"/>
      <c r="C86" s="560">
        <v>0.5</v>
      </c>
      <c r="D86" s="560">
        <v>0.6</v>
      </c>
      <c r="E86" s="560">
        <v>0.7</v>
      </c>
      <c r="F86" s="560">
        <v>0.8</v>
      </c>
      <c r="G86" s="560">
        <v>0.9</v>
      </c>
      <c r="H86" s="560">
        <v>1.0001</v>
      </c>
      <c r="I86" s="578"/>
      <c r="J86" s="578"/>
      <c r="K86" s="579"/>
      <c r="L86" s="580"/>
      <c r="M86" s="581"/>
      <c r="N86" s="2963"/>
      <c r="O86" s="2963"/>
      <c r="P86" s="2972"/>
      <c r="Q86" s="2949"/>
      <c r="R86" s="2935"/>
      <c r="S86" s="2935"/>
      <c r="T86" s="2935"/>
      <c r="U86" s="2935"/>
      <c r="V86" s="2935"/>
      <c r="W86" s="2935"/>
      <c r="X86" s="2935"/>
      <c r="Y86" s="2935"/>
      <c r="Z86" s="2935"/>
      <c r="AA86" s="2935"/>
      <c r="AB86" s="2935"/>
      <c r="AC86" s="293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4"/>
      <c r="O87" s="2964"/>
      <c r="P87" s="2972"/>
      <c r="Q87" s="2949"/>
      <c r="R87" s="2935"/>
      <c r="S87" s="2935"/>
      <c r="T87" s="2935"/>
      <c r="U87" s="2935"/>
      <c r="V87" s="2935"/>
      <c r="W87" s="2935"/>
      <c r="X87" s="2935"/>
      <c r="Y87" s="2935"/>
      <c r="Z87" s="2935"/>
      <c r="AA87" s="2935"/>
      <c r="AB87" s="2935"/>
      <c r="AC87" s="2935"/>
    </row>
    <row r="88" spans="1:29" ht="15" thickTop="1">
      <c r="A88" s="556"/>
      <c r="B88" s="503" t="s">
        <v>2553</v>
      </c>
      <c r="C88" s="487"/>
      <c r="D88" s="487"/>
      <c r="E88" s="487"/>
      <c r="F88" s="487"/>
      <c r="G88" s="487"/>
      <c r="H88" s="487"/>
      <c r="I88" s="487"/>
      <c r="J88" s="487"/>
      <c r="K88" s="488"/>
      <c r="L88" s="489"/>
      <c r="M88" s="490"/>
      <c r="N88" s="2963"/>
      <c r="O88" s="2963"/>
      <c r="P88" s="2972"/>
      <c r="Q88" s="2949"/>
      <c r="R88" s="2935"/>
      <c r="S88" s="2935"/>
      <c r="T88" s="2935"/>
      <c r="U88" s="2935"/>
      <c r="V88" s="2935"/>
      <c r="W88" s="2935"/>
      <c r="X88" s="2935"/>
      <c r="Y88" s="2935"/>
      <c r="Z88" s="2935"/>
      <c r="AA88" s="2935"/>
      <c r="AB88" s="2935"/>
      <c r="AC88" s="293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4"/>
      <c r="O89" s="2964"/>
      <c r="P89" s="2972"/>
      <c r="Q89" s="2949"/>
      <c r="R89" s="2935"/>
      <c r="S89" s="2935"/>
      <c r="T89" s="2935"/>
      <c r="U89" s="2935"/>
      <c r="V89" s="2935"/>
      <c r="W89" s="2935"/>
      <c r="X89" s="2935"/>
      <c r="Y89" s="2935"/>
      <c r="Z89" s="2935"/>
      <c r="AA89" s="2935"/>
      <c r="AB89" s="2935"/>
      <c r="AC89" s="2935"/>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65"/>
      <c r="O90" s="2965"/>
      <c r="P90" s="2973"/>
      <c r="Q90" s="2956"/>
      <c r="R90" s="2957"/>
      <c r="S90" s="2957"/>
      <c r="T90" s="2957"/>
      <c r="U90" s="2957"/>
      <c r="V90" s="2957"/>
      <c r="W90" s="2957"/>
      <c r="X90" s="2957"/>
      <c r="Y90" s="2957"/>
      <c r="Z90" s="2957"/>
      <c r="AA90" s="2957"/>
      <c r="AB90" s="2957"/>
      <c r="AC90" s="2957"/>
    </row>
    <row r="91" spans="1:29" s="430" customFormat="1">
      <c r="A91" s="550"/>
      <c r="B91" s="503"/>
      <c r="C91" s="552"/>
      <c r="D91" s="552"/>
      <c r="E91" s="552"/>
      <c r="F91" s="552"/>
      <c r="G91" s="552"/>
      <c r="H91" s="552"/>
      <c r="I91" s="552"/>
      <c r="J91" s="553"/>
      <c r="K91" s="553"/>
      <c r="L91" s="554"/>
      <c r="M91" s="555"/>
      <c r="N91" s="2965"/>
      <c r="O91" s="2965"/>
      <c r="P91" s="2973"/>
      <c r="Q91" s="2956"/>
      <c r="R91" s="2957"/>
      <c r="S91" s="2957"/>
      <c r="T91" s="2957"/>
      <c r="U91" s="2957"/>
      <c r="V91" s="2957"/>
      <c r="W91" s="2957"/>
      <c r="X91" s="2957"/>
      <c r="Y91" s="2957"/>
      <c r="Z91" s="2957"/>
      <c r="AA91" s="2957"/>
      <c r="AB91" s="2957"/>
      <c r="AC91" s="2957"/>
    </row>
    <row r="92" spans="1:29" s="430" customFormat="1" ht="15.75" thickBot="1">
      <c r="A92" s="510"/>
      <c r="B92" s="500"/>
      <c r="C92" s="517"/>
      <c r="D92" s="493"/>
      <c r="E92" s="493"/>
      <c r="F92" s="493"/>
      <c r="G92" s="493"/>
      <c r="H92" s="493"/>
      <c r="I92" s="493"/>
      <c r="J92" s="493"/>
      <c r="K92" s="493"/>
      <c r="L92" s="493"/>
      <c r="M92" s="494"/>
      <c r="N92" s="2965"/>
      <c r="O92" s="2965"/>
      <c r="P92" s="2973"/>
      <c r="Q92" s="2956"/>
      <c r="R92" s="2957"/>
      <c r="S92" s="2957"/>
      <c r="T92" s="2957"/>
      <c r="U92" s="2957"/>
      <c r="V92" s="2957"/>
      <c r="W92" s="2957"/>
      <c r="X92" s="2957"/>
      <c r="Y92" s="2957"/>
      <c r="Z92" s="2957"/>
      <c r="AA92" s="2957"/>
      <c r="AB92" s="2957"/>
      <c r="AC92" s="2957"/>
    </row>
    <row r="93" spans="1:29" ht="15" thickTop="1">
      <c r="A93" s="556"/>
      <c r="B93" s="495" t="s">
        <v>2555</v>
      </c>
      <c r="C93" s="511"/>
      <c r="D93" s="511"/>
      <c r="E93" s="540"/>
      <c r="F93" s="540"/>
      <c r="G93" s="540"/>
      <c r="H93" s="540"/>
      <c r="I93" s="540"/>
      <c r="J93" s="540"/>
      <c r="K93" s="541"/>
      <c r="L93" s="542"/>
      <c r="M93" s="543"/>
      <c r="N93" s="2963"/>
      <c r="O93" s="2963"/>
      <c r="P93" s="2972"/>
      <c r="Q93" s="2949"/>
      <c r="R93" s="2935"/>
      <c r="S93" s="2935"/>
      <c r="T93" s="2935"/>
      <c r="U93" s="2935"/>
      <c r="V93" s="2935"/>
      <c r="W93" s="2935"/>
      <c r="X93" s="2935"/>
      <c r="Y93" s="2935"/>
      <c r="Z93" s="2935"/>
      <c r="AA93" s="2935"/>
      <c r="AB93" s="2935"/>
      <c r="AC93" s="293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4"/>
      <c r="O94" s="2964"/>
      <c r="P94" s="2972"/>
      <c r="Q94" s="2949"/>
      <c r="R94" s="2935"/>
      <c r="S94" s="2935"/>
      <c r="T94" s="2935"/>
      <c r="U94" s="2935"/>
      <c r="V94" s="2935"/>
      <c r="W94" s="2935"/>
      <c r="X94" s="2935"/>
      <c r="Y94" s="2935"/>
      <c r="Z94" s="2935"/>
      <c r="AA94" s="2935"/>
      <c r="AB94" s="2935"/>
      <c r="AC94" s="2935"/>
    </row>
    <row r="95" spans="1:29" ht="15" thickTop="1">
      <c r="A95" s="556"/>
      <c r="B95" s="495" t="s">
        <v>2556</v>
      </c>
      <c r="C95" s="487"/>
      <c r="D95" s="487"/>
      <c r="E95" s="487"/>
      <c r="F95" s="487"/>
      <c r="G95" s="487"/>
      <c r="H95" s="487"/>
      <c r="I95" s="487"/>
      <c r="J95" s="487"/>
      <c r="K95" s="488"/>
      <c r="L95" s="489"/>
      <c r="M95" s="490"/>
      <c r="N95" s="2963"/>
      <c r="O95" s="2963"/>
      <c r="P95" s="2972"/>
      <c r="Q95" s="2949"/>
      <c r="R95" s="2935"/>
      <c r="S95" s="2935"/>
      <c r="T95" s="2935"/>
      <c r="U95" s="2935"/>
      <c r="V95" s="2935"/>
      <c r="W95" s="2935"/>
      <c r="X95" s="2935"/>
      <c r="Y95" s="2935"/>
      <c r="Z95" s="2935"/>
      <c r="AA95" s="2935"/>
      <c r="AB95" s="2935"/>
      <c r="AC95" s="293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4"/>
      <c r="O96" s="2964"/>
      <c r="P96" s="2972"/>
      <c r="Q96" s="2949"/>
      <c r="R96" s="2935"/>
      <c r="S96" s="2935"/>
      <c r="T96" s="2935"/>
      <c r="U96" s="2935"/>
      <c r="V96" s="2935"/>
      <c r="W96" s="2935"/>
      <c r="X96" s="2935"/>
      <c r="Y96" s="2935"/>
      <c r="Z96" s="2935"/>
      <c r="AA96" s="2935"/>
      <c r="AB96" s="2935"/>
      <c r="AC96" s="2935"/>
    </row>
    <row r="97" spans="1:29" ht="15" thickTop="1">
      <c r="A97" s="556"/>
      <c r="B97" s="591">
        <f>B34</f>
        <v>111</v>
      </c>
      <c r="C97" s="506"/>
      <c r="D97" s="506"/>
      <c r="E97" s="506"/>
      <c r="F97" s="506"/>
      <c r="G97" s="511"/>
      <c r="H97" s="512"/>
      <c r="I97" s="512"/>
      <c r="J97" s="512"/>
      <c r="K97" s="512"/>
      <c r="L97" s="513"/>
      <c r="M97" s="514"/>
      <c r="N97" s="2964"/>
      <c r="O97" s="2964"/>
      <c r="P97" s="2977"/>
      <c r="Q97" s="2978"/>
      <c r="R97" s="2935"/>
      <c r="S97" s="2935"/>
      <c r="T97" s="2935"/>
      <c r="U97" s="2935"/>
      <c r="V97" s="2935"/>
      <c r="W97" s="2935"/>
      <c r="X97" s="2935"/>
      <c r="Y97" s="2935"/>
      <c r="Z97" s="2935"/>
      <c r="AA97" s="2935"/>
      <c r="AB97" s="2935"/>
      <c r="AC97" s="2935"/>
    </row>
    <row r="98" spans="1:29" ht="15.75" thickBot="1">
      <c r="A98" s="491"/>
      <c r="B98" s="500"/>
      <c r="C98" s="517"/>
      <c r="D98" s="493"/>
      <c r="E98" s="493"/>
      <c r="F98" s="493"/>
      <c r="G98" s="517"/>
      <c r="H98" s="519"/>
      <c r="I98" s="519"/>
      <c r="J98" s="519"/>
      <c r="K98" s="519"/>
      <c r="L98" s="519"/>
      <c r="M98" s="520"/>
      <c r="N98" s="2964"/>
      <c r="O98" s="2964"/>
      <c r="P98" s="2972"/>
      <c r="Q98" s="2949"/>
      <c r="R98" s="2935"/>
      <c r="S98" s="2935"/>
      <c r="T98" s="2935"/>
      <c r="U98" s="2935"/>
      <c r="V98" s="2935"/>
      <c r="W98" s="2935"/>
      <c r="X98" s="2935"/>
      <c r="Y98" s="2935"/>
      <c r="Z98" s="2935"/>
      <c r="AA98" s="2935"/>
      <c r="AB98" s="2935"/>
      <c r="AC98" s="2935"/>
    </row>
    <row r="99" spans="1:29" s="430" customFormat="1" ht="15" thickTop="1">
      <c r="A99" s="550"/>
      <c r="B99" s="495">
        <f>B35</f>
        <v>111</v>
      </c>
      <c r="C99" s="506"/>
      <c r="D99" s="506"/>
      <c r="E99" s="506"/>
      <c r="F99" s="506"/>
      <c r="G99" s="511"/>
      <c r="H99" s="512"/>
      <c r="I99" s="512"/>
      <c r="J99" s="512"/>
      <c r="K99" s="512"/>
      <c r="L99" s="513"/>
      <c r="M99" s="514"/>
      <c r="N99" s="2965"/>
      <c r="O99" s="2965"/>
      <c r="P99" s="2973"/>
      <c r="Q99" s="2956"/>
      <c r="R99" s="2957"/>
      <c r="S99" s="2957"/>
      <c r="T99" s="2957"/>
      <c r="U99" s="2957"/>
      <c r="V99" s="2957"/>
      <c r="W99" s="2957"/>
      <c r="X99" s="2957"/>
      <c r="Y99" s="2957"/>
      <c r="Z99" s="2957"/>
      <c r="AA99" s="2957"/>
      <c r="AB99" s="2957"/>
      <c r="AC99" s="2957"/>
    </row>
    <row r="100" spans="1:29" s="430" customFormat="1" ht="15.75" thickBot="1">
      <c r="A100" s="510"/>
      <c r="B100" s="492"/>
      <c r="C100" s="517"/>
      <c r="D100" s="493"/>
      <c r="E100" s="493"/>
      <c r="F100" s="493"/>
      <c r="G100" s="517"/>
      <c r="H100" s="519"/>
      <c r="I100" s="519"/>
      <c r="J100" s="519"/>
      <c r="K100" s="519"/>
      <c r="L100" s="519"/>
      <c r="M100" s="520"/>
      <c r="N100" s="2965"/>
      <c r="O100" s="2965"/>
      <c r="P100" s="2973"/>
      <c r="Q100" s="2956"/>
      <c r="R100" s="2957"/>
      <c r="S100" s="2957"/>
      <c r="T100" s="2957"/>
      <c r="U100" s="2957"/>
      <c r="V100" s="2957"/>
      <c r="W100" s="2957"/>
      <c r="X100" s="2957"/>
      <c r="Y100" s="2957"/>
      <c r="Z100" s="2957"/>
      <c r="AA100" s="2957"/>
      <c r="AB100" s="2957"/>
      <c r="AC100" s="2957"/>
    </row>
    <row r="101" spans="1:29" ht="15" thickTop="1">
      <c r="A101" s="556"/>
      <c r="B101" s="495">
        <f>B36</f>
        <v>111</v>
      </c>
      <c r="C101" s="511"/>
      <c r="D101" s="511"/>
      <c r="E101" s="511"/>
      <c r="F101" s="511"/>
      <c r="G101" s="511"/>
      <c r="H101" s="512"/>
      <c r="I101" s="512"/>
      <c r="J101" s="512"/>
      <c r="K101" s="512"/>
      <c r="L101" s="513"/>
      <c r="M101" s="514"/>
      <c r="N101" s="2963"/>
      <c r="O101" s="2963"/>
      <c r="P101" s="2972"/>
      <c r="Q101" s="2949"/>
      <c r="R101" s="2935"/>
      <c r="S101" s="2935"/>
      <c r="T101" s="2935"/>
      <c r="U101" s="2935"/>
      <c r="V101" s="2935"/>
      <c r="W101" s="2935"/>
      <c r="X101" s="2935"/>
      <c r="Y101" s="2935"/>
      <c r="Z101" s="2935"/>
      <c r="AA101" s="2935"/>
      <c r="AB101" s="2935"/>
      <c r="AC101" s="2935"/>
    </row>
    <row r="102" spans="1:29" ht="15.75" thickBot="1">
      <c r="A102" s="491"/>
      <c r="B102" s="500"/>
      <c r="C102" s="517"/>
      <c r="D102" s="517"/>
      <c r="E102" s="517"/>
      <c r="F102" s="517"/>
      <c r="G102" s="517"/>
      <c r="H102" s="519"/>
      <c r="I102" s="519"/>
      <c r="J102" s="519"/>
      <c r="K102" s="519"/>
      <c r="L102" s="519"/>
      <c r="M102" s="520"/>
      <c r="N102" s="2964"/>
      <c r="O102" s="2964"/>
      <c r="P102" s="2972"/>
      <c r="Q102" s="2949"/>
      <c r="R102" s="2935"/>
      <c r="S102" s="2935"/>
      <c r="T102" s="2935"/>
      <c r="U102" s="2935"/>
      <c r="V102" s="2935"/>
      <c r="W102" s="2935"/>
      <c r="X102" s="2935"/>
      <c r="Y102" s="2935"/>
      <c r="Z102" s="2935"/>
      <c r="AA102" s="2935"/>
      <c r="AB102" s="2935"/>
      <c r="AC102" s="2935"/>
    </row>
    <row r="103" spans="1:29" ht="15" thickTop="1">
      <c r="N103" s="2935"/>
      <c r="O103" s="2935"/>
      <c r="P103" s="2966"/>
      <c r="Q103" s="2935"/>
      <c r="R103" s="2935"/>
      <c r="S103" s="2935"/>
      <c r="T103" s="2935"/>
      <c r="U103" s="2935"/>
      <c r="V103" s="2935"/>
      <c r="W103" s="2935"/>
      <c r="X103" s="2935"/>
      <c r="Y103" s="2935"/>
      <c r="Z103" s="2935"/>
      <c r="AA103" s="2935"/>
      <c r="AB103" s="2935"/>
      <c r="AC103" s="293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97"/>
      <c r="F1" s="2058"/>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IF(C2="——",ROUND(C37*D3/10000,0),ROUND(C37*D3/10000,0)-D2)</f>
        <v>#DIV/0!</v>
      </c>
      <c r="C2" s="2060"/>
      <c r="D2" s="1035" t="e">
        <f ca="1">SUMIF(INDIRECT("'"&amp;F2&amp;"'"&amp;"!A:A"),"承租人权益价值",INDIRECT("'"&amp;F2&amp;"'"&amp;"!c:c"))</f>
        <v>#REF!</v>
      </c>
      <c r="E2" s="2061" t="s">
        <v>2148</v>
      </c>
      <c r="F2" s="2062"/>
      <c r="G2" s="1036"/>
      <c r="H2" s="1036"/>
      <c r="I2" s="1036"/>
      <c r="J2" s="1036"/>
      <c r="K2" s="1038"/>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t="e">
        <f ca="1">IF(C2="——",C37,ROUND(B2*10000/D3,0))</f>
        <v>#DIV/0!</v>
      </c>
      <c r="C3" s="360" t="s">
        <v>2464</v>
      </c>
      <c r="D3" s="359">
        <f>SUMIF('数据-汇总表'!$C19:$C33,D1,'数据-汇总表'!$E19:$E33)</f>
        <v>0</v>
      </c>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29" ht="15">
      <c r="A4" s="361" t="s">
        <v>2465</v>
      </c>
      <c r="B4" s="362"/>
      <c r="C4" s="3310" t="s">
        <v>2466</v>
      </c>
      <c r="D4" s="3311"/>
      <c r="E4" s="3312" t="s">
        <v>2467</v>
      </c>
      <c r="F4" s="3313"/>
      <c r="G4" s="3310" t="s">
        <v>2468</v>
      </c>
      <c r="H4" s="3311"/>
      <c r="I4" s="3310" t="s">
        <v>2469</v>
      </c>
      <c r="J4" s="3311"/>
      <c r="K4" s="567" t="s">
        <v>2470</v>
      </c>
      <c r="L4" s="2925"/>
      <c r="M4" s="2926"/>
      <c r="N4" s="2926"/>
      <c r="O4" s="2926"/>
      <c r="P4" s="3314" t="s">
        <v>2471</v>
      </c>
      <c r="Q4" s="3315"/>
      <c r="R4" s="3297" t="s">
        <v>2467</v>
      </c>
      <c r="S4" s="3298"/>
      <c r="T4" s="3297" t="s">
        <v>2468</v>
      </c>
      <c r="U4" s="3298"/>
      <c r="V4" s="3322" t="s">
        <v>2469</v>
      </c>
      <c r="W4" s="3322"/>
      <c r="X4" s="1532"/>
      <c r="Y4" s="3297" t="s">
        <v>2471</v>
      </c>
      <c r="Z4" s="3298"/>
      <c r="AA4" s="3292" t="s">
        <v>2467</v>
      </c>
      <c r="AB4" s="3293" t="s">
        <v>2468</v>
      </c>
      <c r="AC4" s="3292" t="s">
        <v>2469</v>
      </c>
    </row>
    <row r="5" spans="1:29" ht="15">
      <c r="A5" s="364"/>
      <c r="B5" s="365"/>
      <c r="C5" s="3303" t="s">
        <v>2362</v>
      </c>
      <c r="D5" s="3304"/>
      <c r="E5" s="3379" t="s">
        <v>2363</v>
      </c>
      <c r="F5" s="3302"/>
      <c r="G5" s="3303" t="s">
        <v>2364</v>
      </c>
      <c r="H5" s="3304"/>
      <c r="I5" s="3303" t="s">
        <v>2365</v>
      </c>
      <c r="J5" s="3304"/>
      <c r="K5" s="567"/>
      <c r="L5" s="2925"/>
      <c r="M5" s="2926"/>
      <c r="N5" s="2926"/>
      <c r="O5" s="2926"/>
      <c r="P5" s="3316"/>
      <c r="Q5" s="3317"/>
      <c r="R5" s="3299"/>
      <c r="S5" s="3300"/>
      <c r="T5" s="3299"/>
      <c r="U5" s="3300"/>
      <c r="V5" s="3322"/>
      <c r="W5" s="3322"/>
      <c r="X5" s="1532"/>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2925"/>
      <c r="M6" s="2926"/>
      <c r="N6" s="2926"/>
      <c r="O6" s="2926"/>
      <c r="P6" s="3318"/>
      <c r="Q6" s="3319"/>
      <c r="R6" s="3299"/>
      <c r="S6" s="3300"/>
      <c r="T6" s="3320"/>
      <c r="U6" s="3321"/>
      <c r="V6" s="3322"/>
      <c r="W6" s="3322"/>
      <c r="X6" s="1532"/>
      <c r="Y6" s="3320"/>
      <c r="Z6" s="3321"/>
      <c r="AA6" s="3294"/>
      <c r="AB6" s="3294"/>
      <c r="AC6" s="3294"/>
    </row>
    <row r="7" spans="1:29" s="113" customFormat="1" ht="15.75" thickBot="1">
      <c r="A7" s="368" t="s">
        <v>2368</v>
      </c>
      <c r="B7" s="369"/>
      <c r="C7" s="370">
        <f>'数据-取费表'!B2</f>
        <v>44336</v>
      </c>
      <c r="D7" s="371">
        <v>100</v>
      </c>
      <c r="E7" s="372"/>
      <c r="F7" s="373">
        <f>SUMIF(46:46,YEAR(E7)&amp;"-"&amp;MONTH(E7),47:47)</f>
        <v>0</v>
      </c>
      <c r="G7" s="2150"/>
      <c r="H7" s="371">
        <f>SUMIF(46:46,YEAR(G7)&amp;"-"&amp;MONTH(G7),47:47)</f>
        <v>0</v>
      </c>
      <c r="I7" s="372"/>
      <c r="J7" s="371">
        <f>SUMIF(46:46,YEAR(I7)&amp;"-"&amp;MONTH(I7),47:47)</f>
        <v>0</v>
      </c>
      <c r="K7" s="568"/>
      <c r="L7" s="2927"/>
      <c r="M7" s="2928"/>
      <c r="N7" s="2928"/>
      <c r="O7" s="2928"/>
      <c r="P7" s="3295" t="s">
        <v>2369</v>
      </c>
      <c r="Q7" s="3323"/>
      <c r="R7" s="708" t="s">
        <v>17</v>
      </c>
      <c r="S7" s="709">
        <f t="shared" ref="S7:S14" si="0">F7</f>
        <v>0</v>
      </c>
      <c r="T7" s="708" t="s">
        <v>17</v>
      </c>
      <c r="U7" s="709">
        <f t="shared" ref="U7:U14" si="1">H7</f>
        <v>0</v>
      </c>
      <c r="V7" s="708" t="s">
        <v>17</v>
      </c>
      <c r="W7" s="709">
        <f t="shared" ref="W7:W14" si="2">J7</f>
        <v>0</v>
      </c>
      <c r="X7" s="710"/>
      <c r="Y7" s="3295" t="s">
        <v>2369</v>
      </c>
      <c r="Z7" s="3296"/>
      <c r="AA7" s="711" t="e">
        <f>D7/F7</f>
        <v>#DIV/0!</v>
      </c>
      <c r="AB7" s="711" t="e">
        <f>D7/H7</f>
        <v>#DIV/0!</v>
      </c>
      <c r="AC7" s="711"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7"/>
      <c r="M8" s="2928"/>
      <c r="N8" s="2928"/>
      <c r="O8" s="2928"/>
      <c r="P8" s="3295" t="s">
        <v>2372</v>
      </c>
      <c r="Q8" s="3296"/>
      <c r="R8" s="708" t="s">
        <v>17</v>
      </c>
      <c r="S8" s="709">
        <f t="shared" si="0"/>
        <v>0</v>
      </c>
      <c r="T8" s="708" t="s">
        <v>17</v>
      </c>
      <c r="U8" s="709">
        <f t="shared" si="1"/>
        <v>0</v>
      </c>
      <c r="V8" s="708" t="s">
        <v>17</v>
      </c>
      <c r="W8" s="709">
        <f t="shared" si="2"/>
        <v>0</v>
      </c>
      <c r="X8" s="710"/>
      <c r="Y8" s="3295" t="s">
        <v>2372</v>
      </c>
      <c r="Z8" s="3296"/>
      <c r="AA8" s="711" t="e">
        <f t="shared" ref="AA8:AA34" si="3">D8/F8</f>
        <v>#DIV/0!</v>
      </c>
      <c r="AB8" s="711" t="e">
        <f t="shared" ref="AB8:AB34" si="4">D8/H8</f>
        <v>#DIV/0!</v>
      </c>
      <c r="AC8" s="711"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7"/>
      <c r="M9" s="2928"/>
      <c r="N9" s="2928"/>
      <c r="O9" s="2982"/>
      <c r="P9" s="3327" t="s">
        <v>2375</v>
      </c>
      <c r="Q9" s="1520" t="str">
        <f t="shared" ref="Q9:Q14" si="6">B9</f>
        <v>用途</v>
      </c>
      <c r="R9" s="708" t="s">
        <v>17</v>
      </c>
      <c r="S9" s="709">
        <f t="shared" si="0"/>
        <v>100</v>
      </c>
      <c r="T9" s="708" t="s">
        <v>17</v>
      </c>
      <c r="U9" s="709">
        <f t="shared" si="1"/>
        <v>100</v>
      </c>
      <c r="V9" s="708" t="s">
        <v>17</v>
      </c>
      <c r="W9" s="709">
        <f t="shared" si="2"/>
        <v>100</v>
      </c>
      <c r="X9" s="710"/>
      <c r="Y9" s="3260" t="s">
        <v>2376</v>
      </c>
      <c r="Z9" s="55" t="str">
        <f t="shared" ref="Z9:Z14" si="7">Q9</f>
        <v>用途</v>
      </c>
      <c r="AA9" s="711">
        <f t="shared" si="3"/>
        <v>1</v>
      </c>
      <c r="AB9" s="711">
        <f t="shared" si="4"/>
        <v>1</v>
      </c>
      <c r="AC9" s="711">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29"/>
      <c r="M10" s="2930"/>
      <c r="N10" s="2930"/>
      <c r="O10" s="2983"/>
      <c r="P10" s="3327"/>
      <c r="Q10" s="1520" t="str">
        <f t="shared" si="6"/>
        <v>土地使用年限（年）</v>
      </c>
      <c r="R10" s="708" t="s">
        <v>17</v>
      </c>
      <c r="S10" s="709">
        <f t="shared" si="0"/>
        <v>100</v>
      </c>
      <c r="T10" s="708" t="s">
        <v>17</v>
      </c>
      <c r="U10" s="709">
        <f t="shared" si="1"/>
        <v>100</v>
      </c>
      <c r="V10" s="708" t="s">
        <v>17</v>
      </c>
      <c r="W10" s="709">
        <f t="shared" si="2"/>
        <v>100</v>
      </c>
      <c r="X10" s="710"/>
      <c r="Y10" s="3260"/>
      <c r="Z10" s="55" t="str">
        <f t="shared" si="7"/>
        <v>土地使用年限（年）</v>
      </c>
      <c r="AA10" s="711">
        <f t="shared" si="3"/>
        <v>1</v>
      </c>
      <c r="AB10" s="711">
        <f t="shared" si="4"/>
        <v>1</v>
      </c>
      <c r="AC10" s="711">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31"/>
      <c r="M11" s="2926"/>
      <c r="N11" s="2926"/>
      <c r="O11" s="2984"/>
      <c r="P11" s="3327"/>
      <c r="Q11" s="1520">
        <f t="shared" si="6"/>
        <v>111</v>
      </c>
      <c r="R11" s="708" t="s">
        <v>17</v>
      </c>
      <c r="S11" s="709">
        <f t="shared" si="0"/>
        <v>100</v>
      </c>
      <c r="T11" s="708" t="s">
        <v>17</v>
      </c>
      <c r="U11" s="709">
        <f t="shared" si="1"/>
        <v>100</v>
      </c>
      <c r="V11" s="708" t="s">
        <v>17</v>
      </c>
      <c r="W11" s="709">
        <f t="shared" si="2"/>
        <v>100</v>
      </c>
      <c r="X11" s="710"/>
      <c r="Y11" s="3260"/>
      <c r="Z11" s="55">
        <f t="shared" si="7"/>
        <v>111</v>
      </c>
      <c r="AA11" s="711">
        <f t="shared" si="3"/>
        <v>1</v>
      </c>
      <c r="AB11" s="711">
        <f t="shared" si="4"/>
        <v>1</v>
      </c>
      <c r="AC11" s="711">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27"/>
      <c r="M12" s="2928"/>
      <c r="N12" s="2928"/>
      <c r="O12" s="2982"/>
      <c r="P12" s="3327"/>
      <c r="Q12" s="1520">
        <f t="shared" si="6"/>
        <v>111</v>
      </c>
      <c r="R12" s="708" t="s">
        <v>17</v>
      </c>
      <c r="S12" s="709">
        <f t="shared" si="0"/>
        <v>100</v>
      </c>
      <c r="T12" s="708" t="s">
        <v>17</v>
      </c>
      <c r="U12" s="709">
        <f t="shared" si="1"/>
        <v>100</v>
      </c>
      <c r="V12" s="708" t="s">
        <v>17</v>
      </c>
      <c r="W12" s="709">
        <f t="shared" si="2"/>
        <v>100</v>
      </c>
      <c r="X12" s="710"/>
      <c r="Y12" s="3260"/>
      <c r="Z12" s="55">
        <f t="shared" si="7"/>
        <v>111</v>
      </c>
      <c r="AA12" s="711">
        <f>D12/F12</f>
        <v>1</v>
      </c>
      <c r="AB12" s="711">
        <f>D12/H12</f>
        <v>1</v>
      </c>
      <c r="AC12" s="711">
        <f>D12/J12</f>
        <v>1</v>
      </c>
    </row>
    <row r="13" spans="1:29" ht="15.75" thickBot="1">
      <c r="A13" s="387"/>
      <c r="B13" s="2071">
        <v>111</v>
      </c>
      <c r="C13" s="393"/>
      <c r="D13" s="394">
        <v>100</v>
      </c>
      <c r="E13" s="428"/>
      <c r="F13" s="384">
        <f>SUMIF(59:59,E13,60:60)-SUMIF(59:59,C13,60:60)+100</f>
        <v>100</v>
      </c>
      <c r="G13" s="2151"/>
      <c r="H13" s="397">
        <f>SUMIF(59:59,G13,60:60)-SUMIF(59:59,C13,60:60)+100</f>
        <v>100</v>
      </c>
      <c r="I13" s="428"/>
      <c r="J13" s="394">
        <f>SUMIF(59:59,I13,60:60)-SUMIF(59:59,C13,60:60)+100</f>
        <v>100</v>
      </c>
      <c r="K13" s="570"/>
      <c r="L13" s="2932"/>
      <c r="M13" s="2926"/>
      <c r="N13" s="2926"/>
      <c r="O13" s="2984"/>
      <c r="P13" s="3327"/>
      <c r="Q13" s="1520">
        <f t="shared" si="6"/>
        <v>111</v>
      </c>
      <c r="R13" s="708" t="s">
        <v>17</v>
      </c>
      <c r="S13" s="709">
        <f t="shared" si="0"/>
        <v>100</v>
      </c>
      <c r="T13" s="708" t="s">
        <v>17</v>
      </c>
      <c r="U13" s="709">
        <f t="shared" si="1"/>
        <v>100</v>
      </c>
      <c r="V13" s="708" t="s">
        <v>17</v>
      </c>
      <c r="W13" s="709">
        <f t="shared" si="2"/>
        <v>100</v>
      </c>
      <c r="X13" s="710"/>
      <c r="Y13" s="3260"/>
      <c r="Z13" s="55">
        <f t="shared" si="7"/>
        <v>111</v>
      </c>
      <c r="AA13" s="711">
        <f t="shared" si="3"/>
        <v>1</v>
      </c>
      <c r="AB13" s="711">
        <f t="shared" si="4"/>
        <v>1</v>
      </c>
      <c r="AC13" s="711">
        <f t="shared" si="5"/>
        <v>1</v>
      </c>
    </row>
    <row r="14" spans="1:29" ht="99.75">
      <c r="A14" s="399" t="s">
        <v>2379</v>
      </c>
      <c r="B14" s="65" t="s">
        <v>2529</v>
      </c>
      <c r="C14" s="2147" t="str">
        <f>IF(B1="工业",估价对象房地状况!G4,估价对象房地状况!C6)</f>
        <v>估价对象紧邻平阳路，有13、39、56、65、901等公交线路，项目有地面停车场，综合评价交通便捷度较好。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2"/>
      <c r="M14" s="2926"/>
      <c r="N14" s="2926"/>
      <c r="O14" s="2984"/>
      <c r="P14" s="3329" t="s">
        <v>2380</v>
      </c>
      <c r="Q14" s="1529" t="str">
        <f t="shared" si="6"/>
        <v>交通便捷度</v>
      </c>
      <c r="R14" s="712" t="s">
        <v>17</v>
      </c>
      <c r="S14" s="713">
        <f t="shared" si="0"/>
        <v>100</v>
      </c>
      <c r="T14" s="712" t="s">
        <v>17</v>
      </c>
      <c r="U14" s="713">
        <f t="shared" si="1"/>
        <v>100</v>
      </c>
      <c r="V14" s="712" t="s">
        <v>17</v>
      </c>
      <c r="W14" s="713">
        <f t="shared" si="2"/>
        <v>100</v>
      </c>
      <c r="X14" s="1532"/>
      <c r="Y14" s="3329" t="s">
        <v>2380</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32"/>
      <c r="M15" s="2926"/>
      <c r="N15" s="2926"/>
      <c r="O15" s="2984"/>
      <c r="P15" s="3330"/>
      <c r="Q15" s="1529"/>
      <c r="R15" s="712"/>
      <c r="S15" s="713"/>
      <c r="T15" s="712"/>
      <c r="U15" s="713"/>
      <c r="V15" s="712"/>
      <c r="W15" s="713"/>
      <c r="X15" s="1532"/>
      <c r="Y15" s="3330"/>
      <c r="Z15" s="1533"/>
      <c r="AA15" s="1530">
        <v>1</v>
      </c>
      <c r="AB15" s="1530">
        <v>1</v>
      </c>
      <c r="AC15" s="1530">
        <v>1</v>
      </c>
    </row>
    <row r="16" spans="1:29" ht="42.75">
      <c r="A16" s="387"/>
      <c r="B16" s="410" t="s">
        <v>2508</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2"/>
      <c r="M16" s="2926"/>
      <c r="N16" s="2926"/>
      <c r="O16" s="2984"/>
      <c r="P16" s="3330"/>
      <c r="Q16" s="1529" t="str">
        <f>B16</f>
        <v>公共配套设施</v>
      </c>
      <c r="R16" s="712" t="s">
        <v>17</v>
      </c>
      <c r="S16" s="713">
        <f>F16</f>
        <v>100</v>
      </c>
      <c r="T16" s="712" t="s">
        <v>17</v>
      </c>
      <c r="U16" s="713">
        <f>H16</f>
        <v>100</v>
      </c>
      <c r="V16" s="712" t="s">
        <v>17</v>
      </c>
      <c r="W16" s="713">
        <f>J16</f>
        <v>100</v>
      </c>
      <c r="X16" s="1532"/>
      <c r="Y16" s="3330"/>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32"/>
      <c r="M17" s="2926"/>
      <c r="N17" s="2926"/>
      <c r="O17" s="2984"/>
      <c r="P17" s="3330"/>
      <c r="Q17" s="1529"/>
      <c r="R17" s="712"/>
      <c r="S17" s="713"/>
      <c r="T17" s="712"/>
      <c r="U17" s="713"/>
      <c r="V17" s="712"/>
      <c r="W17" s="713"/>
      <c r="X17" s="1532"/>
      <c r="Y17" s="3330"/>
      <c r="Z17" s="1533"/>
      <c r="AA17" s="1530">
        <v>1</v>
      </c>
      <c r="AB17" s="1530">
        <v>1</v>
      </c>
      <c r="AC17" s="1530">
        <v>1</v>
      </c>
    </row>
    <row r="18" spans="1:29" ht="28.5">
      <c r="A18" s="387"/>
      <c r="B18" s="1288" t="s">
        <v>2509</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2"/>
      <c r="M18" s="2926"/>
      <c r="N18" s="2926"/>
      <c r="O18" s="2984"/>
      <c r="P18" s="3330"/>
      <c r="Q18" s="1529" t="str">
        <f>B18</f>
        <v>基础设施水平</v>
      </c>
      <c r="R18" s="712" t="s">
        <v>17</v>
      </c>
      <c r="S18" s="713">
        <f>F18</f>
        <v>100</v>
      </c>
      <c r="T18" s="712" t="s">
        <v>17</v>
      </c>
      <c r="U18" s="713">
        <f>H18</f>
        <v>100</v>
      </c>
      <c r="V18" s="712" t="s">
        <v>17</v>
      </c>
      <c r="W18" s="713">
        <f>J18</f>
        <v>100</v>
      </c>
      <c r="X18" s="1532"/>
      <c r="Y18" s="3330"/>
      <c r="Z18" s="1533" t="str">
        <f>Q18</f>
        <v>基础设施水平</v>
      </c>
      <c r="AA18" s="1530">
        <f t="shared" ref="AA18" si="8">D18/F18</f>
        <v>1</v>
      </c>
      <c r="AB18" s="1530">
        <f t="shared" ref="AB18" si="9">D18/H18</f>
        <v>1</v>
      </c>
      <c r="AC18" s="1530">
        <f t="shared" ref="AC18" si="10">D18/J18</f>
        <v>1</v>
      </c>
    </row>
    <row r="19" spans="1:29" ht="15">
      <c r="A19" s="387"/>
      <c r="B19" s="1288"/>
      <c r="C19" s="2079"/>
      <c r="D19" s="409"/>
      <c r="E19" s="2079"/>
      <c r="F19" s="412"/>
      <c r="G19" s="2079"/>
      <c r="H19" s="407"/>
      <c r="I19" s="406"/>
      <c r="J19" s="407"/>
      <c r="K19" s="1287"/>
      <c r="L19" s="2932"/>
      <c r="M19" s="2926"/>
      <c r="N19" s="2926"/>
      <c r="O19" s="2984"/>
      <c r="P19" s="3330"/>
      <c r="Q19" s="1529"/>
      <c r="R19" s="712"/>
      <c r="S19" s="713"/>
      <c r="T19" s="712"/>
      <c r="U19" s="713"/>
      <c r="V19" s="712"/>
      <c r="W19" s="713"/>
      <c r="X19" s="1532"/>
      <c r="Y19" s="3330"/>
      <c r="Z19" s="1533"/>
      <c r="AA19" s="1530">
        <v>1</v>
      </c>
      <c r="AB19" s="1530">
        <v>1</v>
      </c>
      <c r="AC19" s="1530">
        <v>1</v>
      </c>
    </row>
    <row r="20" spans="1:29" ht="99.75">
      <c r="A20" s="387"/>
      <c r="B20" s="410" t="s">
        <v>2530</v>
      </c>
      <c r="C20" s="2078" t="str">
        <f>IF(B1="工业",估价对象房地状况!G7,估价对象房地状况!C9)</f>
        <v>估价对象周边有盆景园、太原汾河景区等自然景观、更有菊花坪、凉亭等人文景观、环境状况较好</v>
      </c>
      <c r="D20" s="414">
        <v>100</v>
      </c>
      <c r="E20" s="416"/>
      <c r="F20" s="417">
        <f>SUMIF(67:67,E21,68:68)-SUMIF(67:67,C21,68:68)+100</f>
        <v>100</v>
      </c>
      <c r="G20" s="418"/>
      <c r="H20" s="409">
        <f>SUMIF(67:67,G21,68:68)-SUMIF(67:67,C21,68:68)+100</f>
        <v>100</v>
      </c>
      <c r="I20" s="411"/>
      <c r="J20" s="409">
        <f>SUMIF(67:67,I21,68:68)-SUMIF(67:67,C21,68:68)+100</f>
        <v>100</v>
      </c>
      <c r="K20" s="571"/>
      <c r="L20" s="2932"/>
      <c r="M20" s="2926"/>
      <c r="N20" s="2926"/>
      <c r="O20" s="2984"/>
      <c r="P20" s="3330"/>
      <c r="Q20" s="1529" t="str">
        <f>B20</f>
        <v>自然及人文环境</v>
      </c>
      <c r="R20" s="712" t="s">
        <v>17</v>
      </c>
      <c r="S20" s="713">
        <f>F20</f>
        <v>100</v>
      </c>
      <c r="T20" s="712" t="s">
        <v>17</v>
      </c>
      <c r="U20" s="713">
        <f>H20</f>
        <v>100</v>
      </c>
      <c r="V20" s="712" t="s">
        <v>17</v>
      </c>
      <c r="W20" s="713">
        <f>J20</f>
        <v>100</v>
      </c>
      <c r="X20" s="1532"/>
      <c r="Y20" s="3330"/>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32"/>
      <c r="M21" s="2926"/>
      <c r="N21" s="2926"/>
      <c r="O21" s="2984"/>
      <c r="P21" s="3330"/>
      <c r="Q21" s="1529"/>
      <c r="R21" s="712"/>
      <c r="S21" s="713"/>
      <c r="T21" s="712"/>
      <c r="U21" s="713"/>
      <c r="V21" s="712"/>
      <c r="W21" s="713"/>
      <c r="X21" s="1532"/>
      <c r="Y21" s="3330"/>
      <c r="Z21" s="1533"/>
      <c r="AA21" s="1530">
        <v>1</v>
      </c>
      <c r="AB21" s="1530">
        <v>1</v>
      </c>
      <c r="AC21" s="1530">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2"/>
      <c r="M22" s="2926"/>
      <c r="N22" s="2926"/>
      <c r="O22" s="2984"/>
      <c r="P22" s="3330"/>
      <c r="Q22" s="1529" t="str">
        <f>B22</f>
        <v>楼层</v>
      </c>
      <c r="R22" s="712" t="s">
        <v>17</v>
      </c>
      <c r="S22" s="713">
        <f>F22</f>
        <v>100</v>
      </c>
      <c r="T22" s="712" t="s">
        <v>17</v>
      </c>
      <c r="U22" s="713">
        <f>H22</f>
        <v>100</v>
      </c>
      <c r="V22" s="712" t="s">
        <v>17</v>
      </c>
      <c r="W22" s="713">
        <f>J22</f>
        <v>100</v>
      </c>
      <c r="X22" s="1532"/>
      <c r="Y22" s="3330"/>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32"/>
      <c r="M23" s="2926"/>
      <c r="N23" s="2926"/>
      <c r="O23" s="2984"/>
      <c r="P23" s="3330"/>
      <c r="Q23" s="1529">
        <f>B23</f>
        <v>111</v>
      </c>
      <c r="R23" s="712" t="s">
        <v>17</v>
      </c>
      <c r="S23" s="713">
        <f>F23</f>
        <v>100</v>
      </c>
      <c r="T23" s="712" t="s">
        <v>17</v>
      </c>
      <c r="U23" s="713">
        <f>H23</f>
        <v>100</v>
      </c>
      <c r="V23" s="712" t="s">
        <v>17</v>
      </c>
      <c r="W23" s="713">
        <f>J23</f>
        <v>100</v>
      </c>
      <c r="X23" s="1532"/>
      <c r="Y23" s="3330"/>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32"/>
      <c r="M24" s="2926"/>
      <c r="N24" s="2926"/>
      <c r="O24" s="2984"/>
      <c r="P24" s="3330"/>
      <c r="Q24" s="1529">
        <f t="shared" ref="Q24:Q34" si="11">B24</f>
        <v>111</v>
      </c>
      <c r="R24" s="712" t="s">
        <v>17</v>
      </c>
      <c r="S24" s="713">
        <f>F24</f>
        <v>100</v>
      </c>
      <c r="T24" s="712" t="s">
        <v>17</v>
      </c>
      <c r="U24" s="713">
        <f>H24</f>
        <v>100</v>
      </c>
      <c r="V24" s="712" t="s">
        <v>17</v>
      </c>
      <c r="W24" s="713">
        <f>J24</f>
        <v>100</v>
      </c>
      <c r="X24" s="1532"/>
      <c r="Y24" s="3330"/>
      <c r="Z24" s="1533">
        <f>Q24</f>
        <v>111</v>
      </c>
      <c r="AA24" s="1530">
        <f t="shared" si="3"/>
        <v>1</v>
      </c>
      <c r="AB24" s="1530">
        <f t="shared" si="4"/>
        <v>1</v>
      </c>
      <c r="AC24" s="1530">
        <f t="shared" si="5"/>
        <v>1</v>
      </c>
    </row>
    <row r="25" spans="1:29" s="113" customFormat="1" ht="15.75" thickBot="1">
      <c r="A25" s="390"/>
      <c r="B25" s="2071">
        <v>111</v>
      </c>
      <c r="C25" s="2152"/>
      <c r="D25" s="620">
        <v>100</v>
      </c>
      <c r="E25" s="2152"/>
      <c r="F25" s="621">
        <f>SUMIF(75:75,E25,76:76)-SUMIF(75:75,C25,76:76)+100</f>
        <v>100</v>
      </c>
      <c r="G25" s="2152"/>
      <c r="H25" s="620">
        <f>SUMIF(75:75,G25,76:76)-SUMIF(75:75,C25,76:76)+100</f>
        <v>100</v>
      </c>
      <c r="I25" s="2152"/>
      <c r="J25" s="620">
        <f>SUMIF(75:75,I25,76:76)-SUMIF(75:75,C25,76:76)+100</f>
        <v>100</v>
      </c>
      <c r="K25" s="570"/>
      <c r="L25" s="2927"/>
      <c r="M25" s="2928"/>
      <c r="N25" s="2928"/>
      <c r="O25" s="2982"/>
      <c r="P25" s="3330"/>
      <c r="Q25" s="1520">
        <f t="shared" si="11"/>
        <v>111</v>
      </c>
      <c r="R25" s="708" t="s">
        <v>17</v>
      </c>
      <c r="S25" s="709">
        <f>F25</f>
        <v>100</v>
      </c>
      <c r="T25" s="708" t="s">
        <v>17</v>
      </c>
      <c r="U25" s="709">
        <f>H25</f>
        <v>100</v>
      </c>
      <c r="V25" s="708" t="s">
        <v>17</v>
      </c>
      <c r="W25" s="709">
        <f>J25</f>
        <v>100</v>
      </c>
      <c r="X25" s="710"/>
      <c r="Y25" s="3330"/>
      <c r="Z25" s="55">
        <f>Q25</f>
        <v>111</v>
      </c>
      <c r="AA25" s="1530">
        <f>D25/F25</f>
        <v>1</v>
      </c>
      <c r="AB25" s="1530">
        <f>D25/H25</f>
        <v>1</v>
      </c>
      <c r="AC25" s="1530">
        <f>D25/J25</f>
        <v>1</v>
      </c>
    </row>
    <row r="26" spans="1:29" ht="28.5">
      <c r="A26" s="425" t="s">
        <v>2383</v>
      </c>
      <c r="B26" s="67" t="s">
        <v>2534</v>
      </c>
      <c r="C26" s="2143"/>
      <c r="D26" s="426">
        <v>100</v>
      </c>
      <c r="E26" s="2143"/>
      <c r="F26" s="622">
        <f>SUMIF(77:77,E26,78:78)-SUMIF(77:77,C26,78:78)+100</f>
        <v>100</v>
      </c>
      <c r="G26" s="2143"/>
      <c r="H26" s="426">
        <f>SUMIF(77:77,G26,78:78)-SUMIF(77:77,C26,78:78)+100</f>
        <v>100</v>
      </c>
      <c r="I26" s="2143"/>
      <c r="J26" s="426">
        <f>SUMIF(77:77,I26,78:78)-SUMIF(77:77,C26,78:78)+100</f>
        <v>100</v>
      </c>
      <c r="K26" s="569"/>
      <c r="L26" s="2932"/>
      <c r="M26" s="2926"/>
      <c r="N26" s="2926"/>
      <c r="O26" s="2984"/>
      <c r="P26" s="3380" t="s">
        <v>2385</v>
      </c>
      <c r="Q26" s="1529" t="str">
        <f t="shared" si="11"/>
        <v>公共部分装修</v>
      </c>
      <c r="R26" s="712" t="s">
        <v>17</v>
      </c>
      <c r="S26" s="713">
        <f t="shared" ref="S26:S34" si="12">F26</f>
        <v>100</v>
      </c>
      <c r="T26" s="712" t="s">
        <v>17</v>
      </c>
      <c r="U26" s="713">
        <f t="shared" ref="U26:U34" si="13">H26</f>
        <v>100</v>
      </c>
      <c r="V26" s="712" t="s">
        <v>17</v>
      </c>
      <c r="W26" s="713">
        <f t="shared" ref="W26:W34" si="14">J26</f>
        <v>100</v>
      </c>
      <c r="X26" s="1532"/>
      <c r="Y26" s="3334" t="s">
        <v>2385</v>
      </c>
      <c r="Z26" s="1533" t="str">
        <f t="shared" ref="Z26:Z34" si="15">Q26</f>
        <v>公共部分装修</v>
      </c>
      <c r="AA26" s="1530">
        <f t="shared" si="3"/>
        <v>1</v>
      </c>
      <c r="AB26" s="1530">
        <f t="shared" si="4"/>
        <v>1</v>
      </c>
      <c r="AC26" s="1530">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1"/>
      <c r="M27" s="2933"/>
      <c r="N27" s="2933"/>
      <c r="O27" s="2985"/>
      <c r="P27" s="3334"/>
      <c r="Q27" s="714" t="str">
        <f t="shared" si="11"/>
        <v>成新率</v>
      </c>
      <c r="R27" s="715" t="s">
        <v>17</v>
      </c>
      <c r="S27" s="716" t="e">
        <f t="shared" si="12"/>
        <v>#N/A</v>
      </c>
      <c r="T27" s="715" t="s">
        <v>17</v>
      </c>
      <c r="U27" s="716" t="e">
        <f t="shared" si="13"/>
        <v>#N/A</v>
      </c>
      <c r="V27" s="715" t="s">
        <v>17</v>
      </c>
      <c r="W27" s="716" t="e">
        <f t="shared" si="14"/>
        <v>#N/A</v>
      </c>
      <c r="X27" s="717"/>
      <c r="Y27" s="3334"/>
      <c r="Z27" s="718" t="str">
        <f t="shared" si="15"/>
        <v>成新率</v>
      </c>
      <c r="AA27" s="1530" t="e">
        <f t="shared" si="3"/>
        <v>#N/A</v>
      </c>
      <c r="AB27" s="1530" t="e">
        <f t="shared" si="4"/>
        <v>#N/A</v>
      </c>
      <c r="AC27" s="1530"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2"/>
      <c r="M28" s="2926"/>
      <c r="N28" s="2926"/>
      <c r="O28" s="2984"/>
      <c r="P28" s="3334"/>
      <c r="Q28" s="1529" t="str">
        <f t="shared" si="11"/>
        <v>物业等级</v>
      </c>
      <c r="R28" s="712" t="s">
        <v>17</v>
      </c>
      <c r="S28" s="713">
        <f t="shared" si="12"/>
        <v>100</v>
      </c>
      <c r="T28" s="712" t="s">
        <v>17</v>
      </c>
      <c r="U28" s="713">
        <f t="shared" si="13"/>
        <v>100</v>
      </c>
      <c r="V28" s="712" t="s">
        <v>17</v>
      </c>
      <c r="W28" s="713">
        <f t="shared" si="14"/>
        <v>100</v>
      </c>
      <c r="X28" s="1532"/>
      <c r="Y28" s="3334"/>
      <c r="Z28" s="1533" t="str">
        <f t="shared" si="15"/>
        <v>物业等级</v>
      </c>
      <c r="AA28" s="1530">
        <f t="shared" si="3"/>
        <v>1</v>
      </c>
      <c r="AB28" s="1530">
        <f t="shared" si="4"/>
        <v>1</v>
      </c>
      <c r="AC28" s="1530">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32"/>
      <c r="M29" s="2926"/>
      <c r="N29" s="2926"/>
      <c r="O29" s="2984"/>
      <c r="P29" s="3334"/>
      <c r="Q29" s="1529" t="str">
        <f t="shared" si="11"/>
        <v>有无电梯</v>
      </c>
      <c r="R29" s="712" t="s">
        <v>17</v>
      </c>
      <c r="S29" s="713">
        <f t="shared" si="12"/>
        <v>100</v>
      </c>
      <c r="T29" s="712" t="s">
        <v>17</v>
      </c>
      <c r="U29" s="713">
        <f t="shared" si="13"/>
        <v>100</v>
      </c>
      <c r="V29" s="712" t="s">
        <v>17</v>
      </c>
      <c r="W29" s="713">
        <f t="shared" si="14"/>
        <v>100</v>
      </c>
      <c r="X29" s="1532"/>
      <c r="Y29" s="3334"/>
      <c r="Z29" s="1533" t="str">
        <f t="shared" si="15"/>
        <v>有无电梯</v>
      </c>
      <c r="AA29" s="1530">
        <f t="shared" si="3"/>
        <v>1</v>
      </c>
      <c r="AB29" s="1530">
        <f t="shared" si="4"/>
        <v>1</v>
      </c>
      <c r="AC29" s="1530">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2"/>
      <c r="M30" s="2926"/>
      <c r="N30" s="2926"/>
      <c r="O30" s="2984"/>
      <c r="P30" s="3334"/>
      <c r="Q30" s="1529" t="str">
        <f t="shared" si="11"/>
        <v>建筑面积</v>
      </c>
      <c r="R30" s="712" t="s">
        <v>17</v>
      </c>
      <c r="S30" s="713" t="e">
        <f t="shared" si="12"/>
        <v>#N/A</v>
      </c>
      <c r="T30" s="712" t="s">
        <v>17</v>
      </c>
      <c r="U30" s="713" t="e">
        <f t="shared" si="13"/>
        <v>#N/A</v>
      </c>
      <c r="V30" s="712" t="s">
        <v>17</v>
      </c>
      <c r="W30" s="713" t="e">
        <f t="shared" si="14"/>
        <v>#N/A</v>
      </c>
      <c r="X30" s="1532"/>
      <c r="Y30" s="3334"/>
      <c r="Z30" s="1533" t="str">
        <f t="shared" si="15"/>
        <v>建筑面积</v>
      </c>
      <c r="AA30" s="1530" t="e">
        <f t="shared" si="3"/>
        <v>#N/A</v>
      </c>
      <c r="AB30" s="1530" t="e">
        <f t="shared" si="4"/>
        <v>#N/A</v>
      </c>
      <c r="AC30" s="1530"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27"/>
      <c r="M31" s="2928"/>
      <c r="N31" s="2928"/>
      <c r="O31" s="2982"/>
      <c r="P31" s="3334"/>
      <c r="Q31" s="1520" t="str">
        <f t="shared" si="11"/>
        <v>是否封闭</v>
      </c>
      <c r="R31" s="708" t="s">
        <v>17</v>
      </c>
      <c r="S31" s="709">
        <f t="shared" si="12"/>
        <v>100</v>
      </c>
      <c r="T31" s="708" t="s">
        <v>17</v>
      </c>
      <c r="U31" s="709">
        <f t="shared" si="13"/>
        <v>100</v>
      </c>
      <c r="V31" s="708" t="s">
        <v>17</v>
      </c>
      <c r="W31" s="709">
        <f t="shared" si="14"/>
        <v>100</v>
      </c>
      <c r="X31" s="710"/>
      <c r="Y31" s="3334"/>
      <c r="Z31" s="55" t="str">
        <f t="shared" si="15"/>
        <v>是否封闭</v>
      </c>
      <c r="AA31" s="711">
        <f t="shared" si="3"/>
        <v>1</v>
      </c>
      <c r="AB31" s="711">
        <f t="shared" si="4"/>
        <v>1</v>
      </c>
      <c r="AC31" s="711">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32"/>
      <c r="M32" s="2926"/>
      <c r="N32" s="2926"/>
      <c r="O32" s="2984"/>
      <c r="P32" s="3334" t="s">
        <v>2385</v>
      </c>
      <c r="Q32" s="1529">
        <f t="shared" si="11"/>
        <v>111</v>
      </c>
      <c r="R32" s="712" t="s">
        <v>17</v>
      </c>
      <c r="S32" s="713">
        <f t="shared" si="12"/>
        <v>100</v>
      </c>
      <c r="T32" s="712" t="s">
        <v>17</v>
      </c>
      <c r="U32" s="713">
        <f t="shared" si="13"/>
        <v>100</v>
      </c>
      <c r="V32" s="712" t="s">
        <v>17</v>
      </c>
      <c r="W32" s="713">
        <f t="shared" si="14"/>
        <v>100</v>
      </c>
      <c r="X32" s="1532"/>
      <c r="Y32" s="3334" t="s">
        <v>2385</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32"/>
      <c r="M33" s="2926"/>
      <c r="N33" s="2926"/>
      <c r="O33" s="2984"/>
      <c r="P33" s="3334"/>
      <c r="Q33" s="1529">
        <f t="shared" si="11"/>
        <v>111</v>
      </c>
      <c r="R33" s="712" t="s">
        <v>17</v>
      </c>
      <c r="S33" s="713">
        <f t="shared" si="12"/>
        <v>100</v>
      </c>
      <c r="T33" s="712" t="s">
        <v>17</v>
      </c>
      <c r="U33" s="713">
        <f t="shared" si="13"/>
        <v>100</v>
      </c>
      <c r="V33" s="712" t="s">
        <v>17</v>
      </c>
      <c r="W33" s="713">
        <f t="shared" si="14"/>
        <v>100</v>
      </c>
      <c r="X33" s="1532"/>
      <c r="Y33" s="3334"/>
      <c r="Z33" s="1533">
        <f t="shared" si="15"/>
        <v>111</v>
      </c>
      <c r="AA33" s="1530">
        <f t="shared" si="3"/>
        <v>1</v>
      </c>
      <c r="AB33" s="1530">
        <f t="shared" si="4"/>
        <v>1</v>
      </c>
      <c r="AC33" s="1530">
        <f t="shared" si="5"/>
        <v>1</v>
      </c>
    </row>
    <row r="34" spans="1:30" ht="15.75" thickBot="1">
      <c r="A34" s="437"/>
      <c r="B34" s="2073">
        <v>111</v>
      </c>
      <c r="C34" s="396"/>
      <c r="D34" s="397">
        <v>100</v>
      </c>
      <c r="E34" s="2151"/>
      <c r="F34" s="398">
        <f>SUMIF(95:95,E34,96:96)-SUMIF(95:95,C34,96:96)+100</f>
        <v>100</v>
      </c>
      <c r="G34" s="2151"/>
      <c r="H34" s="397">
        <f>SUMIF(95:95,G34,96:96)-SUMIF(95:95,C34,96:96)+100</f>
        <v>100</v>
      </c>
      <c r="I34" s="2151"/>
      <c r="J34" s="397">
        <f>SUMIF(95:95,I34,96:96)-SUMIF(95:95,C34,96:96)+100</f>
        <v>100</v>
      </c>
      <c r="K34" s="570"/>
      <c r="L34" s="2932"/>
      <c r="M34" s="2926"/>
      <c r="N34" s="2926"/>
      <c r="O34" s="2984"/>
      <c r="P34" s="3334"/>
      <c r="Q34" s="1529">
        <f t="shared" si="11"/>
        <v>111</v>
      </c>
      <c r="R34" s="712" t="s">
        <v>17</v>
      </c>
      <c r="S34" s="713">
        <f t="shared" si="12"/>
        <v>100</v>
      </c>
      <c r="T34" s="712" t="s">
        <v>17</v>
      </c>
      <c r="U34" s="713">
        <f t="shared" si="13"/>
        <v>100</v>
      </c>
      <c r="V34" s="712" t="s">
        <v>17</v>
      </c>
      <c r="W34" s="713">
        <f t="shared" si="14"/>
        <v>100</v>
      </c>
      <c r="X34" s="1532"/>
      <c r="Y34" s="3334"/>
      <c r="Z34" s="1533">
        <f t="shared" si="15"/>
        <v>111</v>
      </c>
      <c r="AA34" s="1530">
        <f t="shared" si="3"/>
        <v>1</v>
      </c>
      <c r="AB34" s="1530">
        <f t="shared" si="4"/>
        <v>1</v>
      </c>
      <c r="AC34" s="1530">
        <f t="shared" si="5"/>
        <v>1</v>
      </c>
    </row>
    <row r="35" spans="1:30" ht="15">
      <c r="A35" s="438" t="s">
        <v>2397</v>
      </c>
      <c r="B35" s="439"/>
      <c r="C35" s="1311" t="s">
        <v>1</v>
      </c>
      <c r="D35" s="1312"/>
      <c r="E35" s="1313"/>
      <c r="F35" s="1314"/>
      <c r="G35" s="1315"/>
      <c r="H35" s="1316"/>
      <c r="I35" s="1313"/>
      <c r="J35" s="1316"/>
      <c r="K35" s="721"/>
      <c r="L35" s="2934"/>
      <c r="M35" s="2935"/>
      <c r="N35" s="2926"/>
      <c r="O35" s="2935"/>
      <c r="P35" s="3327" t="str">
        <f>A35</f>
        <v>成交单价（元/平方米）</v>
      </c>
      <c r="Q35" s="3327"/>
      <c r="R35" s="3328">
        <f>E35</f>
        <v>0</v>
      </c>
      <c r="S35" s="3328"/>
      <c r="T35" s="3328">
        <f>G35</f>
        <v>0</v>
      </c>
      <c r="U35" s="3328"/>
      <c r="V35" s="3328">
        <f>I35</f>
        <v>0</v>
      </c>
      <c r="W35" s="3328"/>
      <c r="X35" s="697"/>
      <c r="Y35" s="719"/>
      <c r="Z35" s="697"/>
      <c r="AA35" s="697"/>
      <c r="AB35" s="697"/>
      <c r="AC35" s="697"/>
    </row>
    <row r="36" spans="1:30" ht="15.75" thickBot="1">
      <c r="A36" s="445" t="s">
        <v>2489</v>
      </c>
      <c r="B36" s="446"/>
      <c r="C36" s="1317" t="e">
        <f>R37</f>
        <v>#DIV/0!</v>
      </c>
      <c r="D36" s="2528" t="s">
        <v>2876</v>
      </c>
      <c r="E36" s="1318" t="e">
        <f>R36</f>
        <v>#DIV/0!</v>
      </c>
      <c r="F36" s="2529"/>
      <c r="G36" s="1317" t="e">
        <f>T36</f>
        <v>#DIV/0!</v>
      </c>
      <c r="H36" s="2529"/>
      <c r="I36" s="1318" t="e">
        <f>V36</f>
        <v>#DIV/0!</v>
      </c>
      <c r="J36" s="2529"/>
      <c r="K36" s="2531">
        <f>F36+H36+J36</f>
        <v>0</v>
      </c>
      <c r="L36" s="2934"/>
      <c r="M36" s="2935"/>
      <c r="N36" s="2926"/>
      <c r="O36" s="2935"/>
      <c r="P36" s="3327" t="str">
        <f>A36</f>
        <v>比较价值（元/平方米）</v>
      </c>
      <c r="Q36" s="3327"/>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697"/>
      <c r="Y36" s="697"/>
      <c r="Z36" s="697"/>
      <c r="AA36" s="697"/>
      <c r="AB36" s="697"/>
      <c r="AC36" s="697"/>
    </row>
    <row r="37" spans="1:30" ht="15.75" thickBot="1">
      <c r="A37" s="449" t="s">
        <v>2490</v>
      </c>
      <c r="B37" s="450"/>
      <c r="C37" s="1320" t="e">
        <f>R37</f>
        <v>#DIV/0!</v>
      </c>
      <c r="D37" s="1320"/>
      <c r="E37" s="1320"/>
      <c r="F37" s="1320"/>
      <c r="G37" s="1320"/>
      <c r="H37" s="1320"/>
      <c r="I37" s="1320"/>
      <c r="J37" s="1320"/>
      <c r="K37" s="722"/>
      <c r="L37" s="2934"/>
      <c r="M37" s="2935"/>
      <c r="N37" s="2935"/>
      <c r="O37" s="2935"/>
      <c r="P37" s="3324" t="str">
        <f>A37</f>
        <v>估价对象XX用房的比较价值（楼面单价，元/平方米）</v>
      </c>
      <c r="Q37" s="3325"/>
      <c r="R37" s="3381" t="e">
        <f>IF(F1="售价",ROUND(IF(D36="简单平均",AVERAGE(R36:W36),R36*F36+T36*H36+V36*J36),0),ROUND(IF(D36="简单平均",AVERAGE(R36:V36),R36*F36+T36*H36+V36*J36),1))</f>
        <v>#DIV/0!</v>
      </c>
      <c r="S37" s="3381"/>
      <c r="T37" s="3381"/>
      <c r="U37" s="3381"/>
      <c r="V37" s="3381"/>
      <c r="W37" s="3381"/>
      <c r="X37" s="697"/>
      <c r="Y37" s="697"/>
      <c r="Z37" s="697"/>
      <c r="AA37" s="697"/>
      <c r="AB37" s="697"/>
      <c r="AC37" s="697"/>
    </row>
    <row r="38" spans="1:30">
      <c r="A38" s="2935"/>
      <c r="B38" s="2935"/>
      <c r="C38" s="2935"/>
      <c r="D38" s="2935"/>
      <c r="E38" s="2935"/>
      <c r="F38" s="2935"/>
      <c r="G38" s="2939"/>
      <c r="H38" s="2935"/>
      <c r="I38" s="2935"/>
      <c r="J38" s="2935"/>
      <c r="K38" s="2940"/>
      <c r="L38" s="2936"/>
      <c r="M38" s="2935"/>
      <c r="N38" s="2935"/>
      <c r="O38" s="2935"/>
      <c r="P38" s="2935"/>
      <c r="Q38" s="2935"/>
      <c r="R38" s="2935"/>
      <c r="S38" s="2935"/>
      <c r="T38" s="2935"/>
      <c r="U38" s="2935"/>
      <c r="V38" s="2935"/>
      <c r="W38" s="2935"/>
      <c r="X38" s="2935"/>
      <c r="Y38" s="2935"/>
      <c r="Z38" s="2935"/>
      <c r="AA38" s="2935"/>
      <c r="AB38" s="2935"/>
      <c r="AC38" s="2935"/>
      <c r="AD38" s="2935"/>
    </row>
    <row r="39" spans="1:30">
      <c r="A39" s="2935"/>
      <c r="B39" s="2935"/>
      <c r="C39" s="2935"/>
      <c r="D39" s="2935"/>
      <c r="E39" s="2935"/>
      <c r="F39" s="2935"/>
      <c r="G39" s="2935"/>
      <c r="H39" s="2935"/>
      <c r="I39" s="2935"/>
      <c r="J39" s="2935"/>
      <c r="K39" s="2940"/>
      <c r="L39" s="2936"/>
      <c r="M39" s="2935"/>
      <c r="N39" s="2935"/>
      <c r="O39" s="2935"/>
      <c r="P39" s="2935"/>
      <c r="Q39" s="2935"/>
      <c r="R39" s="2935"/>
      <c r="S39" s="2935"/>
      <c r="T39" s="2935"/>
      <c r="U39" s="2935"/>
      <c r="V39" s="2935"/>
      <c r="W39" s="2935"/>
      <c r="X39" s="2935"/>
      <c r="Y39" s="2935"/>
      <c r="Z39" s="2935"/>
      <c r="AA39" s="2935"/>
      <c r="AB39" s="2935"/>
      <c r="AC39" s="2935"/>
      <c r="AD39" s="2935"/>
    </row>
    <row r="40" spans="1:30" ht="13.5" customHeight="1">
      <c r="A40" s="2935"/>
      <c r="B40" s="293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0"/>
      <c r="L40" s="2936"/>
      <c r="M40" s="2935"/>
      <c r="N40" s="2935"/>
      <c r="O40" s="2935"/>
      <c r="P40" s="2935"/>
      <c r="Q40" s="2935"/>
      <c r="R40" s="2935"/>
      <c r="S40" s="2935"/>
      <c r="T40" s="2935"/>
      <c r="U40" s="2935"/>
      <c r="V40" s="2935"/>
      <c r="W40" s="2935"/>
      <c r="X40" s="2935"/>
      <c r="Y40" s="2935"/>
      <c r="Z40" s="2935"/>
      <c r="AA40" s="2935"/>
      <c r="AB40" s="2935"/>
      <c r="AC40" s="2935"/>
      <c r="AD40" s="2935"/>
    </row>
    <row r="41" spans="1:30" ht="13.5" customHeight="1">
      <c r="A41" s="2935"/>
      <c r="B41" s="293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0"/>
      <c r="L41" s="2936"/>
      <c r="M41" s="2935"/>
      <c r="N41" s="2935"/>
      <c r="O41" s="2935"/>
      <c r="P41" s="2935"/>
      <c r="Q41" s="2935"/>
      <c r="R41" s="2935"/>
      <c r="S41" s="2935"/>
      <c r="T41" s="2935"/>
      <c r="U41" s="2935"/>
      <c r="V41" s="2935"/>
      <c r="W41" s="2935"/>
      <c r="X41" s="2935"/>
      <c r="Y41" s="2935"/>
      <c r="Z41" s="2935"/>
      <c r="AA41" s="2935"/>
      <c r="AB41" s="2935"/>
      <c r="AC41" s="2935"/>
      <c r="AD41" s="2935"/>
    </row>
    <row r="42" spans="1:30" s="459" customFormat="1" ht="13.5" customHeight="1">
      <c r="A42" s="2938"/>
      <c r="B42" s="293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3"/>
      <c r="L42" s="2937"/>
      <c r="M42" s="2938"/>
      <c r="N42" s="2938"/>
      <c r="O42" s="2938"/>
      <c r="P42" s="2938"/>
      <c r="Q42" s="2938"/>
      <c r="R42" s="2938"/>
      <c r="S42" s="2938"/>
      <c r="T42" s="2938"/>
      <c r="U42" s="2938"/>
      <c r="V42" s="2938"/>
      <c r="W42" s="2938"/>
      <c r="X42" s="2938"/>
      <c r="Y42" s="2938"/>
      <c r="Z42" s="2938"/>
      <c r="AA42" s="2938"/>
      <c r="AB42" s="2938"/>
      <c r="AC42" s="2938"/>
      <c r="AD42" s="2938"/>
    </row>
    <row r="43" spans="1:30" s="459" customFormat="1">
      <c r="A43" s="2938"/>
      <c r="B43" s="2941"/>
      <c r="C43" s="2942"/>
      <c r="D43" s="2938"/>
      <c r="E43" s="2938"/>
      <c r="F43" s="2938"/>
      <c r="G43" s="2938"/>
      <c r="H43" s="2938"/>
      <c r="I43" s="2938"/>
      <c r="J43" s="2938"/>
      <c r="K43" s="2943"/>
      <c r="L43" s="2937"/>
      <c r="M43" s="2938"/>
      <c r="N43" s="2938"/>
      <c r="O43" s="2938"/>
      <c r="P43" s="2938"/>
      <c r="Q43" s="2938"/>
      <c r="R43" s="2938"/>
      <c r="S43" s="2938"/>
      <c r="T43" s="2938"/>
      <c r="U43" s="2938"/>
      <c r="V43" s="2938"/>
      <c r="W43" s="2938"/>
      <c r="X43" s="2938"/>
      <c r="Y43" s="2938"/>
      <c r="Z43" s="2938"/>
      <c r="AA43" s="2938"/>
      <c r="AB43" s="2938"/>
      <c r="AC43" s="2938"/>
      <c r="AD43" s="2938"/>
    </row>
    <row r="44" spans="1:30">
      <c r="A44" s="2935"/>
      <c r="B44" s="2941"/>
      <c r="C44" s="2942"/>
      <c r="D44" s="2935"/>
      <c r="E44" s="2935"/>
      <c r="F44" s="2935"/>
      <c r="G44" s="2935"/>
      <c r="H44" s="2935"/>
      <c r="I44" s="2935"/>
      <c r="J44" s="2935"/>
      <c r="K44" s="2940"/>
      <c r="L44" s="2936"/>
      <c r="M44" s="2935"/>
      <c r="N44" s="2935"/>
      <c r="O44" s="2935"/>
      <c r="P44" s="2935"/>
      <c r="Q44" s="2935"/>
      <c r="R44" s="2935"/>
      <c r="S44" s="2935"/>
      <c r="T44" s="2935"/>
      <c r="U44" s="2935"/>
      <c r="V44" s="2935"/>
      <c r="W44" s="2935"/>
      <c r="X44" s="2935"/>
      <c r="Y44" s="2935"/>
      <c r="Z44" s="2935"/>
      <c r="AA44" s="2935"/>
      <c r="AB44" s="2935"/>
      <c r="AC44" s="2935"/>
      <c r="AD44" s="2935"/>
    </row>
    <row r="45" spans="1:30" ht="21.75" thickBot="1">
      <c r="A45" s="701" t="s">
        <v>2494</v>
      </c>
      <c r="B45" s="697"/>
      <c r="C45" s="702"/>
      <c r="D45" s="702"/>
      <c r="E45" s="702"/>
      <c r="F45" s="703"/>
      <c r="G45" s="703"/>
      <c r="H45" s="702"/>
      <c r="I45" s="702"/>
      <c r="J45" s="702"/>
      <c r="K45" s="704"/>
      <c r="L45" s="705"/>
      <c r="M45" s="702"/>
      <c r="N45" s="2979"/>
      <c r="O45" s="2979"/>
      <c r="P45" s="2979"/>
      <c r="Q45" s="2949"/>
      <c r="R45" s="2935"/>
      <c r="S45" s="2935"/>
      <c r="T45" s="2935"/>
      <c r="U45" s="2935"/>
      <c r="V45" s="2935"/>
      <c r="W45" s="2935"/>
      <c r="X45" s="2935"/>
      <c r="Y45" s="2935"/>
      <c r="Z45" s="2935"/>
      <c r="AA45" s="2935"/>
      <c r="AB45" s="2935"/>
      <c r="AC45" s="2935"/>
      <c r="AD45" s="2935"/>
    </row>
    <row r="46" spans="1:30" s="465" customFormat="1" ht="15">
      <c r="A46" s="462" t="s">
        <v>2368</v>
      </c>
      <c r="B46" s="463"/>
      <c r="C46" s="1341" t="str">
        <f>YEAR(C7)&amp;"-"&amp;MONTH(C7)</f>
        <v>2021-5</v>
      </c>
      <c r="D46" s="1342">
        <f>EDATE(C46,-1)</f>
        <v>44287</v>
      </c>
      <c r="E46" s="1342">
        <f t="shared" ref="E46:O46" si="16">EDATE(D46,-1)</f>
        <v>44256</v>
      </c>
      <c r="F46" s="1342">
        <f t="shared" si="16"/>
        <v>44228</v>
      </c>
      <c r="G46" s="1342">
        <f t="shared" si="16"/>
        <v>44197</v>
      </c>
      <c r="H46" s="1342">
        <f t="shared" si="16"/>
        <v>44166</v>
      </c>
      <c r="I46" s="1342">
        <f t="shared" si="16"/>
        <v>44136</v>
      </c>
      <c r="J46" s="1342">
        <f t="shared" si="16"/>
        <v>44105</v>
      </c>
      <c r="K46" s="1342">
        <f t="shared" si="16"/>
        <v>44075</v>
      </c>
      <c r="L46" s="1342">
        <f t="shared" si="16"/>
        <v>44044</v>
      </c>
      <c r="M46" s="1342">
        <f t="shared" si="16"/>
        <v>44013</v>
      </c>
      <c r="N46" s="1342">
        <f t="shared" si="16"/>
        <v>43983</v>
      </c>
      <c r="O46" s="1342">
        <f t="shared" si="16"/>
        <v>43952</v>
      </c>
      <c r="P46" s="2986"/>
      <c r="Q46" s="2951"/>
      <c r="R46" s="2951"/>
      <c r="S46" s="2951"/>
      <c r="T46" s="2951"/>
      <c r="U46" s="2951"/>
      <c r="V46" s="2951"/>
      <c r="W46" s="2951"/>
      <c r="X46" s="2951"/>
      <c r="Y46" s="2951"/>
      <c r="Z46" s="2951"/>
      <c r="AA46" s="2951"/>
      <c r="AB46" s="2951"/>
      <c r="AC46" s="2951"/>
      <c r="AD46" s="2951"/>
    </row>
    <row r="47" spans="1:30" s="113" customFormat="1" ht="15">
      <c r="A47" s="466"/>
      <c r="B47" s="467"/>
      <c r="C47" s="1340">
        <v>100</v>
      </c>
      <c r="D47" s="469"/>
      <c r="E47" s="469"/>
      <c r="F47" s="469"/>
      <c r="G47" s="469"/>
      <c r="H47" s="469"/>
      <c r="I47" s="469"/>
      <c r="J47" s="469"/>
      <c r="K47" s="469"/>
      <c r="L47" s="469"/>
      <c r="M47" s="470"/>
      <c r="N47" s="469"/>
      <c r="O47" s="471"/>
      <c r="P47" s="2949"/>
      <c r="Q47" s="2870"/>
      <c r="R47" s="2870"/>
      <c r="S47" s="2870"/>
      <c r="T47" s="2870"/>
      <c r="U47" s="2870"/>
      <c r="V47" s="2870"/>
      <c r="W47" s="2870"/>
      <c r="X47" s="2870"/>
      <c r="Y47" s="2870"/>
      <c r="Z47" s="2870"/>
      <c r="AA47" s="2870"/>
      <c r="AB47" s="2870"/>
      <c r="AC47" s="2870"/>
      <c r="AD47" s="2870"/>
    </row>
    <row r="48" spans="1:30" s="113" customFormat="1" ht="15.75" thickBot="1">
      <c r="A48" s="472" t="s">
        <v>2405</v>
      </c>
      <c r="B48" s="473"/>
      <c r="C48" s="474"/>
      <c r="D48" s="475"/>
      <c r="E48" s="475"/>
      <c r="F48" s="475"/>
      <c r="G48" s="475"/>
      <c r="H48" s="475"/>
      <c r="I48" s="475"/>
      <c r="J48" s="475"/>
      <c r="K48" s="475"/>
      <c r="L48" s="475"/>
      <c r="M48" s="476"/>
      <c r="N48" s="475"/>
      <c r="O48" s="477"/>
      <c r="P48" s="2949"/>
      <c r="Q48" s="2949"/>
      <c r="R48" s="2870"/>
      <c r="S48" s="2870"/>
      <c r="T48" s="2870"/>
      <c r="U48" s="2870"/>
      <c r="V48" s="2870"/>
      <c r="W48" s="2870"/>
      <c r="X48" s="2870"/>
      <c r="Y48" s="2870"/>
      <c r="Z48" s="2870"/>
      <c r="AA48" s="2870"/>
      <c r="AB48" s="2870"/>
      <c r="AC48" s="2870"/>
      <c r="AD48" s="2870"/>
    </row>
    <row r="49" spans="1:30" s="113" customFormat="1" ht="15">
      <c r="A49" s="478" t="s">
        <v>2370</v>
      </c>
      <c r="B49" s="467"/>
      <c r="C49" s="479" t="s">
        <v>2472</v>
      </c>
      <c r="D49" s="480"/>
      <c r="E49" s="480"/>
      <c r="F49" s="480"/>
      <c r="G49" s="480"/>
      <c r="H49" s="480"/>
      <c r="I49" s="480"/>
      <c r="J49" s="480"/>
      <c r="K49" s="480"/>
      <c r="L49" s="481"/>
      <c r="M49" s="482"/>
      <c r="N49" s="2962"/>
      <c r="O49" s="2962"/>
      <c r="P49" s="2987"/>
      <c r="Q49" s="2949"/>
      <c r="R49" s="2870"/>
      <c r="S49" s="2870"/>
      <c r="T49" s="2870"/>
      <c r="U49" s="2870"/>
      <c r="V49" s="2870"/>
      <c r="W49" s="2870"/>
      <c r="X49" s="2870"/>
      <c r="Y49" s="2870"/>
      <c r="Z49" s="2870"/>
      <c r="AA49" s="2870"/>
      <c r="AB49" s="2870"/>
      <c r="AC49" s="2870"/>
      <c r="AD49" s="2870"/>
    </row>
    <row r="50" spans="1:30" s="113" customFormat="1" ht="15.75" thickBot="1">
      <c r="A50" s="478"/>
      <c r="B50" s="467"/>
      <c r="C50" s="594">
        <v>100</v>
      </c>
      <c r="D50" s="469"/>
      <c r="E50" s="469"/>
      <c r="F50" s="469"/>
      <c r="G50" s="469"/>
      <c r="H50" s="469"/>
      <c r="I50" s="469"/>
      <c r="J50" s="469"/>
      <c r="K50" s="469"/>
      <c r="L50" s="469"/>
      <c r="M50" s="471"/>
      <c r="N50" s="2962"/>
      <c r="O50" s="2962"/>
      <c r="P50" s="2949"/>
      <c r="Q50" s="2949"/>
      <c r="R50" s="2870"/>
      <c r="S50" s="2870"/>
      <c r="T50" s="2870"/>
      <c r="U50" s="2870"/>
      <c r="V50" s="2870"/>
      <c r="W50" s="2870"/>
      <c r="X50" s="2870"/>
      <c r="Y50" s="2870"/>
      <c r="Z50" s="2870"/>
      <c r="AA50" s="2870"/>
      <c r="AB50" s="2870"/>
      <c r="AC50" s="2870"/>
      <c r="AD50" s="2870"/>
    </row>
    <row r="51" spans="1:30">
      <c r="A51" s="484" t="s">
        <v>2408</v>
      </c>
      <c r="B51" s="485" t="s">
        <v>2374</v>
      </c>
      <c r="C51" s="486">
        <f>C9</f>
        <v>0</v>
      </c>
      <c r="D51" s="487"/>
      <c r="E51" s="487"/>
      <c r="F51" s="487"/>
      <c r="G51" s="487"/>
      <c r="H51" s="487"/>
      <c r="I51" s="487"/>
      <c r="J51" s="487"/>
      <c r="K51" s="488"/>
      <c r="L51" s="489"/>
      <c r="M51" s="490"/>
      <c r="N51" s="2963"/>
      <c r="O51" s="2963"/>
      <c r="P51" s="2988"/>
      <c r="Q51" s="2949"/>
      <c r="R51" s="2935"/>
      <c r="S51" s="2935"/>
      <c r="T51" s="2935"/>
      <c r="U51" s="2935"/>
      <c r="V51" s="2935"/>
      <c r="W51" s="2935"/>
      <c r="X51" s="2935"/>
      <c r="Y51" s="2935"/>
      <c r="Z51" s="2935"/>
      <c r="AA51" s="2935"/>
      <c r="AB51" s="2935"/>
      <c r="AC51" s="2935"/>
      <c r="AD51" s="2935"/>
    </row>
    <row r="52" spans="1:30" ht="15.75" thickBot="1">
      <c r="A52" s="491"/>
      <c r="B52" s="492"/>
      <c r="C52" s="493">
        <v>100</v>
      </c>
      <c r="D52" s="493"/>
      <c r="E52" s="493"/>
      <c r="F52" s="493"/>
      <c r="G52" s="493"/>
      <c r="H52" s="493"/>
      <c r="I52" s="493"/>
      <c r="J52" s="493"/>
      <c r="K52" s="493"/>
      <c r="L52" s="493"/>
      <c r="M52" s="494"/>
      <c r="N52" s="2964"/>
      <c r="O52" s="2964"/>
      <c r="P52" s="2988"/>
      <c r="Q52" s="2949"/>
      <c r="R52" s="2935"/>
      <c r="S52" s="2935"/>
      <c r="T52" s="2935"/>
      <c r="U52" s="2935"/>
      <c r="V52" s="2935"/>
      <c r="W52" s="2935"/>
      <c r="X52" s="2935"/>
      <c r="Y52" s="2935"/>
      <c r="Z52" s="2935"/>
      <c r="AA52" s="2935"/>
      <c r="AB52" s="2935"/>
      <c r="AC52" s="2935"/>
      <c r="AD52" s="293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3"/>
      <c r="O53" s="2963"/>
      <c r="P53" s="2988"/>
      <c r="Q53" s="2949"/>
      <c r="R53" s="2935"/>
      <c r="S53" s="2935"/>
      <c r="T53" s="2935"/>
      <c r="U53" s="2935"/>
      <c r="V53" s="2935"/>
      <c r="W53" s="2935"/>
      <c r="X53" s="2935"/>
      <c r="Y53" s="2935"/>
      <c r="Z53" s="2935"/>
      <c r="AA53" s="2935"/>
      <c r="AB53" s="2935"/>
      <c r="AC53" s="2935"/>
      <c r="AD53" s="293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4"/>
      <c r="O54" s="2964"/>
      <c r="P54" s="2988"/>
      <c r="Q54" s="2949"/>
      <c r="R54" s="2935"/>
      <c r="S54" s="2935"/>
      <c r="T54" s="2935"/>
      <c r="U54" s="2935"/>
      <c r="V54" s="2935"/>
      <c r="W54" s="2935"/>
      <c r="X54" s="2935"/>
      <c r="Y54" s="2935"/>
      <c r="Z54" s="2935"/>
      <c r="AA54" s="2935"/>
      <c r="AB54" s="2935"/>
      <c r="AC54" s="2935"/>
      <c r="AD54" s="2935"/>
    </row>
    <row r="55" spans="1:30" ht="15.75" thickTop="1">
      <c r="A55" s="491"/>
      <c r="B55" s="615">
        <f>B11</f>
        <v>111</v>
      </c>
      <c r="C55" s="506"/>
      <c r="D55" s="506"/>
      <c r="E55" s="506"/>
      <c r="F55" s="506"/>
      <c r="G55" s="506"/>
      <c r="H55" s="506"/>
      <c r="I55" s="506"/>
      <c r="J55" s="506"/>
      <c r="K55" s="507"/>
      <c r="L55" s="508"/>
      <c r="M55" s="509"/>
      <c r="N55" s="2963"/>
      <c r="O55" s="2963"/>
      <c r="P55" s="2988"/>
      <c r="Q55" s="2949"/>
      <c r="R55" s="2935"/>
      <c r="S55" s="2935"/>
      <c r="T55" s="2935"/>
      <c r="U55" s="2935"/>
      <c r="V55" s="2935"/>
      <c r="W55" s="2935"/>
      <c r="X55" s="2935"/>
      <c r="Y55" s="2935"/>
      <c r="Z55" s="2935"/>
      <c r="AA55" s="2935"/>
      <c r="AB55" s="2935"/>
      <c r="AC55" s="2935"/>
      <c r="AD55" s="2935"/>
    </row>
    <row r="56" spans="1:30" ht="15.75" thickBot="1">
      <c r="A56" s="491"/>
      <c r="B56" s="492"/>
      <c r="C56" s="517"/>
      <c r="D56" s="493"/>
      <c r="E56" s="493"/>
      <c r="F56" s="493"/>
      <c r="G56" s="493"/>
      <c r="H56" s="493"/>
      <c r="I56" s="493"/>
      <c r="J56" s="493"/>
      <c r="K56" s="493"/>
      <c r="L56" s="493"/>
      <c r="M56" s="494"/>
      <c r="N56" s="2964"/>
      <c r="O56" s="2964"/>
      <c r="P56" s="2988"/>
      <c r="Q56" s="2949"/>
      <c r="R56" s="2935"/>
      <c r="S56" s="2935"/>
      <c r="T56" s="2935"/>
      <c r="U56" s="2935"/>
      <c r="V56" s="2935"/>
      <c r="W56" s="2935"/>
      <c r="X56" s="2935"/>
      <c r="Y56" s="2935"/>
      <c r="Z56" s="2935"/>
      <c r="AA56" s="2935"/>
      <c r="AB56" s="2935"/>
      <c r="AC56" s="2935"/>
      <c r="AD56" s="2935"/>
    </row>
    <row r="57" spans="1:30" s="430" customFormat="1" ht="15.75" thickTop="1">
      <c r="A57" s="510"/>
      <c r="B57" s="495">
        <f>B12</f>
        <v>111</v>
      </c>
      <c r="C57" s="506"/>
      <c r="D57" s="506"/>
      <c r="E57" s="506"/>
      <c r="F57" s="506"/>
      <c r="G57" s="511"/>
      <c r="H57" s="512"/>
      <c r="I57" s="512"/>
      <c r="J57" s="512"/>
      <c r="K57" s="512"/>
      <c r="L57" s="513"/>
      <c r="M57" s="514"/>
      <c r="N57" s="2965"/>
      <c r="O57" s="2965"/>
      <c r="P57" s="2989"/>
      <c r="Q57" s="2956"/>
      <c r="R57" s="2957"/>
      <c r="S57" s="2957"/>
      <c r="T57" s="2957"/>
      <c r="U57" s="2957"/>
      <c r="V57" s="2957"/>
      <c r="W57" s="2957"/>
      <c r="X57" s="2957"/>
      <c r="Y57" s="2957"/>
      <c r="Z57" s="2957"/>
      <c r="AA57" s="2957"/>
      <c r="AB57" s="2957"/>
      <c r="AC57" s="2957"/>
      <c r="AD57" s="2957"/>
    </row>
    <row r="58" spans="1:30" s="430" customFormat="1" ht="15.75" thickBot="1">
      <c r="A58" s="510"/>
      <c r="B58" s="500"/>
      <c r="C58" s="517"/>
      <c r="D58" s="493"/>
      <c r="E58" s="493"/>
      <c r="F58" s="493"/>
      <c r="G58" s="493"/>
      <c r="H58" s="493"/>
      <c r="I58" s="493"/>
      <c r="J58" s="493"/>
      <c r="K58" s="493"/>
      <c r="L58" s="493"/>
      <c r="M58" s="494"/>
      <c r="N58" s="2964"/>
      <c r="O58" s="2964"/>
      <c r="P58" s="2989"/>
      <c r="Q58" s="2956"/>
      <c r="R58" s="2957"/>
      <c r="S58" s="2957"/>
      <c r="T58" s="2957"/>
      <c r="U58" s="2957"/>
      <c r="V58" s="2957"/>
      <c r="W58" s="2957"/>
      <c r="X58" s="2957"/>
      <c r="Y58" s="2957"/>
      <c r="Z58" s="2957"/>
      <c r="AA58" s="2957"/>
      <c r="AB58" s="2957"/>
      <c r="AC58" s="2957"/>
      <c r="AD58" s="2957"/>
    </row>
    <row r="59" spans="1:30" s="430" customFormat="1" ht="15.75" thickTop="1">
      <c r="A59" s="510"/>
      <c r="B59" s="495">
        <f>B13</f>
        <v>111</v>
      </c>
      <c r="C59" s="506"/>
      <c r="D59" s="506"/>
      <c r="E59" s="506"/>
      <c r="F59" s="506"/>
      <c r="G59" s="511"/>
      <c r="H59" s="512"/>
      <c r="I59" s="512"/>
      <c r="J59" s="512"/>
      <c r="K59" s="512"/>
      <c r="L59" s="513"/>
      <c r="M59" s="514"/>
      <c r="N59" s="2965"/>
      <c r="O59" s="2965"/>
      <c r="P59" s="2933"/>
      <c r="Q59" s="2959"/>
      <c r="R59" s="2957"/>
      <c r="S59" s="2957"/>
      <c r="T59" s="2957"/>
      <c r="U59" s="2957"/>
      <c r="V59" s="2957"/>
      <c r="W59" s="2957"/>
      <c r="X59" s="2957"/>
      <c r="Y59" s="2957"/>
      <c r="Z59" s="2957"/>
      <c r="AA59" s="2957"/>
      <c r="AB59" s="2957"/>
      <c r="AC59" s="2957"/>
      <c r="AD59" s="2957"/>
    </row>
    <row r="60" spans="1:30" s="430" customFormat="1" ht="15.75" thickBot="1">
      <c r="A60" s="510"/>
      <c r="B60" s="500"/>
      <c r="C60" s="517"/>
      <c r="D60" s="517"/>
      <c r="E60" s="517"/>
      <c r="F60" s="517"/>
      <c r="G60" s="517"/>
      <c r="H60" s="519"/>
      <c r="I60" s="519"/>
      <c r="J60" s="519"/>
      <c r="K60" s="519"/>
      <c r="L60" s="519"/>
      <c r="M60" s="520"/>
      <c r="N60" s="2965"/>
      <c r="O60" s="2965"/>
      <c r="P60" s="2989"/>
      <c r="Q60" s="2956"/>
      <c r="R60" s="2957"/>
      <c r="S60" s="2957"/>
      <c r="T60" s="2957"/>
      <c r="U60" s="2957"/>
      <c r="V60" s="2957"/>
      <c r="W60" s="2957"/>
      <c r="X60" s="2957"/>
      <c r="Y60" s="2957"/>
      <c r="Z60" s="2957"/>
      <c r="AA60" s="2957"/>
      <c r="AB60" s="2957"/>
      <c r="AC60" s="2957"/>
      <c r="AD60" s="295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3"/>
      <c r="O61" s="2963"/>
      <c r="P61" s="2990"/>
      <c r="Q61" s="2949"/>
      <c r="R61" s="2935"/>
      <c r="S61" s="2935"/>
      <c r="T61" s="2935"/>
      <c r="U61" s="2935"/>
      <c r="V61" s="2935"/>
      <c r="W61" s="2935"/>
      <c r="X61" s="2935"/>
      <c r="Y61" s="2935"/>
      <c r="Z61" s="2935"/>
      <c r="AA61" s="2935"/>
      <c r="AB61" s="2935"/>
      <c r="AC61" s="2935"/>
      <c r="AD61" s="293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4"/>
      <c r="O62" s="2964"/>
      <c r="P62" s="2988"/>
      <c r="Q62" s="2949"/>
      <c r="R62" s="2935"/>
      <c r="S62" s="2935"/>
      <c r="T62" s="2935"/>
      <c r="U62" s="2935"/>
      <c r="V62" s="2935"/>
      <c r="W62" s="2935"/>
      <c r="X62" s="2935"/>
      <c r="Y62" s="2935"/>
      <c r="Z62" s="2935"/>
      <c r="AA62" s="2935"/>
      <c r="AB62" s="2935"/>
      <c r="AC62" s="2935"/>
      <c r="AD62" s="2935"/>
    </row>
    <row r="63" spans="1:30" ht="27.75" thickTop="1">
      <c r="A63" s="491"/>
      <c r="B63" s="495" t="s">
        <v>2560</v>
      </c>
      <c r="C63" s="535" t="s">
        <v>2417</v>
      </c>
      <c r="D63" s="535" t="s">
        <v>2418</v>
      </c>
      <c r="E63" s="535" t="s">
        <v>2419</v>
      </c>
      <c r="F63" s="535" t="s">
        <v>2420</v>
      </c>
      <c r="G63" s="535" t="s">
        <v>2421</v>
      </c>
      <c r="H63" s="496"/>
      <c r="I63" s="496"/>
      <c r="J63" s="496"/>
      <c r="K63" s="497"/>
      <c r="L63" s="498"/>
      <c r="M63" s="499"/>
      <c r="N63" s="2963"/>
      <c r="O63" s="2963"/>
      <c r="P63" s="2988"/>
      <c r="Q63" s="2949"/>
      <c r="R63" s="2935"/>
      <c r="S63" s="2935"/>
      <c r="T63" s="2935"/>
      <c r="U63" s="2935"/>
      <c r="V63" s="2935"/>
      <c r="W63" s="2935"/>
      <c r="X63" s="2935"/>
      <c r="Y63" s="2935"/>
      <c r="Z63" s="2935"/>
      <c r="AA63" s="2935"/>
      <c r="AB63" s="2935"/>
      <c r="AC63" s="2935"/>
      <c r="AD63" s="293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4"/>
      <c r="O64" s="2964"/>
      <c r="P64" s="2988"/>
      <c r="Q64" s="2949"/>
      <c r="R64" s="2935"/>
      <c r="S64" s="2935"/>
      <c r="T64" s="2935"/>
      <c r="U64" s="2935"/>
      <c r="V64" s="2935"/>
      <c r="W64" s="2935"/>
      <c r="X64" s="2935"/>
      <c r="Y64" s="2935"/>
      <c r="Z64" s="2935"/>
      <c r="AA64" s="2935"/>
      <c r="AB64" s="2935"/>
      <c r="AC64" s="2935"/>
      <c r="AD64" s="2935"/>
    </row>
    <row r="65" spans="1:30" ht="15.75" thickTop="1">
      <c r="A65" s="491"/>
      <c r="B65" s="503" t="s">
        <v>2509</v>
      </c>
      <c r="C65" s="615" t="s">
        <v>2495</v>
      </c>
      <c r="D65" s="615" t="s">
        <v>2496</v>
      </c>
      <c r="E65" s="615" t="s">
        <v>2497</v>
      </c>
      <c r="F65" s="615" t="s">
        <v>2498</v>
      </c>
      <c r="G65" s="615" t="s">
        <v>2499</v>
      </c>
      <c r="H65" s="496"/>
      <c r="I65" s="496"/>
      <c r="J65" s="496"/>
      <c r="K65" s="496"/>
      <c r="L65" s="496"/>
      <c r="M65" s="1286"/>
      <c r="N65" s="2964"/>
      <c r="O65" s="2964"/>
      <c r="P65" s="2988"/>
      <c r="Q65" s="2949"/>
      <c r="R65" s="2935"/>
      <c r="S65" s="2935"/>
      <c r="T65" s="2935"/>
      <c r="U65" s="2935"/>
      <c r="V65" s="2935"/>
      <c r="W65" s="2935"/>
      <c r="X65" s="2935"/>
      <c r="Y65" s="2935"/>
      <c r="Z65" s="2935"/>
      <c r="AA65" s="2935"/>
      <c r="AB65" s="2935"/>
      <c r="AC65" s="2935"/>
      <c r="AD65" s="2935"/>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64"/>
      <c r="O66" s="2964"/>
      <c r="P66" s="2988"/>
      <c r="Q66" s="2949"/>
      <c r="R66" s="2935"/>
      <c r="S66" s="2935"/>
      <c r="T66" s="2935"/>
      <c r="U66" s="2935"/>
      <c r="V66" s="2935"/>
      <c r="W66" s="2935"/>
      <c r="X66" s="2935"/>
      <c r="Y66" s="2935"/>
      <c r="Z66" s="2935"/>
      <c r="AA66" s="2935"/>
      <c r="AB66" s="2935"/>
      <c r="AC66" s="2935"/>
      <c r="AD66" s="2935"/>
    </row>
    <row r="67" spans="1:30" ht="15.75" thickTop="1">
      <c r="A67" s="491"/>
      <c r="B67" s="495" t="s">
        <v>2429</v>
      </c>
      <c r="C67" s="535" t="s">
        <v>2417</v>
      </c>
      <c r="D67" s="535" t="s">
        <v>2418</v>
      </c>
      <c r="E67" s="535" t="s">
        <v>2419</v>
      </c>
      <c r="F67" s="535" t="s">
        <v>2420</v>
      </c>
      <c r="G67" s="535" t="s">
        <v>2421</v>
      </c>
      <c r="H67" s="496"/>
      <c r="I67" s="496"/>
      <c r="J67" s="496"/>
      <c r="K67" s="497"/>
      <c r="L67" s="498"/>
      <c r="M67" s="499"/>
      <c r="N67" s="2963"/>
      <c r="O67" s="2963"/>
      <c r="P67" s="2988"/>
      <c r="Q67" s="2949"/>
      <c r="R67" s="2935"/>
      <c r="S67" s="2935"/>
      <c r="T67" s="2935"/>
      <c r="U67" s="2935"/>
      <c r="V67" s="2935"/>
      <c r="W67" s="2935"/>
      <c r="X67" s="2935"/>
      <c r="Y67" s="2935"/>
      <c r="Z67" s="2935"/>
      <c r="AA67" s="2935"/>
      <c r="AB67" s="2935"/>
      <c r="AC67" s="2935"/>
      <c r="AD67" s="293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4"/>
      <c r="O68" s="2964"/>
      <c r="P68" s="2988"/>
      <c r="Q68" s="2949"/>
      <c r="R68" s="2935"/>
      <c r="S68" s="2935"/>
      <c r="T68" s="2935"/>
      <c r="U68" s="2935"/>
      <c r="V68" s="2935"/>
      <c r="W68" s="2935"/>
      <c r="X68" s="2935"/>
      <c r="Y68" s="2935"/>
      <c r="Z68" s="2935"/>
      <c r="AA68" s="2935"/>
      <c r="AB68" s="2935"/>
      <c r="AC68" s="2935"/>
      <c r="AD68" s="2935"/>
    </row>
    <row r="69" spans="1:30" ht="15.75" thickTop="1">
      <c r="A69" s="491"/>
      <c r="B69" s="495" t="s">
        <v>2549</v>
      </c>
      <c r="C69" s="511"/>
      <c r="D69" s="511"/>
      <c r="E69" s="511"/>
      <c r="F69" s="511"/>
      <c r="G69" s="511"/>
      <c r="H69" s="540"/>
      <c r="I69" s="540"/>
      <c r="J69" s="540"/>
      <c r="K69" s="541"/>
      <c r="L69" s="542"/>
      <c r="M69" s="543"/>
      <c r="N69" s="2963"/>
      <c r="O69" s="2963"/>
      <c r="P69" s="2988"/>
      <c r="Q69" s="2949"/>
      <c r="R69" s="2935"/>
      <c r="S69" s="2935"/>
      <c r="T69" s="2935"/>
      <c r="U69" s="2935"/>
      <c r="V69" s="2935"/>
      <c r="W69" s="2935"/>
      <c r="X69" s="2935"/>
      <c r="Y69" s="2935"/>
      <c r="Z69" s="2935"/>
      <c r="AA69" s="2935"/>
      <c r="AB69" s="2935"/>
      <c r="AC69" s="2935"/>
      <c r="AD69" s="2935"/>
    </row>
    <row r="70" spans="1:30" ht="15.75" thickBot="1">
      <c r="A70" s="491"/>
      <c r="B70" s="500"/>
      <c r="C70" s="501">
        <v>100</v>
      </c>
      <c r="D70" s="501">
        <f>C70-$K22</f>
        <v>100</v>
      </c>
      <c r="E70" s="501"/>
      <c r="F70" s="501"/>
      <c r="G70" s="501"/>
      <c r="H70" s="501"/>
      <c r="I70" s="501"/>
      <c r="J70" s="501"/>
      <c r="K70" s="501"/>
      <c r="L70" s="501"/>
      <c r="M70" s="502"/>
      <c r="N70" s="2964"/>
      <c r="O70" s="2964"/>
      <c r="P70" s="2988"/>
      <c r="Q70" s="2949"/>
      <c r="R70" s="2935"/>
      <c r="S70" s="2935"/>
      <c r="T70" s="2935"/>
      <c r="U70" s="2935"/>
      <c r="V70" s="2935"/>
      <c r="W70" s="2935"/>
      <c r="X70" s="2935"/>
      <c r="Y70" s="2935"/>
      <c r="Z70" s="2935"/>
      <c r="AA70" s="2935"/>
      <c r="AB70" s="2935"/>
      <c r="AC70" s="2935"/>
      <c r="AD70" s="2935"/>
    </row>
    <row r="71" spans="1:30" s="113" customFormat="1" ht="15.75" thickTop="1">
      <c r="A71" s="536"/>
      <c r="B71" s="495">
        <f>B23</f>
        <v>111</v>
      </c>
      <c r="C71" s="506"/>
      <c r="D71" s="506"/>
      <c r="E71" s="506"/>
      <c r="F71" s="506"/>
      <c r="G71" s="511"/>
      <c r="H71" s="511"/>
      <c r="I71" s="511"/>
      <c r="J71" s="511"/>
      <c r="K71" s="511"/>
      <c r="L71" s="537"/>
      <c r="M71" s="538"/>
      <c r="N71" s="2962"/>
      <c r="O71" s="2962"/>
      <c r="P71" s="2988"/>
      <c r="Q71" s="2949"/>
      <c r="R71" s="2870"/>
      <c r="S71" s="2870"/>
      <c r="T71" s="2870"/>
      <c r="U71" s="2870"/>
      <c r="V71" s="2870"/>
      <c r="W71" s="2870"/>
      <c r="X71" s="2870"/>
      <c r="Y71" s="2870"/>
      <c r="Z71" s="2870"/>
      <c r="AA71" s="2870"/>
      <c r="AB71" s="2870"/>
      <c r="AC71" s="2870"/>
      <c r="AD71" s="2870"/>
    </row>
    <row r="72" spans="1:30" s="113" customFormat="1" ht="15.75" thickBot="1">
      <c r="A72" s="536"/>
      <c r="B72" s="500"/>
      <c r="C72" s="517"/>
      <c r="D72" s="493"/>
      <c r="E72" s="493"/>
      <c r="F72" s="493"/>
      <c r="G72" s="493"/>
      <c r="H72" s="493"/>
      <c r="I72" s="493"/>
      <c r="J72" s="493"/>
      <c r="K72" s="493"/>
      <c r="L72" s="493"/>
      <c r="M72" s="494"/>
      <c r="N72" s="2964"/>
      <c r="O72" s="2964"/>
      <c r="P72" s="2988"/>
      <c r="Q72" s="2949"/>
      <c r="R72" s="2870"/>
      <c r="S72" s="2870"/>
      <c r="T72" s="2870"/>
      <c r="U72" s="2870"/>
      <c r="V72" s="2870"/>
      <c r="W72" s="2870"/>
      <c r="X72" s="2870"/>
      <c r="Y72" s="2870"/>
      <c r="Z72" s="2870"/>
      <c r="AA72" s="2870"/>
      <c r="AB72" s="2870"/>
      <c r="AC72" s="2870"/>
      <c r="AD72" s="2870"/>
    </row>
    <row r="73" spans="1:30" s="113" customFormat="1" ht="15.75" thickTop="1">
      <c r="A73" s="536"/>
      <c r="B73" s="495">
        <f>B24</f>
        <v>111</v>
      </c>
      <c r="C73" s="506"/>
      <c r="D73" s="506"/>
      <c r="E73" s="506"/>
      <c r="F73" s="506"/>
      <c r="G73" s="511"/>
      <c r="H73" s="511"/>
      <c r="I73" s="511"/>
      <c r="J73" s="511"/>
      <c r="K73" s="511"/>
      <c r="L73" s="511"/>
      <c r="M73" s="538"/>
      <c r="N73" s="2962"/>
      <c r="O73" s="2962"/>
      <c r="P73" s="2988"/>
      <c r="Q73" s="2949"/>
      <c r="R73" s="2870"/>
      <c r="S73" s="2870"/>
      <c r="T73" s="2870"/>
      <c r="U73" s="2870"/>
      <c r="V73" s="2870"/>
      <c r="W73" s="2870"/>
      <c r="X73" s="2870"/>
      <c r="Y73" s="2870"/>
      <c r="Z73" s="2870"/>
      <c r="AA73" s="2870"/>
      <c r="AB73" s="2870"/>
      <c r="AC73" s="2870"/>
      <c r="AD73" s="2870"/>
    </row>
    <row r="74" spans="1:30" s="113" customFormat="1" ht="15.75" thickBot="1">
      <c r="A74" s="536"/>
      <c r="B74" s="500"/>
      <c r="C74" s="517"/>
      <c r="D74" s="493"/>
      <c r="E74" s="493"/>
      <c r="F74" s="493"/>
      <c r="G74" s="493"/>
      <c r="H74" s="493"/>
      <c r="I74" s="493"/>
      <c r="J74" s="493"/>
      <c r="K74" s="493"/>
      <c r="L74" s="493"/>
      <c r="M74" s="494"/>
      <c r="N74" s="2964"/>
      <c r="O74" s="2964"/>
      <c r="P74" s="2988"/>
      <c r="Q74" s="2949"/>
      <c r="R74" s="2870"/>
      <c r="S74" s="2870"/>
      <c r="T74" s="2870"/>
      <c r="U74" s="2870"/>
      <c r="V74" s="2870"/>
      <c r="W74" s="2870"/>
      <c r="X74" s="2870"/>
      <c r="Y74" s="2870"/>
      <c r="Z74" s="2870"/>
      <c r="AA74" s="2870"/>
      <c r="AB74" s="2870"/>
      <c r="AC74" s="2870"/>
      <c r="AD74" s="2870"/>
    </row>
    <row r="75" spans="1:30" s="430" customFormat="1" ht="15.75" thickTop="1">
      <c r="A75" s="510"/>
      <c r="B75" s="495">
        <f>B25</f>
        <v>111</v>
      </c>
      <c r="C75" s="506"/>
      <c r="D75" s="506"/>
      <c r="E75" s="506"/>
      <c r="F75" s="506"/>
      <c r="G75" s="511"/>
      <c r="H75" s="512"/>
      <c r="I75" s="512"/>
      <c r="J75" s="512"/>
      <c r="K75" s="512"/>
      <c r="L75" s="513"/>
      <c r="M75" s="514"/>
      <c r="N75" s="2965"/>
      <c r="O75" s="2965"/>
      <c r="P75" s="2989"/>
      <c r="Q75" s="2956"/>
      <c r="R75" s="2957"/>
      <c r="S75" s="2957"/>
      <c r="T75" s="2957"/>
      <c r="U75" s="2957"/>
      <c r="V75" s="2957"/>
      <c r="W75" s="2957"/>
      <c r="X75" s="2957"/>
      <c r="Y75" s="2957"/>
      <c r="Z75" s="2957"/>
      <c r="AA75" s="2957"/>
      <c r="AB75" s="2957"/>
      <c r="AC75" s="2957"/>
      <c r="AD75" s="2957"/>
    </row>
    <row r="76" spans="1:30" s="430" customFormat="1" ht="15.75" thickBot="1">
      <c r="A76" s="510"/>
      <c r="B76" s="500"/>
      <c r="C76" s="517"/>
      <c r="D76" s="517"/>
      <c r="E76" s="517"/>
      <c r="F76" s="517"/>
      <c r="G76" s="493"/>
      <c r="H76" s="493"/>
      <c r="I76" s="493"/>
      <c r="J76" s="493"/>
      <c r="K76" s="493"/>
      <c r="L76" s="493"/>
      <c r="M76" s="494"/>
      <c r="N76" s="2965"/>
      <c r="O76" s="2965"/>
      <c r="P76" s="2989"/>
      <c r="Q76" s="2956"/>
      <c r="R76" s="2957"/>
      <c r="S76" s="2957"/>
      <c r="T76" s="2957"/>
      <c r="U76" s="2957"/>
      <c r="V76" s="2957"/>
      <c r="W76" s="2957"/>
      <c r="X76" s="2957"/>
      <c r="Y76" s="2957"/>
      <c r="Z76" s="2957"/>
      <c r="AA76" s="2957"/>
      <c r="AB76" s="2957"/>
      <c r="AC76" s="2957"/>
      <c r="AD76" s="2957"/>
    </row>
    <row r="77" spans="1:30" ht="15" thickTop="1">
      <c r="A77" s="484" t="s">
        <v>2383</v>
      </c>
      <c r="B77" s="485" t="s">
        <v>2436</v>
      </c>
      <c r="C77" s="511"/>
      <c r="D77" s="511"/>
      <c r="E77" s="487"/>
      <c r="F77" s="487"/>
      <c r="G77" s="487"/>
      <c r="H77" s="487"/>
      <c r="I77" s="487"/>
      <c r="J77" s="487"/>
      <c r="K77" s="488"/>
      <c r="L77" s="489"/>
      <c r="M77" s="490"/>
      <c r="N77" s="2963"/>
      <c r="O77" s="2963"/>
      <c r="P77" s="2988"/>
      <c r="Q77" s="2949"/>
      <c r="R77" s="2935"/>
      <c r="S77" s="2935"/>
      <c r="T77" s="2935"/>
      <c r="U77" s="2935"/>
      <c r="V77" s="2935"/>
      <c r="W77" s="2935"/>
      <c r="X77" s="2935"/>
      <c r="Y77" s="2935"/>
      <c r="Z77" s="2935"/>
      <c r="AA77" s="2935"/>
      <c r="AB77" s="2935"/>
      <c r="AC77" s="2935"/>
      <c r="AD77" s="293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4"/>
      <c r="O78" s="2964"/>
      <c r="P78" s="2988"/>
      <c r="Q78" s="2949"/>
      <c r="R78" s="2935"/>
      <c r="S78" s="2935"/>
      <c r="T78" s="2935"/>
      <c r="U78" s="2935"/>
      <c r="V78" s="2935"/>
      <c r="W78" s="2935"/>
      <c r="X78" s="2935"/>
      <c r="Y78" s="2935"/>
      <c r="Z78" s="2935"/>
      <c r="AA78" s="2935"/>
      <c r="AB78" s="2935"/>
      <c r="AC78" s="2935"/>
      <c r="AD78" s="293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2"/>
      <c r="O79" s="2962"/>
      <c r="P79" s="2988"/>
      <c r="Q79" s="2949"/>
      <c r="R79" s="2935"/>
      <c r="S79" s="2935"/>
      <c r="T79" s="2935"/>
      <c r="U79" s="2935"/>
      <c r="V79" s="2935"/>
      <c r="W79" s="2935"/>
      <c r="X79" s="2935"/>
      <c r="Y79" s="2935"/>
      <c r="Z79" s="2935"/>
      <c r="AA79" s="2935"/>
      <c r="AB79" s="2935"/>
      <c r="AC79" s="2935"/>
      <c r="AD79" s="2935"/>
    </row>
    <row r="80" spans="1:30" ht="15">
      <c r="A80" s="491"/>
      <c r="B80" s="503"/>
      <c r="C80" s="560">
        <v>0.5</v>
      </c>
      <c r="D80" s="560">
        <v>0.6</v>
      </c>
      <c r="E80" s="560">
        <v>0.7</v>
      </c>
      <c r="F80" s="560">
        <v>0.8</v>
      </c>
      <c r="G80" s="560">
        <v>0.9</v>
      </c>
      <c r="H80" s="560">
        <v>1.0001</v>
      </c>
      <c r="I80" s="615"/>
      <c r="J80" s="615"/>
      <c r="K80" s="623"/>
      <c r="L80" s="624"/>
      <c r="M80" s="625"/>
      <c r="N80" s="2962"/>
      <c r="O80" s="2962"/>
      <c r="P80" s="2988"/>
      <c r="Q80" s="2949"/>
      <c r="R80" s="2935"/>
      <c r="S80" s="2935"/>
      <c r="T80" s="2935"/>
      <c r="U80" s="2935"/>
      <c r="V80" s="2935"/>
      <c r="W80" s="2935"/>
      <c r="X80" s="2935"/>
      <c r="Y80" s="2935"/>
      <c r="Z80" s="2935"/>
      <c r="AA80" s="2935"/>
      <c r="AB80" s="2935"/>
      <c r="AC80" s="2935"/>
      <c r="AD80" s="293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4"/>
      <c r="O81" s="2964"/>
      <c r="P81" s="2989"/>
      <c r="Q81" s="2956"/>
      <c r="R81" s="2957"/>
      <c r="S81" s="2957"/>
      <c r="T81" s="2957"/>
      <c r="U81" s="2957"/>
      <c r="V81" s="2957"/>
      <c r="W81" s="2957"/>
      <c r="X81" s="2957"/>
      <c r="Y81" s="2957"/>
      <c r="Z81" s="2957"/>
      <c r="AA81" s="2957"/>
      <c r="AB81" s="2957"/>
      <c r="AC81" s="2957"/>
      <c r="AD81" s="2957"/>
    </row>
    <row r="82" spans="1:30" ht="15" thickTop="1">
      <c r="A82" s="556"/>
      <c r="B82" s="503" t="s">
        <v>2553</v>
      </c>
      <c r="C82" s="511"/>
      <c r="D82" s="511"/>
      <c r="E82" s="540"/>
      <c r="F82" s="540"/>
      <c r="G82" s="540"/>
      <c r="H82" s="540"/>
      <c r="I82" s="540"/>
      <c r="J82" s="540"/>
      <c r="K82" s="541"/>
      <c r="L82" s="542"/>
      <c r="M82" s="543"/>
      <c r="N82" s="2963"/>
      <c r="O82" s="2963"/>
      <c r="P82" s="2988"/>
      <c r="Q82" s="2949"/>
      <c r="R82" s="2935"/>
      <c r="S82" s="2935"/>
      <c r="T82" s="2935"/>
      <c r="U82" s="2935"/>
      <c r="V82" s="2935"/>
      <c r="W82" s="2935"/>
      <c r="X82" s="2935"/>
      <c r="Y82" s="2935"/>
      <c r="Z82" s="2935"/>
      <c r="AA82" s="2935"/>
      <c r="AB82" s="2935"/>
      <c r="AC82" s="2935"/>
      <c r="AD82" s="293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4"/>
      <c r="O83" s="2964"/>
      <c r="P83" s="2988"/>
      <c r="Q83" s="2949"/>
      <c r="R83" s="2935"/>
      <c r="S83" s="2935"/>
      <c r="T83" s="2935"/>
      <c r="U83" s="2935"/>
      <c r="V83" s="2935"/>
      <c r="W83" s="2935"/>
      <c r="X83" s="2935"/>
      <c r="Y83" s="2935"/>
      <c r="Z83" s="2935"/>
      <c r="AA83" s="2935"/>
      <c r="AB83" s="2935"/>
      <c r="AC83" s="2935"/>
      <c r="AD83" s="2935"/>
    </row>
    <row r="84" spans="1:30" ht="15" thickTop="1">
      <c r="A84" s="556"/>
      <c r="B84" s="495" t="s">
        <v>2561</v>
      </c>
      <c r="C84" s="511"/>
      <c r="D84" s="511"/>
      <c r="E84" s="511"/>
      <c r="F84" s="511"/>
      <c r="G84" s="511"/>
      <c r="H84" s="511"/>
      <c r="I84" s="540"/>
      <c r="J84" s="540"/>
      <c r="K84" s="541"/>
      <c r="L84" s="542"/>
      <c r="M84" s="543"/>
      <c r="N84" s="2963"/>
      <c r="O84" s="2963"/>
      <c r="P84" s="2988"/>
      <c r="Q84" s="2949"/>
      <c r="R84" s="2935"/>
      <c r="S84" s="2935"/>
      <c r="T84" s="2935"/>
      <c r="U84" s="2935"/>
      <c r="V84" s="2935"/>
      <c r="W84" s="2935"/>
      <c r="X84" s="2935"/>
      <c r="Y84" s="2935"/>
      <c r="Z84" s="2935"/>
      <c r="AA84" s="2935"/>
      <c r="AB84" s="2935"/>
      <c r="AC84" s="2935"/>
      <c r="AD84" s="293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4"/>
      <c r="O85" s="2964"/>
      <c r="P85" s="2988"/>
      <c r="Q85" s="2949"/>
      <c r="R85" s="2935"/>
      <c r="S85" s="2935"/>
      <c r="T85" s="2935"/>
      <c r="U85" s="2935"/>
      <c r="V85" s="2935"/>
      <c r="W85" s="2935"/>
      <c r="X85" s="2935"/>
      <c r="Y85" s="2935"/>
      <c r="Z85" s="2935"/>
      <c r="AA85" s="2935"/>
      <c r="AB85" s="2935"/>
      <c r="AC85" s="2935"/>
      <c r="AD85" s="293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63"/>
      <c r="O86" s="2963"/>
      <c r="P86" s="2988"/>
      <c r="Q86" s="2949"/>
      <c r="R86" s="2935"/>
      <c r="S86" s="2935"/>
      <c r="T86" s="2935"/>
      <c r="U86" s="2935"/>
      <c r="V86" s="2935"/>
      <c r="W86" s="2935"/>
      <c r="X86" s="2935"/>
      <c r="Y86" s="2935"/>
      <c r="Z86" s="2935"/>
      <c r="AA86" s="2935"/>
      <c r="AB86" s="2935"/>
      <c r="AC86" s="2935"/>
      <c r="AD86" s="2935"/>
    </row>
    <row r="87" spans="1:30">
      <c r="A87" s="556"/>
      <c r="B87" s="503"/>
      <c r="C87" s="552"/>
      <c r="D87" s="552"/>
      <c r="E87" s="552"/>
      <c r="F87" s="552"/>
      <c r="G87" s="552"/>
      <c r="H87" s="552"/>
      <c r="I87" s="552"/>
      <c r="J87" s="553"/>
      <c r="K87" s="553"/>
      <c r="L87" s="554"/>
      <c r="M87" s="555"/>
      <c r="N87" s="2963"/>
      <c r="O87" s="2963"/>
      <c r="P87" s="2988"/>
      <c r="Q87" s="2949"/>
      <c r="R87" s="2935"/>
      <c r="S87" s="2935"/>
      <c r="T87" s="2935"/>
      <c r="U87" s="2935"/>
      <c r="V87" s="2935"/>
      <c r="W87" s="2935"/>
      <c r="X87" s="2935"/>
      <c r="Y87" s="2935"/>
      <c r="Z87" s="2935"/>
      <c r="AA87" s="2935"/>
      <c r="AB87" s="2935"/>
      <c r="AC87" s="2935"/>
      <c r="AD87" s="2935"/>
    </row>
    <row r="88" spans="1:30" ht="15.75" thickBot="1">
      <c r="A88" s="491"/>
      <c r="B88" s="500"/>
      <c r="C88" s="517"/>
      <c r="D88" s="493"/>
      <c r="E88" s="493"/>
      <c r="F88" s="493"/>
      <c r="G88" s="493"/>
      <c r="H88" s="493"/>
      <c r="I88" s="493"/>
      <c r="J88" s="493"/>
      <c r="K88" s="493"/>
      <c r="L88" s="493"/>
      <c r="M88" s="493"/>
      <c r="N88" s="2964"/>
      <c r="O88" s="2964"/>
      <c r="P88" s="2988"/>
      <c r="Q88" s="2949"/>
      <c r="R88" s="2935"/>
      <c r="S88" s="2935"/>
      <c r="T88" s="2935"/>
      <c r="U88" s="2935"/>
      <c r="V88" s="2935"/>
      <c r="W88" s="2935"/>
      <c r="X88" s="2935"/>
      <c r="Y88" s="2935"/>
      <c r="Z88" s="2935"/>
      <c r="AA88" s="2935"/>
      <c r="AB88" s="2935"/>
      <c r="AC88" s="2935"/>
      <c r="AD88" s="2935"/>
    </row>
    <row r="89" spans="1:30" s="430" customFormat="1" ht="15" thickTop="1">
      <c r="A89" s="550"/>
      <c r="B89" s="495" t="s">
        <v>2563</v>
      </c>
      <c r="C89" s="511"/>
      <c r="D89" s="511"/>
      <c r="E89" s="511"/>
      <c r="F89" s="511"/>
      <c r="G89" s="511"/>
      <c r="H89" s="511"/>
      <c r="I89" s="511"/>
      <c r="J89" s="511"/>
      <c r="K89" s="511"/>
      <c r="L89" s="511"/>
      <c r="M89" s="538"/>
      <c r="N89" s="2965"/>
      <c r="O89" s="2965"/>
      <c r="P89" s="2989"/>
      <c r="Q89" s="2956"/>
      <c r="R89" s="2957"/>
      <c r="S89" s="2957"/>
      <c r="T89" s="2957"/>
      <c r="U89" s="2957"/>
      <c r="V89" s="2957"/>
      <c r="W89" s="2957"/>
      <c r="X89" s="2957"/>
      <c r="Y89" s="2957"/>
      <c r="Z89" s="2957"/>
      <c r="AA89" s="2957"/>
      <c r="AB89" s="2957"/>
      <c r="AC89" s="2957"/>
      <c r="AD89" s="2957"/>
    </row>
    <row r="90" spans="1:30" s="430" customFormat="1" ht="15.75" thickBot="1">
      <c r="A90" s="510"/>
      <c r="B90" s="500"/>
      <c r="C90" s="517"/>
      <c r="D90" s="493"/>
      <c r="E90" s="493"/>
      <c r="F90" s="493"/>
      <c r="G90" s="493"/>
      <c r="H90" s="493"/>
      <c r="I90" s="493"/>
      <c r="J90" s="493"/>
      <c r="K90" s="493"/>
      <c r="L90" s="493"/>
      <c r="M90" s="494"/>
      <c r="N90" s="2965"/>
      <c r="O90" s="2965"/>
      <c r="P90" s="2989"/>
      <c r="Q90" s="2956"/>
      <c r="R90" s="2957"/>
      <c r="S90" s="2957"/>
      <c r="T90" s="2957"/>
      <c r="U90" s="2957"/>
      <c r="V90" s="2957"/>
      <c r="W90" s="2957"/>
      <c r="X90" s="2957"/>
      <c r="Y90" s="2957"/>
      <c r="Z90" s="2957"/>
      <c r="AA90" s="2957"/>
      <c r="AB90" s="2957"/>
      <c r="AC90" s="2957"/>
      <c r="AD90" s="2957"/>
    </row>
    <row r="91" spans="1:30" ht="15" thickTop="1">
      <c r="A91" s="556"/>
      <c r="B91" s="495">
        <f>B32</f>
        <v>111</v>
      </c>
      <c r="C91" s="506"/>
      <c r="D91" s="506"/>
      <c r="E91" s="506"/>
      <c r="F91" s="506"/>
      <c r="G91" s="511"/>
      <c r="H91" s="512"/>
      <c r="I91" s="512"/>
      <c r="J91" s="512"/>
      <c r="K91" s="512"/>
      <c r="L91" s="513"/>
      <c r="M91" s="514"/>
      <c r="N91" s="2963"/>
      <c r="O91" s="2963"/>
      <c r="P91" s="2988"/>
      <c r="Q91" s="2949"/>
      <c r="R91" s="2935"/>
      <c r="S91" s="2935"/>
      <c r="T91" s="2935"/>
      <c r="U91" s="2935"/>
      <c r="V91" s="2935"/>
      <c r="W91" s="2935"/>
      <c r="X91" s="2935"/>
      <c r="Y91" s="2935"/>
      <c r="Z91" s="2935"/>
      <c r="AA91" s="2935"/>
      <c r="AB91" s="2935"/>
      <c r="AC91" s="2935"/>
      <c r="AD91" s="2935"/>
    </row>
    <row r="92" spans="1:30" ht="15.75" thickBot="1">
      <c r="A92" s="491"/>
      <c r="B92" s="500"/>
      <c r="C92" s="517"/>
      <c r="D92" s="493"/>
      <c r="E92" s="493"/>
      <c r="F92" s="493"/>
      <c r="G92" s="517"/>
      <c r="H92" s="519"/>
      <c r="I92" s="519"/>
      <c r="J92" s="519"/>
      <c r="K92" s="519"/>
      <c r="L92" s="519"/>
      <c r="M92" s="520"/>
      <c r="N92" s="2964"/>
      <c r="O92" s="2964"/>
      <c r="P92" s="2988"/>
      <c r="Q92" s="2949"/>
      <c r="R92" s="2935"/>
      <c r="S92" s="2935"/>
      <c r="T92" s="2935"/>
      <c r="U92" s="2935"/>
      <c r="V92" s="2935"/>
      <c r="W92" s="2935"/>
      <c r="X92" s="2935"/>
      <c r="Y92" s="2935"/>
      <c r="Z92" s="2935"/>
      <c r="AA92" s="2935"/>
      <c r="AB92" s="2935"/>
      <c r="AC92" s="2935"/>
      <c r="AD92" s="2935"/>
    </row>
    <row r="93" spans="1:30" ht="15" thickTop="1">
      <c r="A93" s="556"/>
      <c r="B93" s="495">
        <f>B33</f>
        <v>111</v>
      </c>
      <c r="C93" s="506"/>
      <c r="D93" s="506"/>
      <c r="E93" s="506"/>
      <c r="F93" s="506"/>
      <c r="G93" s="511"/>
      <c r="H93" s="512"/>
      <c r="I93" s="512"/>
      <c r="J93" s="512"/>
      <c r="K93" s="512"/>
      <c r="L93" s="513"/>
      <c r="M93" s="514"/>
      <c r="N93" s="2963"/>
      <c r="O93" s="2963"/>
      <c r="P93" s="2988"/>
      <c r="Q93" s="2949"/>
      <c r="R93" s="2935"/>
      <c r="S93" s="2935"/>
      <c r="T93" s="2935"/>
      <c r="U93" s="2935"/>
      <c r="V93" s="2935"/>
      <c r="W93" s="2935"/>
      <c r="X93" s="2935"/>
      <c r="Y93" s="2935"/>
      <c r="Z93" s="2935"/>
      <c r="AA93" s="2935"/>
      <c r="AB93" s="2935"/>
      <c r="AC93" s="2935"/>
      <c r="AD93" s="2935"/>
    </row>
    <row r="94" spans="1:30" ht="15.75" thickBot="1">
      <c r="A94" s="491"/>
      <c r="B94" s="500"/>
      <c r="C94" s="517"/>
      <c r="D94" s="493"/>
      <c r="E94" s="493"/>
      <c r="F94" s="493"/>
      <c r="G94" s="517"/>
      <c r="H94" s="519"/>
      <c r="I94" s="519"/>
      <c r="J94" s="519"/>
      <c r="K94" s="519"/>
      <c r="L94" s="519"/>
      <c r="M94" s="520"/>
      <c r="N94" s="2964"/>
      <c r="O94" s="2964"/>
      <c r="P94" s="2988"/>
      <c r="Q94" s="2949"/>
      <c r="R94" s="2935"/>
      <c r="S94" s="2935"/>
      <c r="T94" s="2935"/>
      <c r="U94" s="2935"/>
      <c r="V94" s="2935"/>
      <c r="W94" s="2935"/>
      <c r="X94" s="2935"/>
      <c r="Y94" s="2935"/>
      <c r="Z94" s="2935"/>
      <c r="AA94" s="2935"/>
      <c r="AB94" s="2935"/>
      <c r="AC94" s="2935"/>
      <c r="AD94" s="2935"/>
    </row>
    <row r="95" spans="1:30" ht="15" thickTop="1">
      <c r="A95" s="556"/>
      <c r="B95" s="591">
        <f>B34</f>
        <v>111</v>
      </c>
      <c r="C95" s="506"/>
      <c r="D95" s="506"/>
      <c r="E95" s="506"/>
      <c r="F95" s="506"/>
      <c r="G95" s="511"/>
      <c r="H95" s="512"/>
      <c r="I95" s="512"/>
      <c r="J95" s="512"/>
      <c r="K95" s="512"/>
      <c r="L95" s="513"/>
      <c r="M95" s="514"/>
      <c r="N95" s="2964"/>
      <c r="O95" s="2964"/>
      <c r="P95" s="2991"/>
      <c r="Q95" s="2978"/>
      <c r="R95" s="2935"/>
      <c r="S95" s="2935"/>
      <c r="T95" s="2935"/>
      <c r="U95" s="2935"/>
      <c r="V95" s="2935"/>
      <c r="W95" s="2935"/>
      <c r="X95" s="2935"/>
      <c r="Y95" s="2935"/>
      <c r="Z95" s="2935"/>
      <c r="AA95" s="2935"/>
      <c r="AB95" s="2935"/>
      <c r="AC95" s="2935"/>
      <c r="AD95" s="2935"/>
    </row>
    <row r="96" spans="1:30" ht="15.75" thickBot="1">
      <c r="A96" s="491"/>
      <c r="B96" s="500"/>
      <c r="C96" s="517"/>
      <c r="D96" s="517"/>
      <c r="E96" s="517"/>
      <c r="F96" s="517"/>
      <c r="G96" s="517"/>
      <c r="H96" s="519"/>
      <c r="I96" s="519"/>
      <c r="J96" s="519"/>
      <c r="K96" s="519"/>
      <c r="L96" s="519"/>
      <c r="M96" s="520"/>
      <c r="N96" s="2964"/>
      <c r="O96" s="2964"/>
      <c r="P96" s="2988"/>
      <c r="Q96" s="2949"/>
      <c r="R96" s="2935"/>
      <c r="S96" s="2935"/>
      <c r="T96" s="2935"/>
      <c r="U96" s="2935"/>
      <c r="V96" s="2935"/>
      <c r="W96" s="2935"/>
      <c r="X96" s="2935"/>
      <c r="Y96" s="2935"/>
      <c r="Z96" s="2935"/>
      <c r="AA96" s="2935"/>
      <c r="AB96" s="2935"/>
      <c r="AC96" s="2935"/>
      <c r="AD96" s="2935"/>
    </row>
    <row r="97" spans="1:30" ht="15" thickTop="1">
      <c r="N97" s="2935"/>
      <c r="O97" s="2935"/>
      <c r="P97" s="2935"/>
      <c r="Q97" s="2935"/>
      <c r="R97" s="2935"/>
      <c r="S97" s="2935"/>
      <c r="T97" s="2935"/>
      <c r="U97" s="2935"/>
      <c r="V97" s="2935"/>
      <c r="W97" s="2935"/>
      <c r="X97" s="2935"/>
      <c r="Y97" s="2935"/>
      <c r="Z97" s="2935"/>
      <c r="AA97" s="2935"/>
      <c r="AB97" s="2935"/>
      <c r="AC97" s="2935"/>
      <c r="AD97" s="2935"/>
    </row>
    <row r="98" spans="1:30">
      <c r="A98" s="1064"/>
      <c r="B98" s="1064"/>
      <c r="C98" s="1064"/>
      <c r="D98" s="1064"/>
      <c r="E98" s="1064"/>
      <c r="F98" s="1064"/>
      <c r="G98" s="1064"/>
      <c r="H98" s="1064"/>
      <c r="I98" s="1064"/>
      <c r="J98" s="1064"/>
      <c r="K98" s="1065"/>
      <c r="L98" s="1066"/>
      <c r="M98" s="1064"/>
      <c r="N98" s="2935"/>
      <c r="O98" s="2935"/>
      <c r="P98" s="2935"/>
      <c r="Q98" s="2935"/>
      <c r="R98" s="2935"/>
      <c r="S98" s="2935"/>
      <c r="T98" s="2935"/>
      <c r="U98" s="2935"/>
      <c r="V98" s="2935"/>
      <c r="W98" s="2935"/>
      <c r="X98" s="2935"/>
      <c r="Y98" s="2935"/>
      <c r="Z98" s="2935"/>
      <c r="AA98" s="2935"/>
      <c r="AB98" s="2935"/>
      <c r="AC98" s="2935"/>
      <c r="AD98" s="2935"/>
    </row>
    <row r="99" spans="1:30">
      <c r="A99" s="1064"/>
      <c r="B99" s="1064"/>
      <c r="C99" s="1064"/>
      <c r="D99" s="1064"/>
      <c r="E99" s="1064"/>
      <c r="F99" s="1064"/>
      <c r="G99" s="1064"/>
      <c r="H99" s="1064"/>
      <c r="I99" s="1064"/>
      <c r="J99" s="1064"/>
      <c r="K99" s="1065"/>
      <c r="L99" s="1066"/>
      <c r="M99" s="1064"/>
      <c r="N99" s="2935"/>
      <c r="O99" s="2935"/>
      <c r="P99" s="2935"/>
      <c r="Q99" s="2935"/>
      <c r="R99" s="2935"/>
      <c r="S99" s="2935"/>
      <c r="T99" s="2935"/>
      <c r="U99" s="2935"/>
      <c r="V99" s="2935"/>
      <c r="W99" s="2935"/>
      <c r="X99" s="2935"/>
      <c r="Y99" s="2935"/>
      <c r="Z99" s="2935"/>
      <c r="AA99" s="2935"/>
      <c r="AB99" s="2935"/>
      <c r="AC99" s="2935"/>
      <c r="AD99" s="2935"/>
    </row>
    <row r="100" spans="1:30">
      <c r="A100" s="1064"/>
      <c r="B100" s="1064"/>
      <c r="C100" s="1064"/>
      <c r="D100" s="1064"/>
      <c r="E100" s="1064"/>
      <c r="F100" s="1064"/>
      <c r="G100" s="1064"/>
      <c r="H100" s="1064"/>
      <c r="I100" s="1064"/>
      <c r="J100" s="1064"/>
      <c r="K100" s="1065"/>
      <c r="L100" s="1066"/>
      <c r="M100" s="1064"/>
      <c r="N100" s="2935"/>
      <c r="O100" s="2935"/>
      <c r="P100" s="2935"/>
      <c r="Q100" s="2935"/>
      <c r="R100" s="2935"/>
      <c r="S100" s="2935"/>
      <c r="T100" s="2935"/>
      <c r="U100" s="2935"/>
      <c r="V100" s="2935"/>
      <c r="W100" s="2935"/>
      <c r="X100" s="2935"/>
      <c r="Y100" s="2935"/>
      <c r="Z100" s="2935"/>
      <c r="AA100" s="2935"/>
      <c r="AB100" s="2935"/>
      <c r="AC100" s="2935"/>
      <c r="AD100" s="2935"/>
    </row>
    <row r="101" spans="1:30">
      <c r="A101" s="1064"/>
      <c r="B101" s="1064"/>
      <c r="C101" s="1064"/>
      <c r="D101" s="1064"/>
      <c r="E101" s="1064"/>
      <c r="F101" s="1064"/>
      <c r="G101" s="1064"/>
      <c r="H101" s="1064"/>
      <c r="I101" s="1064"/>
      <c r="J101" s="1064"/>
      <c r="K101" s="1065"/>
      <c r="L101" s="1066"/>
      <c r="M101" s="1064"/>
      <c r="N101" s="2935"/>
      <c r="O101" s="2935"/>
      <c r="P101" s="2935"/>
      <c r="Q101" s="2935"/>
      <c r="R101" s="2935"/>
      <c r="S101" s="2935"/>
      <c r="T101" s="2935"/>
      <c r="U101" s="2935"/>
      <c r="V101" s="2935"/>
      <c r="W101" s="2935"/>
      <c r="X101" s="2935"/>
      <c r="Y101" s="2935"/>
      <c r="Z101" s="2935"/>
      <c r="AA101" s="2935"/>
      <c r="AB101" s="2935"/>
      <c r="AC101" s="2935"/>
      <c r="AD101" s="2935"/>
    </row>
    <row r="102" spans="1:30">
      <c r="A102" s="1064"/>
      <c r="B102" s="1064"/>
      <c r="C102" s="1064"/>
      <c r="D102" s="1064"/>
      <c r="E102" s="1064"/>
      <c r="F102" s="1064"/>
      <c r="G102" s="1064"/>
      <c r="H102" s="1064"/>
      <c r="I102" s="1064"/>
      <c r="J102" s="1064"/>
      <c r="K102" s="1065"/>
      <c r="L102" s="1066"/>
      <c r="M102" s="1064"/>
      <c r="N102" s="2935"/>
      <c r="O102" s="2935"/>
      <c r="P102" s="2935"/>
      <c r="Q102" s="2935"/>
      <c r="R102" s="2935"/>
      <c r="S102" s="2935"/>
      <c r="T102" s="2935"/>
      <c r="U102" s="2935"/>
      <c r="V102" s="2935"/>
      <c r="W102" s="2935"/>
      <c r="X102" s="2935"/>
      <c r="Y102" s="2935"/>
      <c r="Z102" s="2935"/>
      <c r="AA102" s="2935"/>
      <c r="AB102" s="2935"/>
      <c r="AC102" s="2935"/>
      <c r="AD102" s="2935"/>
    </row>
    <row r="103" spans="1:30">
      <c r="A103" s="1064"/>
      <c r="B103" s="1064"/>
      <c r="C103" s="1064"/>
      <c r="D103" s="1064"/>
      <c r="E103" s="1064"/>
      <c r="F103" s="1064"/>
      <c r="G103" s="1064"/>
      <c r="H103" s="1064"/>
      <c r="I103" s="1064"/>
      <c r="J103" s="1064"/>
      <c r="K103" s="1065"/>
      <c r="L103" s="1066"/>
      <c r="M103" s="1064"/>
      <c r="N103" s="1064"/>
      <c r="O103" s="1064"/>
      <c r="P103" s="2935"/>
      <c r="Q103" s="2935"/>
      <c r="R103" s="2935"/>
      <c r="S103" s="2935"/>
      <c r="T103" s="2935"/>
      <c r="U103" s="2935"/>
      <c r="V103" s="2935"/>
      <c r="W103" s="2935"/>
      <c r="X103" s="2935"/>
      <c r="Y103" s="2935"/>
      <c r="Z103" s="2935"/>
      <c r="AA103" s="2935"/>
      <c r="AB103" s="2935"/>
      <c r="AC103" s="2935"/>
      <c r="AD103" s="2935"/>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2147</v>
      </c>
      <c r="B2" s="626" t="e">
        <f>F66</f>
        <v>#DIV/0!</v>
      </c>
      <c r="C2" s="1035"/>
      <c r="D2" s="1035"/>
      <c r="E2" s="1036"/>
      <c r="F2" s="1037"/>
      <c r="G2" s="1036"/>
      <c r="H2" s="1036"/>
      <c r="I2" s="1036"/>
      <c r="J2" s="1036"/>
      <c r="K2" s="1038"/>
      <c r="L2" s="2944"/>
      <c r="M2" s="2945"/>
      <c r="N2" s="2945"/>
      <c r="O2" s="2945"/>
      <c r="P2" s="706"/>
      <c r="Q2" s="706"/>
      <c r="R2" s="706"/>
      <c r="S2" s="706"/>
      <c r="T2" s="706"/>
      <c r="U2" s="706"/>
      <c r="V2" s="706"/>
      <c r="W2" s="706"/>
      <c r="X2" s="706"/>
      <c r="Y2" s="706"/>
      <c r="Z2" s="706"/>
      <c r="AA2" s="706"/>
      <c r="AB2" s="706"/>
      <c r="AC2" s="707"/>
      <c r="AD2" s="357"/>
    </row>
    <row r="3" spans="1:30" s="358" customFormat="1" ht="28.5" customHeight="1" thickBot="1">
      <c r="A3" s="209" t="s">
        <v>2149</v>
      </c>
      <c r="B3" s="566" t="e">
        <f>ROUND(IF(D3="",B2*10000/'数据-汇总表'!E3,B2*10000/D3),0)</f>
        <v>#DIV/0!</v>
      </c>
      <c r="C3" s="209" t="s">
        <v>2566</v>
      </c>
      <c r="D3" s="1350"/>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30" ht="15">
      <c r="A4" s="361" t="s">
        <v>2465</v>
      </c>
      <c r="B4" s="362"/>
      <c r="C4" s="3310" t="s">
        <v>2466</v>
      </c>
      <c r="D4" s="3311"/>
      <c r="E4" s="3312" t="s">
        <v>2467</v>
      </c>
      <c r="F4" s="3313"/>
      <c r="G4" s="3310" t="s">
        <v>2468</v>
      </c>
      <c r="H4" s="3311"/>
      <c r="I4" s="3310" t="s">
        <v>2469</v>
      </c>
      <c r="J4" s="3311"/>
      <c r="K4" s="567" t="s">
        <v>2470</v>
      </c>
      <c r="L4" s="2925"/>
      <c r="M4" s="2926"/>
      <c r="N4" s="2926"/>
      <c r="O4" s="2926"/>
      <c r="P4" s="3314" t="s">
        <v>2471</v>
      </c>
      <c r="Q4" s="3315"/>
      <c r="R4" s="3297" t="s">
        <v>2467</v>
      </c>
      <c r="S4" s="3298"/>
      <c r="T4" s="3297" t="s">
        <v>2468</v>
      </c>
      <c r="U4" s="3298"/>
      <c r="V4" s="3322" t="s">
        <v>2469</v>
      </c>
      <c r="W4" s="3322"/>
      <c r="X4" s="1532"/>
      <c r="Y4" s="3297" t="s">
        <v>2471</v>
      </c>
      <c r="Z4" s="3298"/>
      <c r="AA4" s="3292" t="s">
        <v>2467</v>
      </c>
      <c r="AB4" s="3293" t="s">
        <v>2468</v>
      </c>
      <c r="AC4" s="3292" t="s">
        <v>2469</v>
      </c>
    </row>
    <row r="5" spans="1:30" ht="15">
      <c r="A5" s="364"/>
      <c r="B5" s="365"/>
      <c r="C5" s="3303" t="s">
        <v>2362</v>
      </c>
      <c r="D5" s="3304"/>
      <c r="E5" s="3379" t="s">
        <v>2363</v>
      </c>
      <c r="F5" s="3302"/>
      <c r="G5" s="3303" t="s">
        <v>2364</v>
      </c>
      <c r="H5" s="3304"/>
      <c r="I5" s="3303" t="s">
        <v>2365</v>
      </c>
      <c r="J5" s="3304"/>
      <c r="K5" s="567"/>
      <c r="L5" s="2925"/>
      <c r="M5" s="2926"/>
      <c r="N5" s="2926"/>
      <c r="O5" s="2926"/>
      <c r="P5" s="3316"/>
      <c r="Q5" s="3317"/>
      <c r="R5" s="3299"/>
      <c r="S5" s="3300"/>
      <c r="T5" s="3299"/>
      <c r="U5" s="3300"/>
      <c r="V5" s="3322"/>
      <c r="W5" s="3322"/>
      <c r="X5" s="1532"/>
      <c r="Y5" s="3299"/>
      <c r="Z5" s="3300"/>
      <c r="AA5" s="3293"/>
      <c r="AB5" s="3293"/>
      <c r="AC5" s="3293"/>
    </row>
    <row r="6" spans="1:30" ht="15.75" thickBot="1">
      <c r="A6" s="366"/>
      <c r="B6" s="367"/>
      <c r="C6" s="3305" t="s">
        <v>2366</v>
      </c>
      <c r="D6" s="3306"/>
      <c r="E6" s="3307" t="s">
        <v>2366</v>
      </c>
      <c r="F6" s="3308"/>
      <c r="G6" s="3305" t="s">
        <v>2366</v>
      </c>
      <c r="H6" s="3306"/>
      <c r="I6" s="3305" t="s">
        <v>2366</v>
      </c>
      <c r="J6" s="3306"/>
      <c r="K6" s="567" t="s">
        <v>2367</v>
      </c>
      <c r="L6" s="2925"/>
      <c r="M6" s="2926"/>
      <c r="N6" s="2926"/>
      <c r="O6" s="2926"/>
      <c r="P6" s="3318"/>
      <c r="Q6" s="3319"/>
      <c r="R6" s="3299"/>
      <c r="S6" s="3300"/>
      <c r="T6" s="3320"/>
      <c r="U6" s="3321"/>
      <c r="V6" s="3322"/>
      <c r="W6" s="3322"/>
      <c r="X6" s="1532"/>
      <c r="Y6" s="3320"/>
      <c r="Z6" s="3321"/>
      <c r="AA6" s="3294"/>
      <c r="AB6" s="3294"/>
      <c r="AC6" s="3294"/>
    </row>
    <row r="7" spans="1:30" s="113" customFormat="1" ht="15.75" thickBot="1">
      <c r="A7" s="368" t="s">
        <v>2368</v>
      </c>
      <c r="B7" s="369"/>
      <c r="C7" s="370">
        <f>'数据-取费表'!B2</f>
        <v>44336</v>
      </c>
      <c r="D7" s="371">
        <v>100</v>
      </c>
      <c r="E7" s="372"/>
      <c r="F7" s="373">
        <f>SUMIF(70:70,YEAR(E7)&amp;"-"&amp;INT((MONTH(E7)+2)/3),71:71)</f>
        <v>0</v>
      </c>
      <c r="G7" s="2150"/>
      <c r="H7" s="371">
        <f>SUMIF(70:70,YEAR(G7)&amp;"-"&amp;INT((MONTH(G7)+2)/3),71:71)</f>
        <v>0</v>
      </c>
      <c r="I7" s="2150"/>
      <c r="J7" s="371">
        <f>SUMIF(70:70,YEAR(I7)&amp;"-"&amp;INT((MONTH(I7)+2)/3),71:71)</f>
        <v>0</v>
      </c>
      <c r="K7" s="568"/>
      <c r="L7" s="2927"/>
      <c r="M7" s="2928"/>
      <c r="N7" s="2928"/>
      <c r="O7" s="2928"/>
      <c r="P7" s="3295" t="s">
        <v>2369</v>
      </c>
      <c r="Q7" s="3323"/>
      <c r="R7" s="708" t="s">
        <v>17</v>
      </c>
      <c r="S7" s="709">
        <f t="shared" ref="S7:S15" si="0">F7</f>
        <v>0</v>
      </c>
      <c r="T7" s="708" t="s">
        <v>17</v>
      </c>
      <c r="U7" s="709">
        <f t="shared" ref="U7:U15" si="1">H7</f>
        <v>0</v>
      </c>
      <c r="V7" s="708" t="s">
        <v>17</v>
      </c>
      <c r="W7" s="709">
        <f t="shared" ref="W7:W15" si="2">J7</f>
        <v>0</v>
      </c>
      <c r="X7" s="710"/>
      <c r="Y7" s="3295" t="s">
        <v>2369</v>
      </c>
      <c r="Z7" s="3296"/>
      <c r="AA7" s="711" t="e">
        <f>D7/F7</f>
        <v>#DIV/0!</v>
      </c>
      <c r="AB7" s="711" t="e">
        <f>D7/H7</f>
        <v>#DIV/0!</v>
      </c>
      <c r="AC7" s="711"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7"/>
      <c r="M8" s="2928"/>
      <c r="N8" s="2928"/>
      <c r="O8" s="2928"/>
      <c r="P8" s="3295" t="s">
        <v>2372</v>
      </c>
      <c r="Q8" s="3296"/>
      <c r="R8" s="708" t="s">
        <v>17</v>
      </c>
      <c r="S8" s="709">
        <f t="shared" si="0"/>
        <v>0</v>
      </c>
      <c r="T8" s="708" t="s">
        <v>17</v>
      </c>
      <c r="U8" s="709">
        <f t="shared" si="1"/>
        <v>0</v>
      </c>
      <c r="V8" s="708" t="s">
        <v>17</v>
      </c>
      <c r="W8" s="709">
        <f t="shared" si="2"/>
        <v>0</v>
      </c>
      <c r="X8" s="710"/>
      <c r="Y8" s="3295" t="s">
        <v>2372</v>
      </c>
      <c r="Z8" s="3296"/>
      <c r="AA8" s="711" t="e">
        <f t="shared" ref="AA8:AA45" si="3">D8/F8</f>
        <v>#DIV/0!</v>
      </c>
      <c r="AB8" s="711" t="e">
        <f t="shared" ref="AB8:AB45" si="4">D8/H8</f>
        <v>#DIV/0!</v>
      </c>
      <c r="AC8" s="711" t="e">
        <f t="shared" ref="AC8:AC45" si="5">D8/J8</f>
        <v>#DIV/0!</v>
      </c>
    </row>
    <row r="9" spans="1:30" s="113" customFormat="1">
      <c r="A9" s="375" t="s">
        <v>2373</v>
      </c>
      <c r="B9" s="67" t="s">
        <v>2374</v>
      </c>
      <c r="C9" s="2153"/>
      <c r="D9" s="131">
        <v>100</v>
      </c>
      <c r="E9" s="2153"/>
      <c r="F9" s="131">
        <f>SUMIF(75:75,E9,76:76)-SUMIF(75:75,C9,76:76)+100</f>
        <v>100</v>
      </c>
      <c r="G9" s="2153"/>
      <c r="H9" s="131">
        <f>SUMIF(75:75,G9,76:76)-SUMIF(75:75,C9,76:76)+100</f>
        <v>100</v>
      </c>
      <c r="I9" s="2153"/>
      <c r="J9" s="131">
        <f>SUMIF(75:75,I9,76:76)-SUMIF(75:75,C9,76:76)+100</f>
        <v>100</v>
      </c>
      <c r="K9" s="568"/>
      <c r="L9" s="2927"/>
      <c r="M9" s="2928"/>
      <c r="N9" s="2928"/>
      <c r="O9" s="2982"/>
      <c r="P9" s="3327" t="s">
        <v>2375</v>
      </c>
      <c r="Q9" s="1520" t="str">
        <f t="shared" ref="Q9:Q15" si="6">B9</f>
        <v>用途</v>
      </c>
      <c r="R9" s="708" t="s">
        <v>17</v>
      </c>
      <c r="S9" s="709">
        <f t="shared" si="0"/>
        <v>100</v>
      </c>
      <c r="T9" s="708" t="s">
        <v>17</v>
      </c>
      <c r="U9" s="709">
        <f t="shared" si="1"/>
        <v>100</v>
      </c>
      <c r="V9" s="708" t="s">
        <v>17</v>
      </c>
      <c r="W9" s="709">
        <f t="shared" si="2"/>
        <v>100</v>
      </c>
      <c r="X9" s="710"/>
      <c r="Y9" s="3260" t="s">
        <v>2376</v>
      </c>
      <c r="Z9" s="55" t="str">
        <f t="shared" ref="Z9:Z15" si="7">Q9</f>
        <v>用途</v>
      </c>
      <c r="AA9" s="711">
        <f t="shared" si="3"/>
        <v>1</v>
      </c>
      <c r="AB9" s="711">
        <f t="shared" si="4"/>
        <v>1</v>
      </c>
      <c r="AC9" s="711">
        <f t="shared" si="5"/>
        <v>1</v>
      </c>
    </row>
    <row r="10" spans="1:30" s="386" customFormat="1" ht="27">
      <c r="A10" s="380"/>
      <c r="B10" s="381" t="s">
        <v>2377</v>
      </c>
      <c r="C10" s="391"/>
      <c r="D10" s="132">
        <v>100</v>
      </c>
      <c r="E10" s="424"/>
      <c r="F10" s="132">
        <f>ROUND(100/'数据-取费表'!G16,0)</f>
        <v>122</v>
      </c>
      <c r="G10" s="422"/>
      <c r="H10" s="132">
        <f>ROUND(100/'数据-取费表'!G16,0)</f>
        <v>122</v>
      </c>
      <c r="I10" s="422"/>
      <c r="J10" s="132">
        <f>ROUND(100/'数据-取费表'!G16,0)</f>
        <v>122</v>
      </c>
      <c r="K10" s="627"/>
      <c r="L10" s="2929"/>
      <c r="M10" s="2930"/>
      <c r="N10" s="2930"/>
      <c r="O10" s="2983"/>
      <c r="P10" s="3327"/>
      <c r="Q10" s="1520" t="str">
        <f t="shared" si="6"/>
        <v>土地使用年限（年）</v>
      </c>
      <c r="R10" s="708" t="s">
        <v>17</v>
      </c>
      <c r="S10" s="709">
        <f t="shared" si="0"/>
        <v>122</v>
      </c>
      <c r="T10" s="708" t="s">
        <v>17</v>
      </c>
      <c r="U10" s="709">
        <f t="shared" si="1"/>
        <v>122</v>
      </c>
      <c r="V10" s="708" t="s">
        <v>17</v>
      </c>
      <c r="W10" s="709">
        <f t="shared" si="2"/>
        <v>122</v>
      </c>
      <c r="X10" s="710"/>
      <c r="Y10" s="3260"/>
      <c r="Z10" s="55" t="str">
        <f t="shared" si="7"/>
        <v>土地使用年限（年）</v>
      </c>
      <c r="AA10" s="711">
        <f t="shared" si="3"/>
        <v>0.81967213114754101</v>
      </c>
      <c r="AB10" s="711">
        <f t="shared" si="4"/>
        <v>0.81967213114754101</v>
      </c>
      <c r="AC10" s="711">
        <f t="shared" si="5"/>
        <v>0.81967213114754101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31"/>
      <c r="M11" s="2926"/>
      <c r="N11" s="2926"/>
      <c r="O11" s="2984"/>
      <c r="P11" s="3327"/>
      <c r="Q11" s="1520" t="str">
        <f t="shared" si="6"/>
        <v>容积率</v>
      </c>
      <c r="R11" s="708" t="s">
        <v>17</v>
      </c>
      <c r="S11" s="709" t="e">
        <f t="shared" si="0"/>
        <v>#N/A</v>
      </c>
      <c r="T11" s="708" t="s">
        <v>17</v>
      </c>
      <c r="U11" s="709" t="e">
        <f t="shared" si="1"/>
        <v>#N/A</v>
      </c>
      <c r="V11" s="708" t="s">
        <v>17</v>
      </c>
      <c r="W11" s="709" t="e">
        <f t="shared" si="2"/>
        <v>#N/A</v>
      </c>
      <c r="X11" s="710"/>
      <c r="Y11" s="3260"/>
      <c r="Z11" s="55" t="str">
        <f t="shared" si="7"/>
        <v>容积率</v>
      </c>
      <c r="AA11" s="711" t="e">
        <f t="shared" si="3"/>
        <v>#N/A</v>
      </c>
      <c r="AB11" s="711" t="e">
        <f t="shared" si="4"/>
        <v>#N/A</v>
      </c>
      <c r="AC11" s="711" t="e">
        <f t="shared" si="5"/>
        <v>#N/A</v>
      </c>
    </row>
    <row r="12" spans="1:30" s="113" customFormat="1" ht="15">
      <c r="A12" s="390"/>
      <c r="B12" s="2071" t="s">
        <v>2567</v>
      </c>
      <c r="C12" s="391"/>
      <c r="D12" s="392">
        <v>100</v>
      </c>
      <c r="E12" s="424"/>
      <c r="F12" s="132">
        <f>SUMIF(82:82,E12,83:83)-SUMIF(82:82,C12,83:83)+100</f>
        <v>100</v>
      </c>
      <c r="G12" s="422"/>
      <c r="H12" s="132">
        <f>SUMIF(82:82,G12,83:83)-SUMIF(82:82,C12,83:83)+100</f>
        <v>100</v>
      </c>
      <c r="I12" s="424"/>
      <c r="J12" s="132">
        <f>SUMIF(82:82,I12,83:83)-SUMIF(82:82,C12,83:83)+100</f>
        <v>100</v>
      </c>
      <c r="K12" s="627"/>
      <c r="L12" s="2927"/>
      <c r="M12" s="2928"/>
      <c r="N12" s="2928"/>
      <c r="O12" s="2982"/>
      <c r="P12" s="3327"/>
      <c r="Q12" s="1520" t="str">
        <f t="shared" si="6"/>
        <v>配建</v>
      </c>
      <c r="R12" s="708" t="s">
        <v>17</v>
      </c>
      <c r="S12" s="709">
        <f t="shared" si="0"/>
        <v>100</v>
      </c>
      <c r="T12" s="708" t="s">
        <v>17</v>
      </c>
      <c r="U12" s="709">
        <f t="shared" si="1"/>
        <v>100</v>
      </c>
      <c r="V12" s="708" t="s">
        <v>17</v>
      </c>
      <c r="W12" s="709">
        <f t="shared" si="2"/>
        <v>100</v>
      </c>
      <c r="X12" s="710"/>
      <c r="Y12" s="3260"/>
      <c r="Z12" s="55" t="str">
        <f t="shared" si="7"/>
        <v>配建</v>
      </c>
      <c r="AA12" s="711">
        <f>D12/F12</f>
        <v>1</v>
      </c>
      <c r="AB12" s="711">
        <f>D12/H12</f>
        <v>1</v>
      </c>
      <c r="AC12" s="711">
        <f>D12/J12</f>
        <v>1</v>
      </c>
    </row>
    <row r="13" spans="1:30" ht="15">
      <c r="A13" s="387"/>
      <c r="B13" s="2071">
        <v>111</v>
      </c>
      <c r="C13" s="393"/>
      <c r="D13" s="394">
        <v>100</v>
      </c>
      <c r="E13" s="506"/>
      <c r="F13" s="132">
        <f>SUMIF(84:84,E13,85:85)-SUMIF(84:84,C13,85:85)+100</f>
        <v>100</v>
      </c>
      <c r="G13" s="629"/>
      <c r="H13" s="394">
        <f>SUMIF(84:84,G13,85:85)-SUMIF(84:84,C13,85:85)+100</f>
        <v>100</v>
      </c>
      <c r="I13" s="629"/>
      <c r="J13" s="394">
        <f>SUMIF(84:84,I13,85:85)-SUMIF(84:84,C13,85:85)+100</f>
        <v>100</v>
      </c>
      <c r="K13" s="627"/>
      <c r="L13" s="2932"/>
      <c r="M13" s="2926"/>
      <c r="N13" s="2926"/>
      <c r="O13" s="2984"/>
      <c r="P13" s="3327"/>
      <c r="Q13" s="1520">
        <f t="shared" si="6"/>
        <v>111</v>
      </c>
      <c r="R13" s="708" t="s">
        <v>17</v>
      </c>
      <c r="S13" s="709">
        <f t="shared" si="0"/>
        <v>100</v>
      </c>
      <c r="T13" s="708" t="s">
        <v>17</v>
      </c>
      <c r="U13" s="709">
        <f t="shared" si="1"/>
        <v>100</v>
      </c>
      <c r="V13" s="708" t="s">
        <v>17</v>
      </c>
      <c r="W13" s="709">
        <f t="shared" si="2"/>
        <v>100</v>
      </c>
      <c r="X13" s="710"/>
      <c r="Y13" s="3260"/>
      <c r="Z13" s="55">
        <f t="shared" si="7"/>
        <v>111</v>
      </c>
      <c r="AA13" s="711">
        <f>D13/F13</f>
        <v>1</v>
      </c>
      <c r="AB13" s="711">
        <f>D13/H13</f>
        <v>1</v>
      </c>
      <c r="AC13" s="711">
        <f>D13/J13</f>
        <v>1</v>
      </c>
    </row>
    <row r="14" spans="1:30" ht="15.75" thickBot="1">
      <c r="A14" s="395"/>
      <c r="B14" s="2073">
        <v>111</v>
      </c>
      <c r="C14" s="396"/>
      <c r="D14" s="397">
        <v>100</v>
      </c>
      <c r="E14" s="506"/>
      <c r="F14" s="397">
        <f>SUMIF(86:86,E14,87:87)-SUMIF(86:86,C14,87:87)+100</f>
        <v>100</v>
      </c>
      <c r="G14" s="629"/>
      <c r="H14" s="397">
        <f>SUMIF(86:86,G14,87:87)-SUMIF(86:86,C14,87:87)+100</f>
        <v>100</v>
      </c>
      <c r="I14" s="629"/>
      <c r="J14" s="397">
        <f>SUMIF(86:86,I14,87:87)-SUMIF(86:86,C14,87:87)+100</f>
        <v>100</v>
      </c>
      <c r="K14" s="627"/>
      <c r="L14" s="2932"/>
      <c r="M14" s="2926"/>
      <c r="N14" s="2926"/>
      <c r="O14" s="2984"/>
      <c r="P14" s="3327"/>
      <c r="Q14" s="1520">
        <f t="shared" si="6"/>
        <v>111</v>
      </c>
      <c r="R14" s="708" t="s">
        <v>17</v>
      </c>
      <c r="S14" s="709">
        <f t="shared" si="0"/>
        <v>100</v>
      </c>
      <c r="T14" s="708" t="s">
        <v>17</v>
      </c>
      <c r="U14" s="709">
        <f t="shared" si="1"/>
        <v>100</v>
      </c>
      <c r="V14" s="708" t="s">
        <v>17</v>
      </c>
      <c r="W14" s="709">
        <f t="shared" si="2"/>
        <v>100</v>
      </c>
      <c r="X14" s="710"/>
      <c r="Y14" s="3260"/>
      <c r="Z14" s="55">
        <f t="shared" si="7"/>
        <v>111</v>
      </c>
      <c r="AA14" s="711">
        <f>D14/F14</f>
        <v>1</v>
      </c>
      <c r="AB14" s="711">
        <f>D14/H14</f>
        <v>1</v>
      </c>
      <c r="AC14" s="711">
        <f>D14/J14</f>
        <v>1</v>
      </c>
    </row>
    <row r="15" spans="1:30" ht="15">
      <c r="A15" s="399" t="s">
        <v>2379</v>
      </c>
      <c r="B15" s="65" t="s">
        <v>1942</v>
      </c>
      <c r="C15" s="2074">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32"/>
      <c r="M15" s="2926"/>
      <c r="N15" s="2926"/>
      <c r="O15" s="2984"/>
      <c r="P15" s="3329" t="s">
        <v>2380</v>
      </c>
      <c r="Q15" s="1529" t="str">
        <f t="shared" si="6"/>
        <v>居住社区成熟度</v>
      </c>
      <c r="R15" s="712" t="s">
        <v>17</v>
      </c>
      <c r="S15" s="713">
        <f t="shared" si="0"/>
        <v>100</v>
      </c>
      <c r="T15" s="712" t="s">
        <v>17</v>
      </c>
      <c r="U15" s="713">
        <f t="shared" si="1"/>
        <v>100</v>
      </c>
      <c r="V15" s="712" t="s">
        <v>17</v>
      </c>
      <c r="W15" s="713">
        <f t="shared" si="2"/>
        <v>100</v>
      </c>
      <c r="X15" s="1532"/>
      <c r="Y15" s="3329" t="s">
        <v>2380</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7"/>
      <c r="L16" s="2932"/>
      <c r="M16" s="2926"/>
      <c r="N16" s="2926"/>
      <c r="O16" s="2984"/>
      <c r="P16" s="3330"/>
      <c r="Q16" s="1529"/>
      <c r="R16" s="712"/>
      <c r="S16" s="713"/>
      <c r="T16" s="712"/>
      <c r="U16" s="713"/>
      <c r="V16" s="712"/>
      <c r="W16" s="713"/>
      <c r="X16" s="1532"/>
      <c r="Y16" s="3330"/>
      <c r="Z16" s="1533"/>
      <c r="AA16" s="1530">
        <v>1</v>
      </c>
      <c r="AB16" s="1530">
        <v>1</v>
      </c>
      <c r="AC16" s="1530">
        <v>1</v>
      </c>
    </row>
    <row r="17" spans="1:29" ht="114">
      <c r="A17" s="387"/>
      <c r="B17" s="410" t="s">
        <v>2473</v>
      </c>
      <c r="C17" s="2131" t="str">
        <f>估价对象房地状况!C16</f>
        <v>估价对象位于平阳路，周边商业氛围较成熟，有赛格科技广场、尚品购物中心等商业项目，人流量较大，商业繁华度较好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8"/>
      <c r="L17" s="2932"/>
      <c r="M17" s="2926"/>
      <c r="N17" s="2926"/>
      <c r="O17" s="2984"/>
      <c r="P17" s="3330"/>
      <c r="Q17" s="1529" t="str">
        <f>B17</f>
        <v>商业繁华度</v>
      </c>
      <c r="R17" s="712" t="s">
        <v>17</v>
      </c>
      <c r="S17" s="713">
        <f>F17</f>
        <v>100</v>
      </c>
      <c r="T17" s="712" t="s">
        <v>17</v>
      </c>
      <c r="U17" s="713">
        <f>H17</f>
        <v>100</v>
      </c>
      <c r="V17" s="712" t="s">
        <v>17</v>
      </c>
      <c r="W17" s="713">
        <f>J17</f>
        <v>100</v>
      </c>
      <c r="X17" s="1532"/>
      <c r="Y17" s="3330"/>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7"/>
      <c r="L18" s="2932"/>
      <c r="M18" s="2926"/>
      <c r="N18" s="2926"/>
      <c r="O18" s="2984"/>
      <c r="P18" s="3330"/>
      <c r="Q18" s="1529"/>
      <c r="R18" s="712"/>
      <c r="S18" s="713"/>
      <c r="T18" s="712"/>
      <c r="U18" s="713"/>
      <c r="V18" s="712"/>
      <c r="W18" s="713"/>
      <c r="X18" s="1532"/>
      <c r="Y18" s="3330"/>
      <c r="Z18" s="1533"/>
      <c r="AA18" s="1530">
        <v>1</v>
      </c>
      <c r="AB18" s="1530">
        <v>1</v>
      </c>
      <c r="AC18" s="1530">
        <v>1</v>
      </c>
    </row>
    <row r="19" spans="1:29" ht="15">
      <c r="A19" s="387"/>
      <c r="B19" s="410" t="s">
        <v>2507</v>
      </c>
      <c r="C19" s="2131">
        <f>估价对象房地状况!C17</f>
        <v>0</v>
      </c>
      <c r="D19" s="414">
        <v>100</v>
      </c>
      <c r="E19" s="416"/>
      <c r="F19" s="414">
        <f>SUMIF(92:92,E20,93:93)-SUMIF(92:92,C20,93:93)+100</f>
        <v>100</v>
      </c>
      <c r="G19" s="416"/>
      <c r="H19" s="409">
        <f>SUMIF(92:92,G20,93:93)-SUMIF(92:92,C20,93:93)+100</f>
        <v>100</v>
      </c>
      <c r="I19" s="418"/>
      <c r="J19" s="409">
        <f>SUMIF(92:92,I20,93:93)-SUMIF(92:92,C20,93:93)+100</f>
        <v>100</v>
      </c>
      <c r="K19" s="628"/>
      <c r="L19" s="2932"/>
      <c r="M19" s="2926"/>
      <c r="N19" s="2926"/>
      <c r="O19" s="2984"/>
      <c r="P19" s="3330"/>
      <c r="Q19" s="1529" t="str">
        <f>B19</f>
        <v>办公集聚程度</v>
      </c>
      <c r="R19" s="712" t="s">
        <v>17</v>
      </c>
      <c r="S19" s="713">
        <f>F19</f>
        <v>100</v>
      </c>
      <c r="T19" s="712" t="s">
        <v>17</v>
      </c>
      <c r="U19" s="713">
        <f>H19</f>
        <v>100</v>
      </c>
      <c r="V19" s="712" t="s">
        <v>17</v>
      </c>
      <c r="W19" s="713">
        <f>J19</f>
        <v>100</v>
      </c>
      <c r="X19" s="1532"/>
      <c r="Y19" s="3330"/>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7"/>
      <c r="L20" s="2932"/>
      <c r="M20" s="2926"/>
      <c r="N20" s="2926"/>
      <c r="O20" s="2984"/>
      <c r="P20" s="3330"/>
      <c r="Q20" s="1529"/>
      <c r="R20" s="712"/>
      <c r="S20" s="713"/>
      <c r="T20" s="712"/>
      <c r="U20" s="713"/>
      <c r="V20" s="712"/>
      <c r="W20" s="713"/>
      <c r="X20" s="1532"/>
      <c r="Y20" s="3330"/>
      <c r="Z20" s="1533"/>
      <c r="AA20" s="1530">
        <v>1</v>
      </c>
      <c r="AB20" s="1530">
        <v>1</v>
      </c>
      <c r="AC20" s="1530">
        <v>1</v>
      </c>
    </row>
    <row r="21" spans="1:29" ht="99.75">
      <c r="A21" s="387"/>
      <c r="B21" s="410" t="s">
        <v>2529</v>
      </c>
      <c r="C21" s="2078" t="str">
        <f>估价对象房地状况!C18</f>
        <v>估价对象紧邻平阳路，有13、39、56、65、901等公交线路，项目有地面停车场，综合评价交通便捷度较好。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32"/>
      <c r="M21" s="2926"/>
      <c r="N21" s="2926"/>
      <c r="O21" s="2984"/>
      <c r="P21" s="3330"/>
      <c r="Q21" s="1529" t="str">
        <f>B21</f>
        <v>交通便捷度</v>
      </c>
      <c r="R21" s="712" t="s">
        <v>17</v>
      </c>
      <c r="S21" s="713">
        <f>F21</f>
        <v>100</v>
      </c>
      <c r="T21" s="712" t="s">
        <v>17</v>
      </c>
      <c r="U21" s="713">
        <f>H21</f>
        <v>100</v>
      </c>
      <c r="V21" s="712" t="s">
        <v>17</v>
      </c>
      <c r="W21" s="713">
        <f>J21</f>
        <v>100</v>
      </c>
      <c r="X21" s="1532"/>
      <c r="Y21" s="3330"/>
      <c r="Z21" s="1533" t="str">
        <f>Q21</f>
        <v>交通便捷度</v>
      </c>
      <c r="AA21" s="1530">
        <f t="shared" si="3"/>
        <v>1</v>
      </c>
      <c r="AB21" s="1530">
        <f t="shared" si="4"/>
        <v>1</v>
      </c>
      <c r="AC21" s="1530">
        <f t="shared" si="5"/>
        <v>1</v>
      </c>
    </row>
    <row r="22" spans="1:29" ht="15">
      <c r="A22" s="387"/>
      <c r="B22" s="1288"/>
      <c r="C22" s="406"/>
      <c r="D22" s="409"/>
      <c r="E22" s="2076"/>
      <c r="F22" s="407"/>
      <c r="G22" s="2076"/>
      <c r="H22" s="407"/>
      <c r="I22" s="2075"/>
      <c r="J22" s="407"/>
      <c r="K22" s="627"/>
      <c r="L22" s="2932"/>
      <c r="M22" s="2926"/>
      <c r="N22" s="2926"/>
      <c r="O22" s="2984"/>
      <c r="P22" s="3330"/>
      <c r="Q22" s="1529"/>
      <c r="R22" s="712"/>
      <c r="S22" s="713"/>
      <c r="T22" s="712"/>
      <c r="U22" s="713"/>
      <c r="V22" s="712"/>
      <c r="W22" s="713"/>
      <c r="X22" s="1532"/>
      <c r="Y22" s="3330"/>
      <c r="Z22" s="1533"/>
      <c r="AA22" s="1530">
        <v>1</v>
      </c>
      <c r="AB22" s="1530">
        <v>1</v>
      </c>
      <c r="AC22" s="1530">
        <v>1</v>
      </c>
    </row>
    <row r="23" spans="1:29" ht="15">
      <c r="A23" s="364"/>
      <c r="B23" s="410" t="s">
        <v>2568</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32"/>
      <c r="M23" s="2926"/>
      <c r="N23" s="2926"/>
      <c r="O23" s="2984"/>
      <c r="P23" s="3330"/>
      <c r="Q23" s="1529" t="str">
        <f t="shared" ref="Q23:Q37" si="8">B23</f>
        <v>区域土地利用方向</v>
      </c>
      <c r="R23" s="712" t="s">
        <v>17</v>
      </c>
      <c r="S23" s="713">
        <f>F23</f>
        <v>100</v>
      </c>
      <c r="T23" s="712" t="s">
        <v>17</v>
      </c>
      <c r="U23" s="713">
        <f>H23</f>
        <v>100</v>
      </c>
      <c r="V23" s="712" t="s">
        <v>17</v>
      </c>
      <c r="W23" s="713">
        <f>J23</f>
        <v>100</v>
      </c>
      <c r="X23" s="1532"/>
      <c r="Y23" s="3330"/>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9"/>
      <c r="L24" s="2932"/>
      <c r="M24" s="2926"/>
      <c r="N24" s="2926"/>
      <c r="O24" s="2984"/>
      <c r="P24" s="3330"/>
      <c r="Q24" s="1529"/>
      <c r="R24" s="712"/>
      <c r="S24" s="713"/>
      <c r="T24" s="712"/>
      <c r="U24" s="713"/>
      <c r="V24" s="712"/>
      <c r="W24" s="713"/>
      <c r="X24" s="1532"/>
      <c r="Y24" s="3330"/>
      <c r="Z24" s="1533"/>
      <c r="AA24" s="1530"/>
      <c r="AB24" s="1530"/>
      <c r="AC24" s="1530"/>
    </row>
    <row r="25" spans="1:29" ht="99.75">
      <c r="A25" s="364"/>
      <c r="B25" s="1288" t="s">
        <v>2569</v>
      </c>
      <c r="C25" s="2131" t="str">
        <f>估价对象房地状况!C20</f>
        <v>估价对象周边有盆景园、太原汾河景区等自然景观、更有菊花坪、凉亭等人文景观、环境状况较好</v>
      </c>
      <c r="D25" s="409">
        <v>100</v>
      </c>
      <c r="E25" s="411"/>
      <c r="F25" s="409">
        <f>SUMIF(98:98,E26,99:99)-SUMIF(98:98,C26,99:99)+100</f>
        <v>100</v>
      </c>
      <c r="G25" s="411"/>
      <c r="H25" s="409">
        <f>SUMIF(98:98,G26,99:99)-SUMIF(98:98,C26,99:99)+100</f>
        <v>100</v>
      </c>
      <c r="I25" s="413"/>
      <c r="J25" s="409">
        <f>SUMIF(98:98,I26,99:99)-SUMIF(98:98,C26,99:99)+100</f>
        <v>100</v>
      </c>
      <c r="K25" s="628"/>
      <c r="L25" s="2932"/>
      <c r="M25" s="2926"/>
      <c r="N25" s="2926"/>
      <c r="O25" s="2984"/>
      <c r="P25" s="3330"/>
      <c r="Q25" s="1529" t="str">
        <f t="shared" si="8"/>
        <v>自然及人文环境状况</v>
      </c>
      <c r="R25" s="712" t="s">
        <v>17</v>
      </c>
      <c r="S25" s="713">
        <f>F25</f>
        <v>100</v>
      </c>
      <c r="T25" s="712" t="s">
        <v>17</v>
      </c>
      <c r="U25" s="713">
        <f>H25</f>
        <v>100</v>
      </c>
      <c r="V25" s="712" t="s">
        <v>17</v>
      </c>
      <c r="W25" s="713">
        <f>J25</f>
        <v>100</v>
      </c>
      <c r="X25" s="1532"/>
      <c r="Y25" s="3330"/>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7"/>
      <c r="L26" s="2932"/>
      <c r="M26" s="2926"/>
      <c r="N26" s="2926"/>
      <c r="O26" s="2984"/>
      <c r="P26" s="3330"/>
      <c r="Q26" s="1529"/>
      <c r="R26" s="712"/>
      <c r="S26" s="713"/>
      <c r="T26" s="712"/>
      <c r="U26" s="713"/>
      <c r="V26" s="712"/>
      <c r="W26" s="713"/>
      <c r="X26" s="1532"/>
      <c r="Y26" s="3330"/>
      <c r="Z26" s="1533"/>
      <c r="AA26" s="1530">
        <v>1</v>
      </c>
      <c r="AB26" s="1530">
        <v>1</v>
      </c>
      <c r="AC26" s="1530">
        <v>1</v>
      </c>
    </row>
    <row r="27" spans="1:29" s="113" customFormat="1" ht="42.75">
      <c r="A27" s="604"/>
      <c r="B27" s="1288" t="s">
        <v>2474</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27"/>
      <c r="M27" s="2928"/>
      <c r="N27" s="2928"/>
      <c r="O27" s="2982"/>
      <c r="P27" s="3330"/>
      <c r="Q27" s="1520" t="str">
        <f t="shared" si="8"/>
        <v>公共配套设施</v>
      </c>
      <c r="R27" s="708" t="s">
        <v>17</v>
      </c>
      <c r="S27" s="709">
        <f>F27</f>
        <v>100</v>
      </c>
      <c r="T27" s="708" t="s">
        <v>17</v>
      </c>
      <c r="U27" s="709">
        <f>H27</f>
        <v>100</v>
      </c>
      <c r="V27" s="708" t="s">
        <v>17</v>
      </c>
      <c r="W27" s="709">
        <f>J27</f>
        <v>100</v>
      </c>
      <c r="X27" s="710"/>
      <c r="Y27" s="3330"/>
      <c r="Z27" s="55" t="str">
        <f>Q27</f>
        <v>公共配套设施</v>
      </c>
      <c r="AA27" s="1530">
        <f>D27/F27</f>
        <v>1</v>
      </c>
      <c r="AB27" s="1530">
        <f>D27/H27</f>
        <v>1</v>
      </c>
      <c r="AC27" s="1530">
        <f>D27/J27</f>
        <v>1</v>
      </c>
    </row>
    <row r="28" spans="1:29" s="113" customFormat="1" ht="15">
      <c r="A28" s="604"/>
      <c r="B28" s="415"/>
      <c r="C28" s="2154"/>
      <c r="D28" s="407"/>
      <c r="E28" s="2082"/>
      <c r="F28" s="407"/>
      <c r="G28" s="2082"/>
      <c r="H28" s="407"/>
      <c r="I28" s="406"/>
      <c r="J28" s="407"/>
      <c r="K28" s="627"/>
      <c r="L28" s="2927"/>
      <c r="M28" s="2928"/>
      <c r="N28" s="2928"/>
      <c r="O28" s="2982"/>
      <c r="P28" s="3330"/>
      <c r="Q28" s="1520"/>
      <c r="R28" s="708"/>
      <c r="S28" s="709"/>
      <c r="T28" s="708"/>
      <c r="U28" s="709"/>
      <c r="V28" s="708"/>
      <c r="W28" s="709"/>
      <c r="X28" s="710"/>
      <c r="Y28" s="3330"/>
      <c r="Z28" s="55"/>
      <c r="AA28" s="1530">
        <v>1</v>
      </c>
      <c r="AB28" s="1530">
        <v>1</v>
      </c>
      <c r="AC28" s="1530">
        <v>1</v>
      </c>
    </row>
    <row r="29" spans="1:29" s="113" customFormat="1" ht="28.5">
      <c r="A29" s="604"/>
      <c r="B29" s="1288" t="s">
        <v>2475</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27"/>
      <c r="M29" s="2928"/>
      <c r="N29" s="2928"/>
      <c r="O29" s="2982"/>
      <c r="P29" s="3330"/>
      <c r="Q29" s="1520" t="str">
        <f t="shared" ref="Q29" si="9">B29</f>
        <v>基础设施水平</v>
      </c>
      <c r="R29" s="708" t="s">
        <v>17</v>
      </c>
      <c r="S29" s="709">
        <f>F29</f>
        <v>100</v>
      </c>
      <c r="T29" s="708" t="s">
        <v>17</v>
      </c>
      <c r="U29" s="709">
        <f>H29</f>
        <v>100</v>
      </c>
      <c r="V29" s="708" t="s">
        <v>17</v>
      </c>
      <c r="W29" s="709">
        <f>J29</f>
        <v>100</v>
      </c>
      <c r="X29" s="710"/>
      <c r="Y29" s="3330"/>
      <c r="Z29" s="55" t="str">
        <f>Q29</f>
        <v>基础设施水平</v>
      </c>
      <c r="AA29" s="1530">
        <f>D29/F29</f>
        <v>1</v>
      </c>
      <c r="AB29" s="1530">
        <f>D29/H29</f>
        <v>1</v>
      </c>
      <c r="AC29" s="1530">
        <f>D29/J29</f>
        <v>1</v>
      </c>
    </row>
    <row r="30" spans="1:29" s="113" customFormat="1" ht="15">
      <c r="A30" s="604"/>
      <c r="B30" s="415"/>
      <c r="C30" s="2154"/>
      <c r="D30" s="407"/>
      <c r="E30" s="2155"/>
      <c r="F30" s="407"/>
      <c r="G30" s="2155"/>
      <c r="H30" s="407"/>
      <c r="I30" s="2155"/>
      <c r="J30" s="407"/>
      <c r="K30" s="627"/>
      <c r="L30" s="2927"/>
      <c r="M30" s="2928"/>
      <c r="N30" s="2928"/>
      <c r="O30" s="2982"/>
      <c r="P30" s="3330"/>
      <c r="Q30" s="1520"/>
      <c r="R30" s="708"/>
      <c r="S30" s="709"/>
      <c r="T30" s="708"/>
      <c r="U30" s="709"/>
      <c r="V30" s="708"/>
      <c r="W30" s="709"/>
      <c r="X30" s="710"/>
      <c r="Y30" s="3330"/>
      <c r="Z30" s="55"/>
      <c r="AA30" s="1530">
        <v>1</v>
      </c>
      <c r="AB30" s="1530">
        <v>1</v>
      </c>
      <c r="AC30" s="1530">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32"/>
      <c r="M31" s="2926"/>
      <c r="N31" s="2926"/>
      <c r="O31" s="2984"/>
      <c r="P31" s="3330"/>
      <c r="Q31" s="1529" t="str">
        <f t="shared" si="8"/>
        <v>临街状况</v>
      </c>
      <c r="R31" s="712" t="s">
        <v>17</v>
      </c>
      <c r="S31" s="713">
        <f t="shared" ref="S31:S45" si="10">F31</f>
        <v>100</v>
      </c>
      <c r="T31" s="712" t="s">
        <v>17</v>
      </c>
      <c r="U31" s="713">
        <f t="shared" ref="U31:U45" si="11">H31</f>
        <v>100</v>
      </c>
      <c r="V31" s="712" t="s">
        <v>17</v>
      </c>
      <c r="W31" s="713">
        <f t="shared" ref="W31:W45" si="12">J31</f>
        <v>100</v>
      </c>
      <c r="X31" s="1532"/>
      <c r="Y31" s="3330"/>
      <c r="Z31" s="1533" t="str">
        <f t="shared" ref="Z31:Z45" si="13">Q31</f>
        <v>临街状况</v>
      </c>
      <c r="AA31" s="1530">
        <f t="shared" si="3"/>
        <v>1</v>
      </c>
      <c r="AB31" s="1530">
        <f t="shared" si="4"/>
        <v>1</v>
      </c>
      <c r="AC31" s="1530">
        <f t="shared" si="5"/>
        <v>1</v>
      </c>
    </row>
    <row r="32" spans="1:29" ht="27">
      <c r="A32" s="387"/>
      <c r="B32" s="1288"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32"/>
      <c r="M32" s="2926"/>
      <c r="N32" s="2926"/>
      <c r="O32" s="2984"/>
      <c r="P32" s="3330"/>
      <c r="Q32" s="1529" t="str">
        <f t="shared" si="8"/>
        <v>毗邻道路的类型与等级</v>
      </c>
      <c r="R32" s="712" t="s">
        <v>17</v>
      </c>
      <c r="S32" s="713">
        <f t="shared" si="10"/>
        <v>100</v>
      </c>
      <c r="T32" s="712" t="s">
        <v>17</v>
      </c>
      <c r="U32" s="713">
        <f t="shared" si="11"/>
        <v>100</v>
      </c>
      <c r="V32" s="712" t="s">
        <v>17</v>
      </c>
      <c r="W32" s="713">
        <f t="shared" si="12"/>
        <v>100</v>
      </c>
      <c r="X32" s="1532"/>
      <c r="Y32" s="3330"/>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932"/>
      <c r="M33" s="2926"/>
      <c r="N33" s="2926"/>
      <c r="O33" s="2984"/>
      <c r="P33" s="3330"/>
      <c r="Q33" s="1529"/>
      <c r="R33" s="712"/>
      <c r="S33" s="713"/>
      <c r="T33" s="712"/>
      <c r="U33" s="713"/>
      <c r="V33" s="712"/>
      <c r="W33" s="713"/>
      <c r="X33" s="1532"/>
      <c r="Y33" s="3330"/>
      <c r="Z33" s="1533"/>
      <c r="AA33" s="1530">
        <v>1</v>
      </c>
      <c r="AB33" s="1530">
        <v>1</v>
      </c>
      <c r="AC33" s="1530">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32"/>
      <c r="M34" s="2926"/>
      <c r="N34" s="2926"/>
      <c r="O34" s="2984"/>
      <c r="P34" s="3330"/>
      <c r="Q34" s="1529" t="str">
        <f t="shared" si="8"/>
        <v>土地级别</v>
      </c>
      <c r="R34" s="712" t="s">
        <v>17</v>
      </c>
      <c r="S34" s="713">
        <f t="shared" si="10"/>
        <v>100</v>
      </c>
      <c r="T34" s="712" t="s">
        <v>17</v>
      </c>
      <c r="U34" s="713">
        <f t="shared" si="11"/>
        <v>100</v>
      </c>
      <c r="V34" s="712" t="s">
        <v>17</v>
      </c>
      <c r="W34" s="713">
        <f t="shared" si="12"/>
        <v>100</v>
      </c>
      <c r="X34" s="1532"/>
      <c r="Y34" s="3330"/>
      <c r="Z34" s="1533" t="str">
        <f t="shared" si="13"/>
        <v>土地级别</v>
      </c>
      <c r="AA34" s="1530">
        <f t="shared" si="3"/>
        <v>1</v>
      </c>
      <c r="AB34" s="1530">
        <f t="shared" si="4"/>
        <v>1</v>
      </c>
      <c r="AC34" s="1530">
        <f t="shared" si="5"/>
        <v>1</v>
      </c>
    </row>
    <row r="35" spans="1:29" ht="15">
      <c r="A35" s="364"/>
      <c r="B35" s="1290">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32"/>
      <c r="M35" s="2926"/>
      <c r="N35" s="2926"/>
      <c r="O35" s="2984"/>
      <c r="P35" s="3330"/>
      <c r="Q35" s="1529">
        <f t="shared" si="8"/>
        <v>111</v>
      </c>
      <c r="R35" s="712" t="s">
        <v>17</v>
      </c>
      <c r="S35" s="713">
        <f t="shared" si="10"/>
        <v>100</v>
      </c>
      <c r="T35" s="712" t="s">
        <v>17</v>
      </c>
      <c r="U35" s="713">
        <f t="shared" si="11"/>
        <v>100</v>
      </c>
      <c r="V35" s="712" t="s">
        <v>17</v>
      </c>
      <c r="W35" s="713">
        <f t="shared" si="12"/>
        <v>100</v>
      </c>
      <c r="X35" s="1532"/>
      <c r="Y35" s="3330"/>
      <c r="Z35" s="1533">
        <f t="shared" si="13"/>
        <v>111</v>
      </c>
      <c r="AA35" s="1530">
        <f t="shared" si="3"/>
        <v>1</v>
      </c>
      <c r="AB35" s="1530">
        <f t="shared" si="4"/>
        <v>1</v>
      </c>
      <c r="AC35" s="1530">
        <f t="shared" si="5"/>
        <v>1</v>
      </c>
    </row>
    <row r="36" spans="1:29" ht="15">
      <c r="A36" s="630"/>
      <c r="B36" s="1291">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32"/>
      <c r="M36" s="2926"/>
      <c r="N36" s="2926"/>
      <c r="O36" s="2984"/>
      <c r="P36" s="3380" t="s">
        <v>2385</v>
      </c>
      <c r="Q36" s="1529">
        <f t="shared" si="8"/>
        <v>111</v>
      </c>
      <c r="R36" s="712" t="s">
        <v>17</v>
      </c>
      <c r="S36" s="713">
        <f t="shared" si="10"/>
        <v>100</v>
      </c>
      <c r="T36" s="712" t="s">
        <v>17</v>
      </c>
      <c r="U36" s="713">
        <f t="shared" si="11"/>
        <v>100</v>
      </c>
      <c r="V36" s="712" t="s">
        <v>17</v>
      </c>
      <c r="W36" s="713">
        <f t="shared" si="12"/>
        <v>100</v>
      </c>
      <c r="X36" s="1532"/>
      <c r="Y36" s="3334" t="s">
        <v>2385</v>
      </c>
      <c r="Z36" s="1533">
        <f t="shared" si="13"/>
        <v>111</v>
      </c>
      <c r="AA36" s="1530">
        <f t="shared" si="3"/>
        <v>1</v>
      </c>
      <c r="AB36" s="1530">
        <f t="shared" si="4"/>
        <v>1</v>
      </c>
      <c r="AC36" s="1530">
        <f t="shared" si="5"/>
        <v>1</v>
      </c>
    </row>
    <row r="37" spans="1:29" s="430" customFormat="1" ht="15.75" thickBot="1">
      <c r="A37" s="631"/>
      <c r="B37" s="1292">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1"/>
      <c r="M37" s="2933"/>
      <c r="N37" s="2933"/>
      <c r="O37" s="2985"/>
      <c r="P37" s="3334"/>
      <c r="Q37" s="1529">
        <f t="shared" si="8"/>
        <v>111</v>
      </c>
      <c r="R37" s="715" t="s">
        <v>17</v>
      </c>
      <c r="S37" s="716">
        <f t="shared" si="10"/>
        <v>100</v>
      </c>
      <c r="T37" s="715" t="s">
        <v>17</v>
      </c>
      <c r="U37" s="716">
        <f t="shared" si="11"/>
        <v>100</v>
      </c>
      <c r="V37" s="715" t="s">
        <v>17</v>
      </c>
      <c r="W37" s="716">
        <f t="shared" si="12"/>
        <v>100</v>
      </c>
      <c r="X37" s="717"/>
      <c r="Y37" s="3334"/>
      <c r="Z37" s="718">
        <f t="shared" si="13"/>
        <v>111</v>
      </c>
      <c r="AA37" s="1530">
        <f t="shared" si="3"/>
        <v>1</v>
      </c>
      <c r="AB37" s="1530">
        <f t="shared" si="4"/>
        <v>1</v>
      </c>
      <c r="AC37" s="1530">
        <f t="shared" si="5"/>
        <v>1</v>
      </c>
    </row>
    <row r="38" spans="1:29" ht="15">
      <c r="A38" s="431" t="s">
        <v>2383</v>
      </c>
      <c r="B38" s="415" t="s">
        <v>2571</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32"/>
      <c r="M38" s="2926"/>
      <c r="N38" s="2926"/>
      <c r="O38" s="2984"/>
      <c r="P38" s="3334"/>
      <c r="Q38" s="1529" t="str">
        <f>B38</f>
        <v>宗地面积</v>
      </c>
      <c r="R38" s="712" t="s">
        <v>17</v>
      </c>
      <c r="S38" s="713" t="e">
        <f t="shared" si="10"/>
        <v>#N/A</v>
      </c>
      <c r="T38" s="712" t="s">
        <v>17</v>
      </c>
      <c r="U38" s="713" t="e">
        <f t="shared" si="11"/>
        <v>#N/A</v>
      </c>
      <c r="V38" s="712" t="s">
        <v>17</v>
      </c>
      <c r="W38" s="713" t="e">
        <f t="shared" si="12"/>
        <v>#N/A</v>
      </c>
      <c r="X38" s="1532"/>
      <c r="Y38" s="3334"/>
      <c r="Z38" s="1533" t="str">
        <f t="shared" si="13"/>
        <v>宗地面积</v>
      </c>
      <c r="AA38" s="1530" t="e">
        <f t="shared" si="3"/>
        <v>#N/A</v>
      </c>
      <c r="AB38" s="1530" t="e">
        <f t="shared" si="4"/>
        <v>#N/A</v>
      </c>
      <c r="AC38" s="1530" t="e">
        <f t="shared" si="5"/>
        <v>#N/A</v>
      </c>
    </row>
    <row r="39" spans="1:29" ht="15">
      <c r="A39" s="431"/>
      <c r="B39" s="381" t="s">
        <v>2572</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932"/>
      <c r="M39" s="2926"/>
      <c r="N39" s="2926"/>
      <c r="O39" s="2984"/>
      <c r="P39" s="3334"/>
      <c r="Q39" s="1529" t="str">
        <f t="shared" ref="Q39:Q45" si="14">B39</f>
        <v>宗地形状</v>
      </c>
      <c r="R39" s="712" t="s">
        <v>17</v>
      </c>
      <c r="S39" s="713">
        <f t="shared" si="10"/>
        <v>100</v>
      </c>
      <c r="T39" s="712" t="s">
        <v>17</v>
      </c>
      <c r="U39" s="713">
        <f t="shared" si="11"/>
        <v>100</v>
      </c>
      <c r="V39" s="712" t="s">
        <v>17</v>
      </c>
      <c r="W39" s="713">
        <f t="shared" si="12"/>
        <v>100</v>
      </c>
      <c r="X39" s="1532"/>
      <c r="Y39" s="3334"/>
      <c r="Z39" s="1533" t="str">
        <f t="shared" si="13"/>
        <v>宗地形状</v>
      </c>
      <c r="AA39" s="1530">
        <f t="shared" si="3"/>
        <v>1</v>
      </c>
      <c r="AB39" s="1530">
        <f t="shared" si="4"/>
        <v>1</v>
      </c>
      <c r="AC39" s="1530">
        <f t="shared" si="5"/>
        <v>1</v>
      </c>
    </row>
    <row r="40" spans="1:29" ht="15">
      <c r="A40" s="431"/>
      <c r="B40" s="381" t="s">
        <v>2573</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932"/>
      <c r="M40" s="2926"/>
      <c r="N40" s="2926"/>
      <c r="O40" s="2984"/>
      <c r="P40" s="3334"/>
      <c r="Q40" s="1529" t="str">
        <f t="shared" si="14"/>
        <v>临街宽度及深度</v>
      </c>
      <c r="R40" s="712" t="s">
        <v>17</v>
      </c>
      <c r="S40" s="713">
        <f t="shared" si="10"/>
        <v>100</v>
      </c>
      <c r="T40" s="712" t="s">
        <v>17</v>
      </c>
      <c r="U40" s="713">
        <f t="shared" si="11"/>
        <v>100</v>
      </c>
      <c r="V40" s="712" t="s">
        <v>17</v>
      </c>
      <c r="W40" s="713">
        <f t="shared" si="12"/>
        <v>100</v>
      </c>
      <c r="X40" s="1532"/>
      <c r="Y40" s="3334"/>
      <c r="Z40" s="1533" t="str">
        <f t="shared" si="13"/>
        <v>临街宽度及深度</v>
      </c>
      <c r="AA40" s="1530">
        <f t="shared" si="3"/>
        <v>1</v>
      </c>
      <c r="AB40" s="1530">
        <f t="shared" si="4"/>
        <v>1</v>
      </c>
      <c r="AC40" s="1530">
        <f t="shared" si="5"/>
        <v>1</v>
      </c>
    </row>
    <row r="41" spans="1:29" s="113" customFormat="1" ht="15">
      <c r="A41" s="432"/>
      <c r="B41" s="381" t="s">
        <v>2574</v>
      </c>
      <c r="C41" s="2156"/>
      <c r="D41" s="132">
        <v>100</v>
      </c>
      <c r="E41" s="2156"/>
      <c r="F41" s="394">
        <f>SUMIF(123:123,E41,124:124)-SUMIF(123:123,C41,124:124)+100</f>
        <v>100</v>
      </c>
      <c r="G41" s="2156"/>
      <c r="H41" s="394">
        <f>SUMIF(123:123,G41,124:124)-SUMIF(123:123,C41,124:124)+100</f>
        <v>100</v>
      </c>
      <c r="I41" s="2156"/>
      <c r="J41" s="394">
        <f>SUMIF(123:123,I41,124:124)-SUMIF(123:123,C41,124:124)+100</f>
        <v>100</v>
      </c>
      <c r="K41" s="569"/>
      <c r="L41" s="2927"/>
      <c r="M41" s="2928"/>
      <c r="N41" s="2928"/>
      <c r="O41" s="2982"/>
      <c r="P41" s="3334"/>
      <c r="Q41" s="1529" t="str">
        <f t="shared" si="14"/>
        <v>宗地开发程度</v>
      </c>
      <c r="R41" s="708" t="s">
        <v>17</v>
      </c>
      <c r="S41" s="709">
        <f t="shared" si="10"/>
        <v>100</v>
      </c>
      <c r="T41" s="708" t="s">
        <v>17</v>
      </c>
      <c r="U41" s="709">
        <f t="shared" si="11"/>
        <v>100</v>
      </c>
      <c r="V41" s="708" t="s">
        <v>17</v>
      </c>
      <c r="W41" s="709">
        <f t="shared" si="12"/>
        <v>100</v>
      </c>
      <c r="X41" s="710"/>
      <c r="Y41" s="3334"/>
      <c r="Z41" s="55" t="str">
        <f t="shared" si="13"/>
        <v>宗地开发程度</v>
      </c>
      <c r="AA41" s="711">
        <f t="shared" si="3"/>
        <v>1</v>
      </c>
      <c r="AB41" s="711">
        <f t="shared" si="4"/>
        <v>1</v>
      </c>
      <c r="AC41" s="711">
        <f t="shared" si="5"/>
        <v>1</v>
      </c>
    </row>
    <row r="42" spans="1:29" ht="15">
      <c r="A42" s="431"/>
      <c r="B42" s="381" t="s">
        <v>2575</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932"/>
      <c r="M42" s="2926"/>
      <c r="N42" s="2926"/>
      <c r="O42" s="2984"/>
      <c r="P42" s="3334" t="s">
        <v>2385</v>
      </c>
      <c r="Q42" s="1529" t="str">
        <f t="shared" si="14"/>
        <v>工程地质条件</v>
      </c>
      <c r="R42" s="712" t="s">
        <v>17</v>
      </c>
      <c r="S42" s="713">
        <f t="shared" si="10"/>
        <v>100</v>
      </c>
      <c r="T42" s="712" t="s">
        <v>17</v>
      </c>
      <c r="U42" s="713">
        <f t="shared" si="11"/>
        <v>100</v>
      </c>
      <c r="V42" s="712" t="s">
        <v>17</v>
      </c>
      <c r="W42" s="713">
        <f t="shared" si="12"/>
        <v>100</v>
      </c>
      <c r="X42" s="1532"/>
      <c r="Y42" s="3334" t="s">
        <v>2385</v>
      </c>
      <c r="Z42" s="1533" t="str">
        <f t="shared" si="13"/>
        <v>工程地质条件</v>
      </c>
      <c r="AA42" s="1530">
        <f t="shared" si="3"/>
        <v>1</v>
      </c>
      <c r="AB42" s="1530">
        <f t="shared" si="4"/>
        <v>1</v>
      </c>
      <c r="AC42" s="1530">
        <f t="shared" si="5"/>
        <v>1</v>
      </c>
    </row>
    <row r="43" spans="1:29" ht="15">
      <c r="A43" s="431"/>
      <c r="B43" s="1291">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32"/>
      <c r="M43" s="2926"/>
      <c r="N43" s="2926"/>
      <c r="O43" s="2984"/>
      <c r="P43" s="3334"/>
      <c r="Q43" s="1529">
        <f t="shared" si="14"/>
        <v>111</v>
      </c>
      <c r="R43" s="712" t="s">
        <v>17</v>
      </c>
      <c r="S43" s="713">
        <f t="shared" si="10"/>
        <v>100</v>
      </c>
      <c r="T43" s="712" t="s">
        <v>17</v>
      </c>
      <c r="U43" s="713">
        <f t="shared" si="11"/>
        <v>100</v>
      </c>
      <c r="V43" s="712" t="s">
        <v>17</v>
      </c>
      <c r="W43" s="713">
        <f t="shared" si="12"/>
        <v>100</v>
      </c>
      <c r="X43" s="1532"/>
      <c r="Y43" s="3334"/>
      <c r="Z43" s="1533">
        <f t="shared" si="13"/>
        <v>111</v>
      </c>
      <c r="AA43" s="1530">
        <f t="shared" si="3"/>
        <v>1</v>
      </c>
      <c r="AB43" s="1530">
        <f t="shared" si="4"/>
        <v>1</v>
      </c>
      <c r="AC43" s="1530">
        <f t="shared" si="5"/>
        <v>1</v>
      </c>
    </row>
    <row r="44" spans="1:29" ht="15">
      <c r="A44" s="431"/>
      <c r="B44" s="1291">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32"/>
      <c r="M44" s="2926"/>
      <c r="N44" s="2926"/>
      <c r="O44" s="2984"/>
      <c r="P44" s="3334"/>
      <c r="Q44" s="1529">
        <f t="shared" si="14"/>
        <v>111</v>
      </c>
      <c r="R44" s="712" t="s">
        <v>17</v>
      </c>
      <c r="S44" s="713">
        <f t="shared" si="10"/>
        <v>100</v>
      </c>
      <c r="T44" s="712" t="s">
        <v>17</v>
      </c>
      <c r="U44" s="713">
        <f t="shared" si="11"/>
        <v>100</v>
      </c>
      <c r="V44" s="712" t="s">
        <v>17</v>
      </c>
      <c r="W44" s="713">
        <f t="shared" si="12"/>
        <v>100</v>
      </c>
      <c r="X44" s="1532"/>
      <c r="Y44" s="3334"/>
      <c r="Z44" s="1533">
        <f t="shared" si="13"/>
        <v>111</v>
      </c>
      <c r="AA44" s="1530">
        <f t="shared" si="3"/>
        <v>1</v>
      </c>
      <c r="AB44" s="1530">
        <f t="shared" si="4"/>
        <v>1</v>
      </c>
      <c r="AC44" s="1530">
        <f t="shared" si="5"/>
        <v>1</v>
      </c>
    </row>
    <row r="45" spans="1:29" s="430" customFormat="1" ht="15.75" thickBot="1">
      <c r="A45" s="427"/>
      <c r="B45" s="1291">
        <v>111</v>
      </c>
      <c r="C45" s="2157"/>
      <c r="D45" s="635">
        <v>100</v>
      </c>
      <c r="E45" s="629"/>
      <c r="F45" s="397">
        <f>SUMIF(131:131,E45,132:132)-SUMIF(131:131,C45,132:132)+100</f>
        <v>100</v>
      </c>
      <c r="G45" s="629"/>
      <c r="H45" s="397">
        <f>SUMIF(131:131,G45,132:132)-SUMIF(131:131,C45,132:132)+100</f>
        <v>100</v>
      </c>
      <c r="I45" s="629"/>
      <c r="J45" s="397">
        <f>SUMIF(131:131,I45,132:132)-SUMIF(131:131,C45,132:132)+100</f>
        <v>100</v>
      </c>
      <c r="K45" s="636"/>
      <c r="L45" s="2931"/>
      <c r="M45" s="2933"/>
      <c r="N45" s="2933"/>
      <c r="O45" s="2985"/>
      <c r="P45" s="3334"/>
      <c r="Q45" s="1529">
        <f t="shared" si="14"/>
        <v>111</v>
      </c>
      <c r="R45" s="715" t="s">
        <v>17</v>
      </c>
      <c r="S45" s="716">
        <f t="shared" si="10"/>
        <v>100</v>
      </c>
      <c r="T45" s="715" t="s">
        <v>17</v>
      </c>
      <c r="U45" s="716">
        <f t="shared" si="11"/>
        <v>100</v>
      </c>
      <c r="V45" s="715" t="s">
        <v>17</v>
      </c>
      <c r="W45" s="716">
        <f t="shared" si="12"/>
        <v>100</v>
      </c>
      <c r="X45" s="717"/>
      <c r="Y45" s="3334"/>
      <c r="Z45" s="718">
        <f t="shared" si="13"/>
        <v>111</v>
      </c>
      <c r="AA45" s="1530">
        <f t="shared" si="3"/>
        <v>1</v>
      </c>
      <c r="AB45" s="1530">
        <f t="shared" si="4"/>
        <v>1</v>
      </c>
      <c r="AC45" s="1530">
        <f t="shared" si="5"/>
        <v>1</v>
      </c>
    </row>
    <row r="46" spans="1:29" ht="15">
      <c r="A46" s="438" t="s">
        <v>2540</v>
      </c>
      <c r="B46" s="2158" t="s">
        <v>2576</v>
      </c>
      <c r="C46" s="637" t="s">
        <v>1</v>
      </c>
      <c r="D46" s="440"/>
      <c r="E46" s="441"/>
      <c r="F46" s="442"/>
      <c r="G46" s="443"/>
      <c r="H46" s="444"/>
      <c r="I46" s="441"/>
      <c r="J46" s="444"/>
      <c r="K46" s="721"/>
      <c r="L46" s="2934"/>
      <c r="M46" s="2935"/>
      <c r="N46" s="2926"/>
      <c r="O46" s="2935"/>
      <c r="P46" s="3327" t="str">
        <f>A46</f>
        <v>成交单价</v>
      </c>
      <c r="Q46" s="3327"/>
      <c r="R46" s="3322">
        <f>E46</f>
        <v>0</v>
      </c>
      <c r="S46" s="3322"/>
      <c r="T46" s="3322">
        <f>G46</f>
        <v>0</v>
      </c>
      <c r="U46" s="3322"/>
      <c r="V46" s="3322">
        <f>I46</f>
        <v>0</v>
      </c>
      <c r="W46" s="3322"/>
      <c r="X46" s="697"/>
      <c r="Y46" s="719"/>
      <c r="Z46" s="697"/>
      <c r="AA46" s="697"/>
      <c r="AB46" s="697"/>
      <c r="AC46" s="697"/>
    </row>
    <row r="47" spans="1:29" ht="15.75" thickBot="1">
      <c r="A47" s="445" t="s">
        <v>2489</v>
      </c>
      <c r="B47" s="638"/>
      <c r="C47" s="448" t="e">
        <f>R48</f>
        <v>#DIV/0!</v>
      </c>
      <c r="D47" s="2528" t="s">
        <v>2876</v>
      </c>
      <c r="E47" s="448" t="e">
        <f>R47</f>
        <v>#DIV/0!</v>
      </c>
      <c r="F47" s="2529"/>
      <c r="G47" s="447" t="e">
        <f>T47</f>
        <v>#DIV/0!</v>
      </c>
      <c r="H47" s="2529"/>
      <c r="I47" s="448" t="e">
        <f>V47</f>
        <v>#DIV/0!</v>
      </c>
      <c r="J47" s="2529"/>
      <c r="K47" s="2531">
        <f>F47+H47+J47</f>
        <v>0</v>
      </c>
      <c r="L47" s="2934"/>
      <c r="M47" s="2935"/>
      <c r="N47" s="2935"/>
      <c r="O47" s="2935"/>
      <c r="P47" s="3327" t="str">
        <f>A47</f>
        <v>比较价值（元/平方米）</v>
      </c>
      <c r="Q47" s="3327"/>
      <c r="R47" s="3382" t="e">
        <f>ROUND(PRODUCT(R46,AA7:AA45),0)</f>
        <v>#DIV/0!</v>
      </c>
      <c r="S47" s="3382"/>
      <c r="T47" s="3382" t="e">
        <f>ROUND(PRODUCT(T46,AB7:AB45),0)</f>
        <v>#DIV/0!</v>
      </c>
      <c r="U47" s="3382"/>
      <c r="V47" s="3382" t="e">
        <f>ROUND(PRODUCT(V46,AC7:AC45),0)</f>
        <v>#DIV/0!</v>
      </c>
      <c r="W47" s="3382"/>
      <c r="X47" s="697"/>
      <c r="Y47" s="697"/>
      <c r="Z47" s="697"/>
      <c r="AA47" s="697"/>
      <c r="AB47" s="697"/>
      <c r="AC47" s="697"/>
    </row>
    <row r="48" spans="1:29" ht="15.75" thickBot="1">
      <c r="A48" s="449" t="s">
        <v>2577</v>
      </c>
      <c r="B48" s="450"/>
      <c r="C48" s="451" t="e">
        <f>R48</f>
        <v>#DIV/0!</v>
      </c>
      <c r="D48" s="451"/>
      <c r="E48" s="451"/>
      <c r="F48" s="451"/>
      <c r="G48" s="451"/>
      <c r="H48" s="451"/>
      <c r="I48" s="451"/>
      <c r="J48" s="451"/>
      <c r="K48" s="722"/>
      <c r="L48" s="2934"/>
      <c r="M48" s="2935"/>
      <c r="N48" s="2935"/>
      <c r="O48" s="2935"/>
      <c r="P48" s="3324" t="str">
        <f>A48</f>
        <v>估价对象XX用房的比较价值（楼面单价，元/平方米）</v>
      </c>
      <c r="Q48" s="3325"/>
      <c r="R48" s="3383" t="e">
        <f>ROUND(IF(D47="简单平均",AVERAGE(R47:W47),R47*F47+T47*H47+V47*J47),0)</f>
        <v>#DIV/0!</v>
      </c>
      <c r="S48" s="3383"/>
      <c r="T48" s="3383"/>
      <c r="U48" s="3383"/>
      <c r="V48" s="3383"/>
      <c r="W48" s="3383"/>
      <c r="X48" s="697"/>
      <c r="Y48" s="697"/>
      <c r="Z48" s="697"/>
      <c r="AA48" s="697"/>
      <c r="AB48" s="697"/>
      <c r="AC48" s="697"/>
    </row>
    <row r="49" spans="1:29">
      <c r="A49" s="2935"/>
      <c r="B49" s="2935"/>
      <c r="C49" s="2935"/>
      <c r="D49" s="2935"/>
      <c r="E49" s="2935"/>
      <c r="F49" s="2935"/>
      <c r="G49" s="2939"/>
      <c r="H49" s="2935"/>
      <c r="I49" s="2935"/>
      <c r="J49" s="2935"/>
      <c r="K49" s="2940"/>
      <c r="L49" s="2936"/>
      <c r="M49" s="2935"/>
      <c r="N49" s="2935"/>
      <c r="O49" s="2935"/>
      <c r="P49" s="2935"/>
      <c r="Q49" s="2935"/>
      <c r="R49" s="2935"/>
      <c r="S49" s="2935"/>
      <c r="T49" s="2935"/>
      <c r="U49" s="2935"/>
      <c r="V49" s="2935"/>
      <c r="W49" s="2935"/>
      <c r="X49" s="2935"/>
      <c r="Y49" s="2935"/>
      <c r="Z49" s="2935"/>
      <c r="AA49" s="2935"/>
      <c r="AB49" s="2935"/>
      <c r="AC49" s="2935"/>
    </row>
    <row r="50" spans="1:29">
      <c r="A50" s="2935"/>
      <c r="B50" s="2935"/>
      <c r="C50" s="2935"/>
      <c r="D50" s="2935"/>
      <c r="E50" s="2935"/>
      <c r="F50" s="2935"/>
      <c r="G50" s="2935"/>
      <c r="H50" s="2935"/>
      <c r="I50" s="2935"/>
      <c r="J50" s="2935"/>
      <c r="K50" s="2940"/>
      <c r="L50" s="2936"/>
      <c r="M50" s="2935"/>
      <c r="N50" s="2935"/>
      <c r="O50" s="2935"/>
      <c r="P50" s="2935"/>
      <c r="Q50" s="2935"/>
      <c r="R50" s="2935"/>
      <c r="S50" s="2935"/>
      <c r="T50" s="2935"/>
      <c r="U50" s="2935"/>
      <c r="V50" s="2935"/>
      <c r="W50" s="2935"/>
      <c r="X50" s="2935"/>
      <c r="Y50" s="2935"/>
      <c r="Z50" s="2935"/>
      <c r="AA50" s="2935"/>
      <c r="AB50" s="2935"/>
      <c r="AC50" s="2935"/>
    </row>
    <row r="51" spans="1:29" ht="13.5" customHeight="1">
      <c r="A51" s="2935"/>
      <c r="B51" s="2935"/>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0"/>
      <c r="L51" s="2936"/>
      <c r="M51" s="2935"/>
      <c r="N51" s="2935"/>
      <c r="O51" s="2935"/>
      <c r="P51" s="2935"/>
      <c r="Q51" s="2935"/>
      <c r="R51" s="2935"/>
      <c r="S51" s="2935"/>
      <c r="T51" s="2935"/>
      <c r="U51" s="2935"/>
      <c r="V51" s="2935"/>
      <c r="W51" s="2935"/>
      <c r="X51" s="2935"/>
      <c r="Y51" s="2935"/>
      <c r="Z51" s="2935"/>
      <c r="AA51" s="2935"/>
      <c r="AB51" s="2935"/>
      <c r="AC51" s="2935"/>
    </row>
    <row r="52" spans="1:29" ht="13.5" customHeight="1">
      <c r="A52" s="2935"/>
      <c r="B52" s="2935"/>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0"/>
      <c r="L52" s="2936"/>
      <c r="M52" s="2935"/>
      <c r="N52" s="2935"/>
      <c r="O52" s="2935"/>
      <c r="P52" s="2935"/>
      <c r="Q52" s="2935"/>
      <c r="R52" s="2935"/>
      <c r="S52" s="2935"/>
      <c r="T52" s="2935"/>
      <c r="U52" s="2935"/>
      <c r="V52" s="2935"/>
      <c r="W52" s="2935"/>
      <c r="X52" s="2935"/>
      <c r="Y52" s="2935"/>
      <c r="Z52" s="2935"/>
      <c r="AA52" s="2935"/>
      <c r="AB52" s="2935"/>
      <c r="AC52" s="2935"/>
    </row>
    <row r="53" spans="1:29" s="459" customFormat="1" ht="13.5" customHeight="1">
      <c r="A53" s="2938"/>
      <c r="B53" s="2938"/>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3"/>
      <c r="L53" s="2937"/>
      <c r="M53" s="2938"/>
      <c r="N53" s="2938"/>
      <c r="O53" s="2938"/>
      <c r="P53" s="2938"/>
      <c r="Q53" s="2938"/>
      <c r="R53" s="2938"/>
      <c r="S53" s="2938"/>
      <c r="T53" s="2938"/>
      <c r="U53" s="2938"/>
      <c r="V53" s="2938"/>
      <c r="W53" s="2938"/>
      <c r="X53" s="2938"/>
      <c r="Y53" s="2938"/>
      <c r="Z53" s="2938"/>
      <c r="AA53" s="2938"/>
      <c r="AB53" s="2938"/>
      <c r="AC53" s="2938"/>
    </row>
    <row r="54" spans="1:29" s="459" customFormat="1" ht="15" thickBot="1">
      <c r="A54" s="2938"/>
      <c r="B54" s="2941"/>
      <c r="C54" s="700"/>
      <c r="D54" s="698"/>
      <c r="E54" s="698"/>
      <c r="F54" s="698"/>
      <c r="G54" s="698"/>
      <c r="H54" s="698"/>
      <c r="I54" s="698"/>
      <c r="J54" s="698"/>
      <c r="K54" s="2943"/>
      <c r="L54" s="2937"/>
      <c r="M54" s="2938"/>
      <c r="N54" s="2938"/>
      <c r="O54" s="2938"/>
      <c r="P54" s="2938"/>
      <c r="Q54" s="2938"/>
      <c r="R54" s="2938"/>
      <c r="S54" s="2938"/>
      <c r="T54" s="2938"/>
      <c r="U54" s="2938"/>
      <c r="V54" s="2938"/>
      <c r="W54" s="2938"/>
      <c r="X54" s="2938"/>
      <c r="Y54" s="2938"/>
      <c r="Z54" s="2938"/>
      <c r="AA54" s="2938"/>
      <c r="AB54" s="2938"/>
      <c r="AC54" s="2938"/>
    </row>
    <row r="55" spans="1:29" ht="27" customHeight="1">
      <c r="A55" s="639" t="s">
        <v>2578</v>
      </c>
      <c r="B55" s="640" t="s">
        <v>2579</v>
      </c>
      <c r="C55" s="2159" t="s">
        <v>2580</v>
      </c>
      <c r="D55" s="2160" t="s">
        <v>2581</v>
      </c>
      <c r="E55" s="641" t="s">
        <v>2582</v>
      </c>
      <c r="F55" s="1019" t="s">
        <v>2583</v>
      </c>
      <c r="G55" s="3310" t="s">
        <v>2584</v>
      </c>
      <c r="H55" s="3384"/>
      <c r="I55" s="140" t="s">
        <v>2585</v>
      </c>
      <c r="J55" s="2161" t="str">
        <f>项目基本情况!F35</f>
        <v>山西省</v>
      </c>
      <c r="K55" s="2162" t="s">
        <v>2586</v>
      </c>
      <c r="L55" s="2936"/>
      <c r="M55" s="2935"/>
      <c r="N55" s="2935"/>
      <c r="O55" s="2935"/>
      <c r="P55" s="2935"/>
      <c r="Q55" s="2935"/>
      <c r="R55" s="2935"/>
      <c r="S55" s="2935"/>
      <c r="T55" s="2935"/>
      <c r="U55" s="2935"/>
      <c r="V55" s="2935"/>
      <c r="W55" s="2935"/>
      <c r="X55" s="2935"/>
      <c r="Y55" s="2935"/>
      <c r="Z55" s="2935"/>
      <c r="AA55" s="2935"/>
      <c r="AB55" s="2935"/>
      <c r="AC55" s="2935"/>
    </row>
    <row r="56" spans="1:29" s="647" customFormat="1">
      <c r="A56" s="643" t="s">
        <v>2587</v>
      </c>
      <c r="B56" s="644" t="e">
        <f>C48</f>
        <v>#DIV/0!</v>
      </c>
      <c r="C56" s="645">
        <v>1</v>
      </c>
      <c r="D56" s="1072">
        <v>1</v>
      </c>
      <c r="E56" s="645">
        <f>'数据-汇总表'!E8+'数据-汇总表'!E9</f>
        <v>1954.06</v>
      </c>
      <c r="F56" s="1015" t="e">
        <f t="shared" ref="F56:F65" si="15">ROUND(B56*E56/10000,0)</f>
        <v>#DIV/0!</v>
      </c>
      <c r="G56" s="3309"/>
      <c r="H56" s="3327"/>
      <c r="I56" s="1020">
        <v>1</v>
      </c>
      <c r="J56" s="1023">
        <v>1</v>
      </c>
      <c r="K56" s="2938"/>
      <c r="L56" s="2992"/>
      <c r="M56" s="2992"/>
      <c r="N56" s="2992"/>
      <c r="O56" s="2992"/>
      <c r="P56" s="2992"/>
      <c r="Q56" s="2992"/>
      <c r="R56" s="2992"/>
      <c r="S56" s="2992"/>
      <c r="T56" s="2992"/>
      <c r="U56" s="2992"/>
      <c r="V56" s="2992"/>
      <c r="W56" s="2992"/>
      <c r="X56" s="2992"/>
      <c r="Y56" s="2992"/>
      <c r="Z56" s="2992"/>
      <c r="AA56" s="2992"/>
      <c r="AB56" s="2992"/>
      <c r="AC56" s="2992"/>
    </row>
    <row r="57" spans="1:29" s="647" customFormat="1">
      <c r="A57" s="648" t="s">
        <v>2588</v>
      </c>
      <c r="B57" s="224" t="e">
        <f>ROUND($C$48*C57*D57,0)</f>
        <v>#DIV/0!</v>
      </c>
      <c r="C57" s="176">
        <f t="shared" ref="C57:C65" si="16">IF($C$55="北京市系数",I57,J57)</f>
        <v>0</v>
      </c>
      <c r="D57" s="1073">
        <v>0.25</v>
      </c>
      <c r="E57" s="649"/>
      <c r="F57" s="1015" t="e">
        <f t="shared" si="15"/>
        <v>#DIV/0!</v>
      </c>
      <c r="G57" s="3385" t="s">
        <v>2589</v>
      </c>
      <c r="H57" s="1016">
        <f>项目基本情况!B37</f>
        <v>0</v>
      </c>
      <c r="I57" s="1020">
        <f>SUMIF(修正!A45:A56,H57,修正!B45:B56)</f>
        <v>0</v>
      </c>
      <c r="J57" s="1024"/>
      <c r="K57" s="2935"/>
      <c r="L57" s="2992"/>
      <c r="M57" s="2992"/>
      <c r="N57" s="2992"/>
      <c r="O57" s="2992"/>
      <c r="P57" s="2992"/>
      <c r="Q57" s="2992"/>
      <c r="R57" s="2992"/>
      <c r="S57" s="2992"/>
      <c r="T57" s="2992"/>
      <c r="U57" s="2992"/>
      <c r="V57" s="2992"/>
      <c r="W57" s="2992"/>
      <c r="X57" s="2992"/>
      <c r="Y57" s="2992"/>
      <c r="Z57" s="2992"/>
      <c r="AA57" s="2992"/>
      <c r="AB57" s="2992"/>
      <c r="AC57" s="2992"/>
    </row>
    <row r="58" spans="1:29" s="647" customFormat="1">
      <c r="A58" s="648" t="s">
        <v>2590</v>
      </c>
      <c r="B58" s="224" t="e">
        <f t="shared" ref="B58:B65" si="17">ROUND($C$48*C58*D58,0)</f>
        <v>#DIV/0!</v>
      </c>
      <c r="C58" s="176">
        <f t="shared" si="16"/>
        <v>0</v>
      </c>
      <c r="D58" s="1073">
        <v>0.25</v>
      </c>
      <c r="E58" s="649"/>
      <c r="F58" s="1015" t="e">
        <f t="shared" si="15"/>
        <v>#DIV/0!</v>
      </c>
      <c r="G58" s="3385"/>
      <c r="H58" s="1016">
        <f>项目基本情况!B37</f>
        <v>0</v>
      </c>
      <c r="I58" s="1020">
        <f>SUMIF(修正!A45:A56,H58,修正!C45:C56)</f>
        <v>0</v>
      </c>
      <c r="J58" s="1024"/>
      <c r="K58" s="2938"/>
      <c r="L58" s="2992"/>
      <c r="M58" s="2992"/>
      <c r="N58" s="2992"/>
      <c r="O58" s="2992"/>
      <c r="P58" s="2992"/>
      <c r="Q58" s="2992"/>
      <c r="R58" s="2992"/>
      <c r="S58" s="2992"/>
      <c r="T58" s="2992"/>
      <c r="U58" s="2992"/>
      <c r="V58" s="2992"/>
      <c r="W58" s="2992"/>
      <c r="X58" s="2992"/>
      <c r="Y58" s="2992"/>
      <c r="Z58" s="2992"/>
      <c r="AA58" s="2992"/>
      <c r="AB58" s="2992"/>
      <c r="AC58" s="2992"/>
    </row>
    <row r="59" spans="1:29" s="647" customFormat="1">
      <c r="A59" s="648" t="s">
        <v>2591</v>
      </c>
      <c r="B59" s="224" t="e">
        <f t="shared" si="17"/>
        <v>#DIV/0!</v>
      </c>
      <c r="C59" s="176">
        <f t="shared" si="16"/>
        <v>0</v>
      </c>
      <c r="D59" s="1073">
        <v>0.25</v>
      </c>
      <c r="E59" s="649"/>
      <c r="F59" s="1015" t="e">
        <f t="shared" si="15"/>
        <v>#DIV/0!</v>
      </c>
      <c r="G59" s="3385"/>
      <c r="H59" s="1016">
        <f>项目基本情况!B37</f>
        <v>0</v>
      </c>
      <c r="I59" s="1020">
        <f>SUMIF(修正!A45:A56,H59,修正!D45:D56)</f>
        <v>0</v>
      </c>
      <c r="J59" s="1024"/>
      <c r="K59" s="2935"/>
      <c r="L59" s="2992"/>
      <c r="M59" s="2992"/>
      <c r="N59" s="2992"/>
      <c r="O59" s="2992"/>
      <c r="P59" s="2992"/>
      <c r="Q59" s="2992"/>
      <c r="R59" s="2992"/>
      <c r="S59" s="2992"/>
      <c r="T59" s="2992"/>
      <c r="U59" s="2992"/>
      <c r="V59" s="2992"/>
      <c r="W59" s="2992"/>
      <c r="X59" s="2992"/>
      <c r="Y59" s="2992"/>
      <c r="Z59" s="2992"/>
      <c r="AA59" s="2992"/>
      <c r="AB59" s="2992"/>
      <c r="AC59" s="2992"/>
    </row>
    <row r="60" spans="1:29" s="647" customFormat="1">
      <c r="A60" s="648" t="s">
        <v>2592</v>
      </c>
      <c r="B60" s="224" t="e">
        <f t="shared" si="17"/>
        <v>#DIV/0!</v>
      </c>
      <c r="C60" s="176">
        <f t="shared" si="16"/>
        <v>0</v>
      </c>
      <c r="D60" s="1073">
        <v>0.25</v>
      </c>
      <c r="E60" s="649"/>
      <c r="F60" s="1015" t="e">
        <f t="shared" si="15"/>
        <v>#DIV/0!</v>
      </c>
      <c r="G60" s="3385"/>
      <c r="H60" s="1016">
        <f>项目基本情况!B37</f>
        <v>0</v>
      </c>
      <c r="I60" s="1020">
        <f>SUMIF(修正!A45:A56,H60,修正!E45:E56)</f>
        <v>0</v>
      </c>
      <c r="J60" s="1024"/>
      <c r="K60" s="2938"/>
      <c r="L60" s="2992"/>
      <c r="M60" s="2992"/>
      <c r="N60" s="2992"/>
      <c r="O60" s="2992"/>
      <c r="P60" s="2992"/>
      <c r="Q60" s="2992"/>
      <c r="R60" s="2992"/>
      <c r="S60" s="2992"/>
      <c r="T60" s="2992"/>
      <c r="U60" s="2992"/>
      <c r="V60" s="2992"/>
      <c r="W60" s="2992"/>
      <c r="X60" s="2992"/>
      <c r="Y60" s="2992"/>
      <c r="Z60" s="2992"/>
      <c r="AA60" s="2992"/>
      <c r="AB60" s="2992"/>
      <c r="AC60" s="2992"/>
    </row>
    <row r="61" spans="1:29" s="647" customFormat="1">
      <c r="A61" s="648" t="s">
        <v>2593</v>
      </c>
      <c r="B61" s="224" t="e">
        <f t="shared" si="17"/>
        <v>#DIV/0!</v>
      </c>
      <c r="C61" s="176">
        <f t="shared" si="16"/>
        <v>0</v>
      </c>
      <c r="D61" s="1073">
        <v>0.25</v>
      </c>
      <c r="E61" s="223">
        <f>'数据-汇总表'!E11</f>
        <v>0</v>
      </c>
      <c r="F61" s="1015" t="e">
        <f t="shared" si="15"/>
        <v>#DIV/0!</v>
      </c>
      <c r="G61" s="2163" t="s">
        <v>2594</v>
      </c>
      <c r="H61" s="1016">
        <f>项目基本情况!C37</f>
        <v>0</v>
      </c>
      <c r="I61" s="1020">
        <f>SUMIF(修正!A45:A56,H61,修正!F45:F56)</f>
        <v>0</v>
      </c>
      <c r="J61" s="1024"/>
      <c r="K61" s="2935"/>
      <c r="L61" s="2992"/>
      <c r="M61" s="2992"/>
      <c r="N61" s="2992"/>
      <c r="O61" s="2992"/>
      <c r="P61" s="2992"/>
      <c r="Q61" s="2992"/>
      <c r="R61" s="2992"/>
      <c r="S61" s="2992"/>
      <c r="T61" s="2992"/>
      <c r="U61" s="2992"/>
      <c r="V61" s="2992"/>
      <c r="W61" s="2992"/>
      <c r="X61" s="2992"/>
      <c r="Y61" s="2992"/>
      <c r="Z61" s="2992"/>
      <c r="AA61" s="2992"/>
      <c r="AB61" s="2992"/>
      <c r="AC61" s="2992"/>
    </row>
    <row r="62" spans="1:29" s="647" customFormat="1">
      <c r="A62" s="648" t="s">
        <v>2595</v>
      </c>
      <c r="B62" s="224" t="e">
        <f t="shared" si="17"/>
        <v>#DIV/0!</v>
      </c>
      <c r="C62" s="176">
        <f t="shared" si="16"/>
        <v>0</v>
      </c>
      <c r="D62" s="1073">
        <v>0.25</v>
      </c>
      <c r="E62" s="223">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38"/>
      <c r="L62" s="2992"/>
      <c r="M62" s="2992"/>
      <c r="N62" s="2992"/>
      <c r="O62" s="2992"/>
      <c r="P62" s="2992"/>
      <c r="Q62" s="2992"/>
      <c r="R62" s="2992"/>
      <c r="S62" s="2992"/>
      <c r="T62" s="2992"/>
      <c r="U62" s="2992"/>
      <c r="V62" s="2992"/>
      <c r="W62" s="2992"/>
      <c r="X62" s="2992"/>
      <c r="Y62" s="2992"/>
      <c r="Z62" s="2992"/>
      <c r="AA62" s="2992"/>
      <c r="AB62" s="2992"/>
      <c r="AC62" s="2992"/>
    </row>
    <row r="63" spans="1:29" s="647" customFormat="1">
      <c r="A63" s="648" t="s">
        <v>2597</v>
      </c>
      <c r="B63" s="224" t="e">
        <f t="shared" si="17"/>
        <v>#DIV/0!</v>
      </c>
      <c r="C63" s="176">
        <f t="shared" si="16"/>
        <v>0</v>
      </c>
      <c r="D63" s="1073">
        <v>0.25</v>
      </c>
      <c r="E63" s="223">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35"/>
      <c r="L63" s="2992"/>
      <c r="M63" s="2992"/>
      <c r="N63" s="2992"/>
      <c r="O63" s="2992"/>
      <c r="P63" s="2992"/>
      <c r="Q63" s="2992"/>
      <c r="R63" s="2992"/>
      <c r="S63" s="2992"/>
      <c r="T63" s="2992"/>
      <c r="U63" s="2992"/>
      <c r="V63" s="2992"/>
      <c r="W63" s="2992"/>
      <c r="X63" s="2992"/>
      <c r="Y63" s="2992"/>
      <c r="Z63" s="2992"/>
      <c r="AA63" s="2992"/>
      <c r="AB63" s="2992"/>
      <c r="AC63" s="2992"/>
    </row>
    <row r="64" spans="1:29" s="647" customFormat="1">
      <c r="A64" s="648" t="s">
        <v>2599</v>
      </c>
      <c r="B64" s="224" t="e">
        <f t="shared" si="17"/>
        <v>#DIV/0!</v>
      </c>
      <c r="C64" s="176">
        <f t="shared" si="16"/>
        <v>0</v>
      </c>
      <c r="D64" s="1073">
        <v>0.25</v>
      </c>
      <c r="E64" s="223">
        <f>'数据-汇总表'!E14</f>
        <v>0</v>
      </c>
      <c r="F64" s="1015" t="e">
        <f t="shared" si="15"/>
        <v>#DIV/0!</v>
      </c>
      <c r="G64" s="2163" t="s">
        <v>2589</v>
      </c>
      <c r="H64" s="1016">
        <f>项目基本情况!B37</f>
        <v>0</v>
      </c>
      <c r="I64" s="1020">
        <f>SUMIF(修正!A45:A56,H64,修正!H45:H56)</f>
        <v>0</v>
      </c>
      <c r="J64" s="1024"/>
      <c r="K64" s="2938"/>
      <c r="L64" s="2992"/>
      <c r="M64" s="2992"/>
      <c r="N64" s="2992"/>
      <c r="O64" s="2992"/>
      <c r="P64" s="2992"/>
      <c r="Q64" s="2992"/>
      <c r="R64" s="2992"/>
      <c r="S64" s="2992"/>
      <c r="T64" s="2992"/>
      <c r="U64" s="2992"/>
      <c r="V64" s="2992"/>
      <c r="W64" s="2992"/>
      <c r="X64" s="2992"/>
      <c r="Y64" s="2992"/>
      <c r="Z64" s="2992"/>
      <c r="AA64" s="2992"/>
      <c r="AB64" s="2992"/>
      <c r="AC64" s="2992"/>
    </row>
    <row r="65" spans="1:29" s="647" customFormat="1" ht="15" thickBot="1">
      <c r="A65" s="648" t="s">
        <v>2600</v>
      </c>
      <c r="B65" s="224" t="e">
        <f t="shared" si="17"/>
        <v>#DIV/0!</v>
      </c>
      <c r="C65" s="176">
        <f t="shared" si="16"/>
        <v>0</v>
      </c>
      <c r="D65" s="1073">
        <v>0.25</v>
      </c>
      <c r="E65" s="223">
        <f>'数据-汇总表'!E15</f>
        <v>0</v>
      </c>
      <c r="F65" s="1015" t="e">
        <f t="shared" si="15"/>
        <v>#DIV/0!</v>
      </c>
      <c r="G65" s="2164" t="s">
        <v>2594</v>
      </c>
      <c r="H65" s="1026">
        <f>项目基本情况!C37</f>
        <v>0</v>
      </c>
      <c r="I65" s="1022">
        <f>SUMIF(修正!A45:A56,H65,修正!H45:H56)</f>
        <v>0</v>
      </c>
      <c r="J65" s="1025"/>
      <c r="K65" s="2935"/>
      <c r="L65" s="2992"/>
      <c r="M65" s="2992"/>
      <c r="N65" s="2992"/>
      <c r="O65" s="2992"/>
      <c r="P65" s="2992"/>
      <c r="Q65" s="2992"/>
      <c r="R65" s="2992"/>
      <c r="S65" s="2992"/>
      <c r="T65" s="2992"/>
      <c r="U65" s="2992"/>
      <c r="V65" s="2992"/>
      <c r="W65" s="2992"/>
      <c r="X65" s="2992"/>
      <c r="Y65" s="2992"/>
      <c r="Z65" s="2992"/>
      <c r="AA65" s="2992"/>
      <c r="AB65" s="2992"/>
      <c r="AC65" s="2992"/>
    </row>
    <row r="66" spans="1:29" s="647" customFormat="1" ht="13.5" thickBot="1">
      <c r="A66" s="650" t="s">
        <v>2601</v>
      </c>
      <c r="B66" s="651" t="s">
        <v>28</v>
      </c>
      <c r="C66" s="651" t="s">
        <v>29</v>
      </c>
      <c r="D66" s="651" t="s">
        <v>997</v>
      </c>
      <c r="E66" s="651">
        <f>IF(B46="楼面地价",SUM(E56:E65),'数据-汇总表'!D3)</f>
        <v>1954.06</v>
      </c>
      <c r="F66" s="652" t="e">
        <f>IF(B46="楼面地价",SUM(F56:F65),ROUND(C48*E66/10000,0))</f>
        <v>#DIV/0!</v>
      </c>
      <c r="G66" s="724"/>
      <c r="H66" s="724"/>
      <c r="I66" s="724"/>
      <c r="J66" s="724"/>
      <c r="K66" s="2993"/>
      <c r="L66" s="2992"/>
      <c r="M66" s="2992"/>
      <c r="N66" s="2992"/>
      <c r="O66" s="2992"/>
      <c r="P66" s="2992"/>
      <c r="Q66" s="2992"/>
      <c r="R66" s="2992"/>
      <c r="S66" s="2992"/>
      <c r="T66" s="2992"/>
      <c r="U66" s="2992"/>
      <c r="V66" s="2992"/>
      <c r="W66" s="2992"/>
      <c r="X66" s="2992"/>
      <c r="Y66" s="2992"/>
      <c r="Z66" s="2992"/>
      <c r="AA66" s="2992"/>
      <c r="AB66" s="2992"/>
      <c r="AC66" s="2992"/>
    </row>
    <row r="67" spans="1:29">
      <c r="A67" s="697"/>
      <c r="B67" s="699"/>
      <c r="C67" s="700"/>
      <c r="D67" s="697"/>
      <c r="E67" s="697"/>
      <c r="F67" s="697"/>
      <c r="G67" s="697"/>
      <c r="H67" s="697"/>
      <c r="I67" s="697"/>
      <c r="J67" s="1055"/>
      <c r="K67" s="1017"/>
      <c r="L67" s="1018"/>
      <c r="M67" s="1055"/>
      <c r="N67" s="1055"/>
      <c r="O67" s="1055"/>
      <c r="P67" s="2935"/>
      <c r="Q67" s="2935"/>
      <c r="R67" s="2935"/>
      <c r="S67" s="2935"/>
      <c r="T67" s="2935"/>
      <c r="U67" s="2935"/>
      <c r="V67" s="2935"/>
      <c r="W67" s="2935"/>
      <c r="X67" s="2935"/>
      <c r="Y67" s="2935"/>
      <c r="Z67" s="2935"/>
      <c r="AA67" s="2935"/>
      <c r="AB67" s="2935"/>
      <c r="AC67" s="2935"/>
    </row>
    <row r="68" spans="1:29">
      <c r="A68" s="697"/>
      <c r="B68" s="699"/>
      <c r="C68" s="699" t="str">
        <f>YEAR(C7)&amp;"-"&amp;MONTH(C7)&amp;"-1"</f>
        <v>2021-5-1</v>
      </c>
      <c r="D68" s="699">
        <f>EDATE(C68,-3)</f>
        <v>44228</v>
      </c>
      <c r="E68" s="699">
        <f>EDATE(D68,-3)</f>
        <v>44136</v>
      </c>
      <c r="F68" s="699">
        <f t="shared" ref="F68:O68" si="18">EDATE(E68,-3)</f>
        <v>44044</v>
      </c>
      <c r="G68" s="699">
        <f t="shared" si="18"/>
        <v>43952</v>
      </c>
      <c r="H68" s="699">
        <f t="shared" si="18"/>
        <v>43862</v>
      </c>
      <c r="I68" s="699">
        <f t="shared" si="18"/>
        <v>43770</v>
      </c>
      <c r="J68" s="699">
        <f t="shared" si="18"/>
        <v>43678</v>
      </c>
      <c r="K68" s="699">
        <f t="shared" si="18"/>
        <v>43586</v>
      </c>
      <c r="L68" s="699">
        <f t="shared" si="18"/>
        <v>43497</v>
      </c>
      <c r="M68" s="699">
        <f t="shared" si="18"/>
        <v>43405</v>
      </c>
      <c r="N68" s="699">
        <f t="shared" si="18"/>
        <v>43313</v>
      </c>
      <c r="O68" s="699">
        <f t="shared" si="18"/>
        <v>43221</v>
      </c>
      <c r="P68" s="2935"/>
      <c r="Q68" s="2935"/>
      <c r="R68" s="2935"/>
      <c r="S68" s="2935"/>
      <c r="T68" s="2935"/>
      <c r="U68" s="2935"/>
      <c r="V68" s="2935"/>
      <c r="W68" s="2935"/>
      <c r="X68" s="2935"/>
      <c r="Y68" s="2935"/>
      <c r="Z68" s="2935"/>
      <c r="AA68" s="2935"/>
      <c r="AB68" s="2935"/>
      <c r="AC68" s="2935"/>
    </row>
    <row r="69" spans="1:29" ht="21.75" thickBot="1">
      <c r="A69" s="701" t="s">
        <v>2494</v>
      </c>
      <c r="B69" s="697"/>
      <c r="C69" s="702"/>
      <c r="D69" s="702"/>
      <c r="E69" s="702"/>
      <c r="F69" s="703"/>
      <c r="G69" s="703"/>
      <c r="H69" s="702"/>
      <c r="I69" s="702"/>
      <c r="J69" s="1068"/>
      <c r="K69" s="1069"/>
      <c r="L69" s="1070"/>
      <c r="M69" s="1068"/>
      <c r="N69" s="2979"/>
      <c r="O69" s="2979"/>
      <c r="P69" s="2979"/>
      <c r="Q69" s="2949"/>
      <c r="R69" s="2935"/>
      <c r="S69" s="2935"/>
      <c r="T69" s="2935"/>
      <c r="U69" s="2935"/>
      <c r="V69" s="2935"/>
      <c r="W69" s="2935"/>
      <c r="X69" s="2935"/>
      <c r="Y69" s="2935"/>
      <c r="Z69" s="2935"/>
      <c r="AA69" s="2935"/>
      <c r="AB69" s="2935"/>
      <c r="AC69" s="2935"/>
    </row>
    <row r="70" spans="1:29" s="465" customFormat="1" ht="15">
      <c r="A70" s="2165" t="s">
        <v>2602</v>
      </c>
      <c r="B70" s="1264"/>
      <c r="C70" s="1339" t="str">
        <f>YEAR(C68)&amp;"-"&amp;ROUNDUP(MONTH(C68)/3,0)</f>
        <v>2021-2</v>
      </c>
      <c r="D70" s="1339" t="str">
        <f>YEAR(D68)&amp;"-"&amp;ROUNDUP(MONTH(D68)/3,0)</f>
        <v>2021-1</v>
      </c>
      <c r="E70" s="1339" t="str">
        <f t="shared" ref="E70:O70" si="19">YEAR(E68)&amp;"-"&amp;ROUNDUP(MONTH(E68)/3,0)</f>
        <v>2020-4</v>
      </c>
      <c r="F70" s="1339" t="str">
        <f t="shared" si="19"/>
        <v>2020-3</v>
      </c>
      <c r="G70" s="1339" t="str">
        <f t="shared" si="19"/>
        <v>2020-2</v>
      </c>
      <c r="H70" s="1339" t="str">
        <f t="shared" si="19"/>
        <v>2020-1</v>
      </c>
      <c r="I70" s="1339" t="str">
        <f t="shared" si="19"/>
        <v>2019-4</v>
      </c>
      <c r="J70" s="1339" t="str">
        <f t="shared" si="19"/>
        <v>2019-3</v>
      </c>
      <c r="K70" s="1339" t="str">
        <f t="shared" si="19"/>
        <v>2019-2</v>
      </c>
      <c r="L70" s="1339" t="str">
        <f t="shared" si="19"/>
        <v>2019-1</v>
      </c>
      <c r="M70" s="1339" t="str">
        <f t="shared" si="19"/>
        <v>2018-4</v>
      </c>
      <c r="N70" s="1339" t="str">
        <f t="shared" si="19"/>
        <v>2018-3</v>
      </c>
      <c r="O70" s="1339" t="str">
        <f t="shared" si="19"/>
        <v>2018-2</v>
      </c>
      <c r="P70" s="2986"/>
      <c r="Q70" s="2951"/>
      <c r="R70" s="2951"/>
      <c r="S70" s="2951"/>
      <c r="T70" s="2951"/>
      <c r="U70" s="2951"/>
      <c r="V70" s="2951"/>
      <c r="W70" s="2951"/>
      <c r="X70" s="2951"/>
      <c r="Y70" s="2951"/>
      <c r="Z70" s="2951"/>
      <c r="AA70" s="2951"/>
      <c r="AB70" s="2951"/>
      <c r="AC70" s="2951"/>
    </row>
    <row r="71" spans="1:29" s="113" customFormat="1" ht="30" customHeight="1">
      <c r="A71" s="216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5"/>
      <c r="N71" s="552"/>
      <c r="O71" s="1336"/>
      <c r="P71" s="2949"/>
      <c r="Q71" s="2870"/>
      <c r="R71" s="2870"/>
      <c r="S71" s="2870"/>
      <c r="T71" s="2870"/>
      <c r="U71" s="2870"/>
      <c r="V71" s="2870"/>
      <c r="W71" s="2870"/>
      <c r="X71" s="2870"/>
      <c r="Y71" s="2870"/>
      <c r="Z71" s="2870"/>
      <c r="AA71" s="2870"/>
      <c r="AB71" s="2870"/>
      <c r="AC71" s="2870"/>
    </row>
    <row r="72" spans="1:29" s="113" customFormat="1" ht="15.75" thickBot="1">
      <c r="A72" s="472" t="s">
        <v>2405</v>
      </c>
      <c r="B72" s="473"/>
      <c r="C72" s="474"/>
      <c r="D72" s="475"/>
      <c r="E72" s="475"/>
      <c r="F72" s="475"/>
      <c r="G72" s="475"/>
      <c r="H72" s="475"/>
      <c r="I72" s="475"/>
      <c r="J72" s="475"/>
      <c r="K72" s="475"/>
      <c r="L72" s="475"/>
      <c r="M72" s="476"/>
      <c r="N72" s="475"/>
      <c r="O72" s="1071"/>
      <c r="P72" s="2949"/>
      <c r="Q72" s="2949"/>
      <c r="R72" s="2870"/>
      <c r="S72" s="2870"/>
      <c r="T72" s="2870"/>
      <c r="U72" s="2870"/>
      <c r="V72" s="2870"/>
      <c r="W72" s="2870"/>
      <c r="X72" s="2870"/>
      <c r="Y72" s="2870"/>
      <c r="Z72" s="2870"/>
      <c r="AA72" s="2870"/>
      <c r="AB72" s="2870"/>
      <c r="AC72" s="2870"/>
    </row>
    <row r="73" spans="1:29" s="113" customFormat="1" ht="15">
      <c r="A73" s="478" t="s">
        <v>2370</v>
      </c>
      <c r="B73" s="467"/>
      <c r="C73" s="479" t="s">
        <v>2472</v>
      </c>
      <c r="D73" s="480"/>
      <c r="E73" s="480"/>
      <c r="F73" s="480"/>
      <c r="G73" s="480"/>
      <c r="H73" s="480"/>
      <c r="I73" s="480"/>
      <c r="J73" s="480"/>
      <c r="K73" s="480"/>
      <c r="L73" s="481"/>
      <c r="M73" s="482"/>
      <c r="N73" s="2962"/>
      <c r="O73" s="2962"/>
      <c r="P73" s="2987"/>
      <c r="Q73" s="2949"/>
      <c r="R73" s="2870"/>
      <c r="S73" s="2870"/>
      <c r="T73" s="2870"/>
      <c r="U73" s="2870"/>
      <c r="V73" s="2870"/>
      <c r="W73" s="2870"/>
      <c r="X73" s="2870"/>
      <c r="Y73" s="2870"/>
      <c r="Z73" s="2870"/>
      <c r="AA73" s="2870"/>
      <c r="AB73" s="2870"/>
      <c r="AC73" s="2870"/>
    </row>
    <row r="74" spans="1:29" s="113" customFormat="1" ht="15.75" thickBot="1">
      <c r="A74" s="478"/>
      <c r="B74" s="467"/>
      <c r="C74" s="594">
        <v>100</v>
      </c>
      <c r="D74" s="469"/>
      <c r="E74" s="469"/>
      <c r="F74" s="469"/>
      <c r="G74" s="469"/>
      <c r="H74" s="469"/>
      <c r="I74" s="469"/>
      <c r="J74" s="469"/>
      <c r="K74" s="469"/>
      <c r="L74" s="469"/>
      <c r="M74" s="471"/>
      <c r="N74" s="2962"/>
      <c r="O74" s="2962"/>
      <c r="P74" s="2949"/>
      <c r="Q74" s="2949"/>
      <c r="R74" s="2870"/>
      <c r="S74" s="2870"/>
      <c r="T74" s="2870"/>
      <c r="U74" s="2870"/>
      <c r="V74" s="2870"/>
      <c r="W74" s="2870"/>
      <c r="X74" s="2870"/>
      <c r="Y74" s="2870"/>
      <c r="Z74" s="2870"/>
      <c r="AA74" s="2870"/>
      <c r="AB74" s="2870"/>
      <c r="AC74" s="2870"/>
    </row>
    <row r="75" spans="1:29">
      <c r="A75" s="484" t="s">
        <v>2408</v>
      </c>
      <c r="B75" s="485" t="s">
        <v>2374</v>
      </c>
      <c r="C75" s="487"/>
      <c r="D75" s="487"/>
      <c r="E75" s="487"/>
      <c r="F75" s="487"/>
      <c r="G75" s="487"/>
      <c r="H75" s="487"/>
      <c r="I75" s="487"/>
      <c r="J75" s="487"/>
      <c r="K75" s="488"/>
      <c r="L75" s="489"/>
      <c r="M75" s="490"/>
      <c r="N75" s="2963"/>
      <c r="O75" s="2963"/>
      <c r="P75" s="2988"/>
      <c r="Q75" s="2949"/>
      <c r="R75" s="2935"/>
      <c r="S75" s="2935"/>
      <c r="T75" s="2935"/>
      <c r="U75" s="2935"/>
      <c r="V75" s="2935"/>
      <c r="W75" s="2935"/>
      <c r="X75" s="2935"/>
      <c r="Y75" s="2935"/>
      <c r="Z75" s="2935"/>
      <c r="AA75" s="2935"/>
      <c r="AB75" s="2935"/>
      <c r="AC75" s="2935"/>
    </row>
    <row r="76" spans="1:29" ht="15.75" thickBot="1">
      <c r="A76" s="491"/>
      <c r="B76" s="492"/>
      <c r="C76" s="493"/>
      <c r="D76" s="493"/>
      <c r="E76" s="493"/>
      <c r="F76" s="493"/>
      <c r="G76" s="493"/>
      <c r="H76" s="493"/>
      <c r="I76" s="493"/>
      <c r="J76" s="493"/>
      <c r="K76" s="493"/>
      <c r="L76" s="493"/>
      <c r="M76" s="494"/>
      <c r="N76" s="2964"/>
      <c r="O76" s="2964"/>
      <c r="P76" s="2988"/>
      <c r="Q76" s="2949"/>
      <c r="R76" s="2935"/>
      <c r="S76" s="2935"/>
      <c r="T76" s="2935"/>
      <c r="U76" s="2935"/>
      <c r="V76" s="2935"/>
      <c r="W76" s="2935"/>
      <c r="X76" s="2935"/>
      <c r="Y76" s="2935"/>
      <c r="Z76" s="2935"/>
      <c r="AA76" s="2935"/>
      <c r="AB76" s="2935"/>
      <c r="AC76" s="2935"/>
    </row>
    <row r="77" spans="1:29" ht="27.75" thickTop="1">
      <c r="A77" s="491"/>
      <c r="B77" s="495" t="s">
        <v>2377</v>
      </c>
      <c r="C77" s="496"/>
      <c r="D77" s="496"/>
      <c r="E77" s="496"/>
      <c r="F77" s="496"/>
      <c r="G77" s="496"/>
      <c r="H77" s="496"/>
      <c r="I77" s="496"/>
      <c r="J77" s="496"/>
      <c r="K77" s="497"/>
      <c r="L77" s="498"/>
      <c r="M77" s="499"/>
      <c r="N77" s="2963"/>
      <c r="O77" s="2963"/>
      <c r="P77" s="2988"/>
      <c r="Q77" s="2949"/>
      <c r="R77" s="2935"/>
      <c r="S77" s="2935"/>
      <c r="T77" s="2935"/>
      <c r="U77" s="2935"/>
      <c r="V77" s="2935"/>
      <c r="W77" s="2935"/>
      <c r="X77" s="2935"/>
      <c r="Y77" s="2935"/>
      <c r="Z77" s="2935"/>
      <c r="AA77" s="2935"/>
      <c r="AB77" s="2935"/>
      <c r="AC77" s="2935"/>
    </row>
    <row r="78" spans="1:29" ht="15.75" thickBot="1">
      <c r="A78" s="491"/>
      <c r="B78" s="500"/>
      <c r="C78" s="501"/>
      <c r="D78" s="501"/>
      <c r="E78" s="501"/>
      <c r="F78" s="501"/>
      <c r="G78" s="501"/>
      <c r="H78" s="501"/>
      <c r="I78" s="501"/>
      <c r="J78" s="501"/>
      <c r="K78" s="501"/>
      <c r="L78" s="501"/>
      <c r="M78" s="502"/>
      <c r="N78" s="2964"/>
      <c r="O78" s="2964"/>
      <c r="P78" s="2988"/>
      <c r="Q78" s="2949"/>
      <c r="R78" s="2935"/>
      <c r="S78" s="2935"/>
      <c r="T78" s="2935"/>
      <c r="U78" s="2935"/>
      <c r="V78" s="2935"/>
      <c r="W78" s="2935"/>
      <c r="X78" s="2935"/>
      <c r="Y78" s="2935"/>
      <c r="Z78" s="2935"/>
      <c r="AA78" s="2935"/>
      <c r="AB78" s="2935"/>
      <c r="AC78" s="2935"/>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4"/>
      <c r="O79" s="2964"/>
      <c r="P79" s="2988"/>
      <c r="Q79" s="2949"/>
      <c r="R79" s="2935"/>
      <c r="S79" s="2935"/>
      <c r="T79" s="2935"/>
      <c r="U79" s="2935"/>
      <c r="V79" s="2935"/>
      <c r="W79" s="2935"/>
      <c r="X79" s="2935"/>
      <c r="Y79" s="2935"/>
      <c r="Z79" s="2935"/>
      <c r="AA79" s="2935"/>
      <c r="AB79" s="2935"/>
      <c r="AC79" s="2935"/>
    </row>
    <row r="80" spans="1:29" ht="15">
      <c r="A80" s="491"/>
      <c r="B80" s="505"/>
      <c r="C80" s="506"/>
      <c r="D80" s="506"/>
      <c r="E80" s="506"/>
      <c r="F80" s="506"/>
      <c r="G80" s="506"/>
      <c r="H80" s="506"/>
      <c r="I80" s="506"/>
      <c r="J80" s="506"/>
      <c r="K80" s="507"/>
      <c r="L80" s="508"/>
      <c r="M80" s="509"/>
      <c r="N80" s="2963"/>
      <c r="O80" s="2963"/>
      <c r="P80" s="2988"/>
      <c r="Q80" s="2949"/>
      <c r="R80" s="2935"/>
      <c r="S80" s="2935"/>
      <c r="T80" s="2935"/>
      <c r="U80" s="2935"/>
      <c r="V80" s="2935"/>
      <c r="W80" s="2935"/>
      <c r="X80" s="2935"/>
      <c r="Y80" s="2935"/>
      <c r="Z80" s="2935"/>
      <c r="AA80" s="2935"/>
      <c r="AB80" s="2935"/>
      <c r="AC80" s="293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4"/>
      <c r="O81" s="2964"/>
      <c r="P81" s="2988"/>
      <c r="Q81" s="2949"/>
      <c r="R81" s="2935"/>
      <c r="S81" s="2935"/>
      <c r="T81" s="2935"/>
      <c r="U81" s="2935"/>
      <c r="V81" s="2935"/>
      <c r="W81" s="2935"/>
      <c r="X81" s="2935"/>
      <c r="Y81" s="2935"/>
      <c r="Z81" s="2935"/>
      <c r="AA81" s="2935"/>
      <c r="AB81" s="2935"/>
      <c r="AC81" s="2935"/>
    </row>
    <row r="82" spans="1:29" s="430" customFormat="1" ht="15.75" thickTop="1">
      <c r="A82" s="510"/>
      <c r="B82" s="495" t="str">
        <f>B12</f>
        <v>配建</v>
      </c>
      <c r="C82" s="511"/>
      <c r="D82" s="511"/>
      <c r="E82" s="511"/>
      <c r="F82" s="511"/>
      <c r="G82" s="511"/>
      <c r="H82" s="512"/>
      <c r="I82" s="512"/>
      <c r="J82" s="512"/>
      <c r="K82" s="512"/>
      <c r="L82" s="513"/>
      <c r="M82" s="514"/>
      <c r="N82" s="2965"/>
      <c r="O82" s="2965"/>
      <c r="P82" s="2989"/>
      <c r="Q82" s="2956"/>
      <c r="R82" s="2957"/>
      <c r="S82" s="2957"/>
      <c r="T82" s="2957"/>
      <c r="U82" s="2957"/>
      <c r="V82" s="2957"/>
      <c r="W82" s="2957"/>
      <c r="X82" s="2957"/>
      <c r="Y82" s="2957"/>
      <c r="Z82" s="2957"/>
      <c r="AA82" s="2957"/>
      <c r="AB82" s="2957"/>
      <c r="AC82" s="2957"/>
    </row>
    <row r="83" spans="1:29" s="430" customFormat="1" ht="15.75" thickBot="1">
      <c r="A83" s="510"/>
      <c r="B83" s="500"/>
      <c r="C83" s="517"/>
      <c r="D83" s="493"/>
      <c r="E83" s="493"/>
      <c r="F83" s="493"/>
      <c r="G83" s="493"/>
      <c r="H83" s="493"/>
      <c r="I83" s="493"/>
      <c r="J83" s="493"/>
      <c r="K83" s="493"/>
      <c r="L83" s="493"/>
      <c r="M83" s="494"/>
      <c r="N83" s="2964"/>
      <c r="O83" s="2964"/>
      <c r="P83" s="2989"/>
      <c r="Q83" s="2956"/>
      <c r="R83" s="2957"/>
      <c r="S83" s="2957"/>
      <c r="T83" s="2957"/>
      <c r="U83" s="2957"/>
      <c r="V83" s="2957"/>
      <c r="W83" s="2957"/>
      <c r="X83" s="2957"/>
      <c r="Y83" s="2957"/>
      <c r="Z83" s="2957"/>
      <c r="AA83" s="2957"/>
      <c r="AB83" s="2957"/>
      <c r="AC83" s="2957"/>
    </row>
    <row r="84" spans="1:29" s="430" customFormat="1" ht="15.75" thickTop="1">
      <c r="A84" s="510"/>
      <c r="B84" s="495">
        <f>B13</f>
        <v>111</v>
      </c>
      <c r="C84" s="511"/>
      <c r="D84" s="511"/>
      <c r="E84" s="511"/>
      <c r="F84" s="511"/>
      <c r="G84" s="511"/>
      <c r="H84" s="512"/>
      <c r="I84" s="512"/>
      <c r="J84" s="512"/>
      <c r="K84" s="512"/>
      <c r="L84" s="513"/>
      <c r="M84" s="514"/>
      <c r="N84" s="2965"/>
      <c r="O84" s="2965"/>
      <c r="P84" s="2933"/>
      <c r="Q84" s="2959"/>
      <c r="R84" s="2957"/>
      <c r="S84" s="2957"/>
      <c r="T84" s="2957"/>
      <c r="U84" s="2957"/>
      <c r="V84" s="2957"/>
      <c r="W84" s="2957"/>
      <c r="X84" s="2957"/>
      <c r="Y84" s="2957"/>
      <c r="Z84" s="2957"/>
      <c r="AA84" s="2957"/>
      <c r="AB84" s="2957"/>
      <c r="AC84" s="2957"/>
    </row>
    <row r="85" spans="1:29" s="430" customFormat="1" ht="15.75" thickBot="1">
      <c r="A85" s="510"/>
      <c r="B85" s="500"/>
      <c r="C85" s="517"/>
      <c r="D85" s="517"/>
      <c r="E85" s="517"/>
      <c r="F85" s="517"/>
      <c r="G85" s="517"/>
      <c r="H85" s="519"/>
      <c r="I85" s="519"/>
      <c r="J85" s="519"/>
      <c r="K85" s="519"/>
      <c r="L85" s="519"/>
      <c r="M85" s="520"/>
      <c r="N85" s="2965"/>
      <c r="O85" s="2965"/>
      <c r="P85" s="2989"/>
      <c r="Q85" s="2956"/>
      <c r="R85" s="2957"/>
      <c r="S85" s="2957"/>
      <c r="T85" s="2957"/>
      <c r="U85" s="2957"/>
      <c r="V85" s="2957"/>
      <c r="W85" s="2957"/>
      <c r="X85" s="2957"/>
      <c r="Y85" s="2957"/>
      <c r="Z85" s="2957"/>
      <c r="AA85" s="2957"/>
      <c r="AB85" s="2957"/>
      <c r="AC85" s="2957"/>
    </row>
    <row r="86" spans="1:29" s="430" customFormat="1" ht="15.75" thickTop="1">
      <c r="A86" s="510"/>
      <c r="B86" s="503">
        <f>B14</f>
        <v>111</v>
      </c>
      <c r="C86" s="480"/>
      <c r="D86" s="480"/>
      <c r="E86" s="480"/>
      <c r="F86" s="480"/>
      <c r="G86" s="480"/>
      <c r="H86" s="521"/>
      <c r="I86" s="521"/>
      <c r="J86" s="521"/>
      <c r="K86" s="521"/>
      <c r="L86" s="522"/>
      <c r="M86" s="523"/>
      <c r="N86" s="2965"/>
      <c r="O86" s="2965"/>
      <c r="P86" s="2994"/>
      <c r="Q86" s="2956"/>
      <c r="R86" s="2957"/>
      <c r="S86" s="2957"/>
      <c r="T86" s="2957"/>
      <c r="U86" s="2957"/>
      <c r="V86" s="2957"/>
      <c r="W86" s="2957"/>
      <c r="X86" s="2957"/>
      <c r="Y86" s="2957"/>
      <c r="Z86" s="2957"/>
      <c r="AA86" s="2957"/>
      <c r="AB86" s="2957"/>
      <c r="AC86" s="2957"/>
    </row>
    <row r="87" spans="1:29" s="430" customFormat="1" ht="15.75" thickBot="1">
      <c r="A87" s="525"/>
      <c r="B87" s="526"/>
      <c r="C87" s="527"/>
      <c r="D87" s="527"/>
      <c r="E87" s="527"/>
      <c r="F87" s="527"/>
      <c r="G87" s="527"/>
      <c r="H87" s="528"/>
      <c r="I87" s="528"/>
      <c r="J87" s="528"/>
      <c r="K87" s="528"/>
      <c r="L87" s="528"/>
      <c r="M87" s="529"/>
      <c r="N87" s="2965"/>
      <c r="O87" s="2965"/>
      <c r="P87" s="2989"/>
      <c r="Q87" s="2956"/>
      <c r="R87" s="2957"/>
      <c r="S87" s="2957"/>
      <c r="T87" s="2957"/>
      <c r="U87" s="2957"/>
      <c r="V87" s="2957"/>
      <c r="W87" s="2957"/>
      <c r="X87" s="2957"/>
      <c r="Y87" s="2957"/>
      <c r="Z87" s="2957"/>
      <c r="AA87" s="2957"/>
      <c r="AB87" s="2957"/>
      <c r="AC87" s="2957"/>
    </row>
    <row r="88" spans="1:29">
      <c r="A88" s="484" t="s">
        <v>2379</v>
      </c>
      <c r="B88" s="485" t="s">
        <v>2416</v>
      </c>
      <c r="C88" s="530" t="s">
        <v>2417</v>
      </c>
      <c r="D88" s="530" t="s">
        <v>2418</v>
      </c>
      <c r="E88" s="530" t="s">
        <v>2419</v>
      </c>
      <c r="F88" s="530" t="s">
        <v>2420</v>
      </c>
      <c r="G88" s="530" t="s">
        <v>2421</v>
      </c>
      <c r="H88" s="486"/>
      <c r="I88" s="486"/>
      <c r="J88" s="486"/>
      <c r="K88" s="531"/>
      <c r="L88" s="532"/>
      <c r="M88" s="533"/>
      <c r="N88" s="2963"/>
      <c r="O88" s="2963"/>
      <c r="P88" s="2990"/>
      <c r="Q88" s="2949"/>
      <c r="R88" s="2935"/>
      <c r="S88" s="2935"/>
      <c r="T88" s="2935"/>
      <c r="U88" s="2935"/>
      <c r="V88" s="2935"/>
      <c r="W88" s="2935"/>
      <c r="X88" s="2935"/>
      <c r="Y88" s="2935"/>
      <c r="Z88" s="2935"/>
      <c r="AA88" s="2935"/>
      <c r="AB88" s="2935"/>
      <c r="AC88" s="293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4"/>
      <c r="O89" s="2964"/>
      <c r="P89" s="2988"/>
      <c r="Q89" s="2949"/>
      <c r="R89" s="2935"/>
      <c r="S89" s="2935"/>
      <c r="T89" s="2935"/>
      <c r="U89" s="2935"/>
      <c r="V89" s="2935"/>
      <c r="W89" s="2935"/>
      <c r="X89" s="2935"/>
      <c r="Y89" s="2935"/>
      <c r="Z89" s="2935"/>
      <c r="AA89" s="2935"/>
      <c r="AB89" s="2935"/>
      <c r="AC89" s="2935"/>
    </row>
    <row r="90" spans="1:29" ht="15.75" thickTop="1">
      <c r="A90" s="491"/>
      <c r="B90" s="495" t="s">
        <v>2604</v>
      </c>
      <c r="C90" s="535" t="s">
        <v>2417</v>
      </c>
      <c r="D90" s="535" t="s">
        <v>2418</v>
      </c>
      <c r="E90" s="535" t="s">
        <v>2419</v>
      </c>
      <c r="F90" s="535" t="s">
        <v>2420</v>
      </c>
      <c r="G90" s="535" t="s">
        <v>2421</v>
      </c>
      <c r="H90" s="496"/>
      <c r="I90" s="496"/>
      <c r="J90" s="496"/>
      <c r="K90" s="497"/>
      <c r="L90" s="498"/>
      <c r="M90" s="499"/>
      <c r="N90" s="2963"/>
      <c r="O90" s="2963"/>
      <c r="P90" s="2988"/>
      <c r="Q90" s="2949"/>
      <c r="R90" s="2935"/>
      <c r="S90" s="2935"/>
      <c r="T90" s="2935"/>
      <c r="U90" s="2935"/>
      <c r="V90" s="2935"/>
      <c r="W90" s="2935"/>
      <c r="X90" s="2935"/>
      <c r="Y90" s="2935"/>
      <c r="Z90" s="2935"/>
      <c r="AA90" s="2935"/>
      <c r="AB90" s="2935"/>
      <c r="AC90" s="293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4"/>
      <c r="O91" s="2964"/>
      <c r="P91" s="2988"/>
      <c r="Q91" s="2949"/>
      <c r="R91" s="2935"/>
      <c r="S91" s="2935"/>
      <c r="T91" s="2935"/>
      <c r="U91" s="2935"/>
      <c r="V91" s="2935"/>
      <c r="W91" s="2935"/>
      <c r="X91" s="2935"/>
      <c r="Y91" s="2935"/>
      <c r="Z91" s="2935"/>
      <c r="AA91" s="2935"/>
      <c r="AB91" s="2935"/>
      <c r="AC91" s="2935"/>
    </row>
    <row r="92" spans="1:29" ht="15.75" thickTop="1">
      <c r="A92" s="491"/>
      <c r="B92" s="495" t="s">
        <v>2517</v>
      </c>
      <c r="C92" s="535" t="s">
        <v>2417</v>
      </c>
      <c r="D92" s="535" t="s">
        <v>2418</v>
      </c>
      <c r="E92" s="535" t="s">
        <v>2419</v>
      </c>
      <c r="F92" s="535" t="s">
        <v>2420</v>
      </c>
      <c r="G92" s="535" t="s">
        <v>2421</v>
      </c>
      <c r="H92" s="496"/>
      <c r="I92" s="496"/>
      <c r="J92" s="496"/>
      <c r="K92" s="497"/>
      <c r="L92" s="498"/>
      <c r="M92" s="499"/>
      <c r="N92" s="2963"/>
      <c r="O92" s="2963"/>
      <c r="P92" s="2988"/>
      <c r="Q92" s="2949"/>
      <c r="R92" s="2935"/>
      <c r="S92" s="2935"/>
      <c r="T92" s="2935"/>
      <c r="U92" s="2935"/>
      <c r="V92" s="2935"/>
      <c r="W92" s="2935"/>
      <c r="X92" s="2935"/>
      <c r="Y92" s="2935"/>
      <c r="Z92" s="2935"/>
      <c r="AA92" s="2935"/>
      <c r="AB92" s="2935"/>
      <c r="AC92" s="293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4"/>
      <c r="O93" s="2964"/>
      <c r="P93" s="2988"/>
      <c r="Q93" s="2949"/>
      <c r="R93" s="2935"/>
      <c r="S93" s="2935"/>
      <c r="T93" s="2935"/>
      <c r="U93" s="2935"/>
      <c r="V93" s="2935"/>
      <c r="W93" s="2935"/>
      <c r="X93" s="2935"/>
      <c r="Y93" s="2935"/>
      <c r="Z93" s="2935"/>
      <c r="AA93" s="2935"/>
      <c r="AB93" s="2935"/>
      <c r="AC93" s="2935"/>
    </row>
    <row r="94" spans="1:29" ht="15.75" thickTop="1">
      <c r="A94" s="491"/>
      <c r="B94" s="495" t="s">
        <v>2422</v>
      </c>
      <c r="C94" s="535" t="s">
        <v>2417</v>
      </c>
      <c r="D94" s="535" t="s">
        <v>2418</v>
      </c>
      <c r="E94" s="535" t="s">
        <v>2419</v>
      </c>
      <c r="F94" s="535" t="s">
        <v>2420</v>
      </c>
      <c r="G94" s="535" t="s">
        <v>2421</v>
      </c>
      <c r="H94" s="496"/>
      <c r="I94" s="496"/>
      <c r="J94" s="496"/>
      <c r="K94" s="497"/>
      <c r="L94" s="498"/>
      <c r="M94" s="499"/>
      <c r="N94" s="2963"/>
      <c r="O94" s="2963"/>
      <c r="P94" s="2988"/>
      <c r="Q94" s="2949"/>
      <c r="R94" s="2935"/>
      <c r="S94" s="2935"/>
      <c r="T94" s="2935"/>
      <c r="U94" s="2935"/>
      <c r="V94" s="2935"/>
      <c r="W94" s="2935"/>
      <c r="X94" s="2935"/>
      <c r="Y94" s="2935"/>
      <c r="Z94" s="2935"/>
      <c r="AA94" s="2935"/>
      <c r="AB94" s="2935"/>
      <c r="AC94" s="293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4"/>
      <c r="O95" s="2964"/>
      <c r="P95" s="2988"/>
      <c r="Q95" s="2949"/>
      <c r="R95" s="2935"/>
      <c r="S95" s="2935"/>
      <c r="T95" s="2935"/>
      <c r="U95" s="2935"/>
      <c r="V95" s="2935"/>
      <c r="W95" s="2935"/>
      <c r="X95" s="2935"/>
      <c r="Y95" s="2935"/>
      <c r="Z95" s="2935"/>
      <c r="AA95" s="2935"/>
      <c r="AB95" s="2935"/>
      <c r="AC95" s="2935"/>
    </row>
    <row r="96" spans="1:29" s="113" customFormat="1" ht="15.75" thickTop="1">
      <c r="A96" s="536"/>
      <c r="B96" s="495" t="s">
        <v>2605</v>
      </c>
      <c r="C96" s="535" t="s">
        <v>2417</v>
      </c>
      <c r="D96" s="535" t="s">
        <v>2418</v>
      </c>
      <c r="E96" s="535" t="s">
        <v>2419</v>
      </c>
      <c r="F96" s="535" t="s">
        <v>2420</v>
      </c>
      <c r="G96" s="535" t="s">
        <v>2421</v>
      </c>
      <c r="H96" s="535"/>
      <c r="I96" s="535"/>
      <c r="J96" s="535"/>
      <c r="K96" s="535"/>
      <c r="L96" s="653"/>
      <c r="M96" s="577"/>
      <c r="N96" s="2962"/>
      <c r="O96" s="2962"/>
      <c r="P96" s="2988"/>
      <c r="Q96" s="2949"/>
      <c r="R96" s="2870"/>
      <c r="S96" s="2870"/>
      <c r="T96" s="2870"/>
      <c r="U96" s="2870"/>
      <c r="V96" s="2870"/>
      <c r="W96" s="2870"/>
      <c r="X96" s="2870"/>
      <c r="Y96" s="2870"/>
      <c r="Z96" s="2870"/>
      <c r="AA96" s="2870"/>
      <c r="AB96" s="2870"/>
      <c r="AC96" s="287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4"/>
      <c r="O97" s="2964"/>
      <c r="P97" s="2988"/>
      <c r="Q97" s="2949"/>
      <c r="R97" s="2870"/>
      <c r="S97" s="2870"/>
      <c r="T97" s="2870"/>
      <c r="U97" s="2870"/>
      <c r="V97" s="2870"/>
      <c r="W97" s="2870"/>
      <c r="X97" s="2870"/>
      <c r="Y97" s="2870"/>
      <c r="Z97" s="2870"/>
      <c r="AA97" s="2870"/>
      <c r="AB97" s="2870"/>
      <c r="AC97" s="287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7"/>
      <c r="N98" s="2962"/>
      <c r="O98" s="2962"/>
      <c r="P98" s="2988"/>
      <c r="Q98" s="2949"/>
      <c r="R98" s="2870"/>
      <c r="S98" s="2870"/>
      <c r="T98" s="2870"/>
      <c r="U98" s="2870"/>
      <c r="V98" s="2870"/>
      <c r="W98" s="2870"/>
      <c r="X98" s="2870"/>
      <c r="Y98" s="2870"/>
      <c r="Z98" s="2870"/>
      <c r="AA98" s="2870"/>
      <c r="AB98" s="2870"/>
      <c r="AC98" s="287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4"/>
      <c r="O99" s="2964"/>
      <c r="P99" s="2988"/>
      <c r="Q99" s="2949"/>
      <c r="R99" s="2870"/>
      <c r="S99" s="2870"/>
      <c r="T99" s="2870"/>
      <c r="U99" s="2870"/>
      <c r="V99" s="2870"/>
      <c r="W99" s="2870"/>
      <c r="X99" s="2870"/>
      <c r="Y99" s="2870"/>
      <c r="Z99" s="2870"/>
      <c r="AA99" s="2870"/>
      <c r="AB99" s="2870"/>
      <c r="AC99" s="287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5"/>
      <c r="O100" s="2965"/>
      <c r="P100" s="2989"/>
      <c r="Q100" s="2956"/>
      <c r="R100" s="2957"/>
      <c r="S100" s="2957"/>
      <c r="T100" s="2957"/>
      <c r="U100" s="2957"/>
      <c r="V100" s="2957"/>
      <c r="W100" s="2957"/>
      <c r="X100" s="2957"/>
      <c r="Y100" s="2957"/>
      <c r="Z100" s="2957"/>
      <c r="AA100" s="2957"/>
      <c r="AB100" s="2957"/>
      <c r="AC100" s="295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5"/>
      <c r="O101" s="2965"/>
      <c r="P101" s="2989"/>
      <c r="Q101" s="2956"/>
      <c r="R101" s="2957"/>
      <c r="S101" s="2957"/>
      <c r="T101" s="2957"/>
      <c r="U101" s="2957"/>
      <c r="V101" s="2957"/>
      <c r="W101" s="2957"/>
      <c r="X101" s="2957"/>
      <c r="Y101" s="2957"/>
      <c r="Z101" s="2957"/>
      <c r="AA101" s="2957"/>
      <c r="AB101" s="2957"/>
      <c r="AC101" s="2957"/>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89"/>
      <c r="N102" s="2965"/>
      <c r="O102" s="2965"/>
      <c r="P102" s="2989"/>
      <c r="Q102" s="2956"/>
      <c r="R102" s="2957"/>
      <c r="S102" s="2957"/>
      <c r="T102" s="2957"/>
      <c r="U102" s="2957"/>
      <c r="V102" s="2957"/>
      <c r="W102" s="2957"/>
      <c r="X102" s="2957"/>
      <c r="Y102" s="2957"/>
      <c r="Z102" s="2957"/>
      <c r="AA102" s="2957"/>
      <c r="AB102" s="2957"/>
      <c r="AC102" s="295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65"/>
      <c r="O103" s="2965"/>
      <c r="P103" s="2989"/>
      <c r="Q103" s="2956"/>
      <c r="R103" s="2957"/>
      <c r="S103" s="2957"/>
      <c r="T103" s="2957"/>
      <c r="U103" s="2957"/>
      <c r="V103" s="2957"/>
      <c r="W103" s="2957"/>
      <c r="X103" s="2957"/>
      <c r="Y103" s="2957"/>
      <c r="Z103" s="2957"/>
      <c r="AA103" s="2957"/>
      <c r="AB103" s="2957"/>
      <c r="AC103" s="295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3"/>
      <c r="O104" s="2963"/>
      <c r="P104" s="2988"/>
      <c r="Q104" s="2949"/>
      <c r="R104" s="2935"/>
      <c r="S104" s="2935"/>
      <c r="T104" s="2935"/>
      <c r="U104" s="2935"/>
      <c r="V104" s="2935"/>
      <c r="W104" s="2935"/>
      <c r="X104" s="2935"/>
      <c r="Y104" s="2935"/>
      <c r="Z104" s="2935"/>
      <c r="AA104" s="2935"/>
      <c r="AB104" s="2935"/>
      <c r="AC104" s="293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4"/>
      <c r="O105" s="2964"/>
      <c r="P105" s="2988"/>
      <c r="Q105" s="2949"/>
      <c r="R105" s="2935"/>
      <c r="S105" s="2935"/>
      <c r="T105" s="2935"/>
      <c r="U105" s="2935"/>
      <c r="V105" s="2935"/>
      <c r="W105" s="2935"/>
      <c r="X105" s="2935"/>
      <c r="Y105" s="2935"/>
      <c r="Z105" s="2935"/>
      <c r="AA105" s="2935"/>
      <c r="AB105" s="2935"/>
      <c r="AC105" s="2935"/>
    </row>
    <row r="106" spans="1:29" ht="27.75" thickTop="1">
      <c r="A106" s="491"/>
      <c r="B106" s="495" t="s">
        <v>2511</v>
      </c>
      <c r="C106" s="511"/>
      <c r="D106" s="511"/>
      <c r="E106" s="511"/>
      <c r="F106" s="511"/>
      <c r="G106" s="511"/>
      <c r="H106" s="540"/>
      <c r="I106" s="540"/>
      <c r="J106" s="540"/>
      <c r="K106" s="541"/>
      <c r="L106" s="542"/>
      <c r="M106" s="543"/>
      <c r="N106" s="2963"/>
      <c r="O106" s="2963"/>
      <c r="P106" s="2988"/>
      <c r="Q106" s="2949"/>
      <c r="R106" s="2935"/>
      <c r="S106" s="2935"/>
      <c r="T106" s="2935"/>
      <c r="U106" s="2935"/>
      <c r="V106" s="2935"/>
      <c r="W106" s="2935"/>
      <c r="X106" s="2935"/>
      <c r="Y106" s="2935"/>
      <c r="Z106" s="2935"/>
      <c r="AA106" s="2935"/>
      <c r="AB106" s="2935"/>
      <c r="AC106" s="293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4"/>
      <c r="O107" s="2964"/>
      <c r="P107" s="2988"/>
      <c r="Q107" s="2949"/>
      <c r="R107" s="2935"/>
      <c r="S107" s="2935"/>
      <c r="T107" s="2935"/>
      <c r="U107" s="2935"/>
      <c r="V107" s="2935"/>
      <c r="W107" s="2935"/>
      <c r="X107" s="2935"/>
      <c r="Y107" s="2935"/>
      <c r="Z107" s="2935"/>
      <c r="AA107" s="2935"/>
      <c r="AB107" s="2935"/>
      <c r="AC107" s="2935"/>
    </row>
    <row r="108" spans="1:29" ht="15.75" thickTop="1">
      <c r="A108" s="491"/>
      <c r="B108" s="495" t="s">
        <v>2570</v>
      </c>
      <c r="C108" s="540"/>
      <c r="D108" s="540"/>
      <c r="E108" s="540"/>
      <c r="F108" s="540"/>
      <c r="G108" s="540"/>
      <c r="H108" s="540"/>
      <c r="I108" s="540"/>
      <c r="J108" s="540"/>
      <c r="K108" s="541"/>
      <c r="L108" s="542"/>
      <c r="M108" s="543"/>
      <c r="N108" s="2963"/>
      <c r="O108" s="2963"/>
      <c r="P108" s="2988"/>
      <c r="Q108" s="2949"/>
      <c r="R108" s="2935"/>
      <c r="S108" s="2935"/>
      <c r="T108" s="2935"/>
      <c r="U108" s="2935"/>
      <c r="V108" s="2935"/>
      <c r="W108" s="2935"/>
      <c r="X108" s="2935"/>
      <c r="Y108" s="2935"/>
      <c r="Z108" s="2935"/>
      <c r="AA108" s="2935"/>
      <c r="AB108" s="2935"/>
      <c r="AC108" s="293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4"/>
      <c r="O109" s="2964"/>
      <c r="P109" s="2988"/>
      <c r="Q109" s="2949"/>
      <c r="R109" s="2935"/>
      <c r="S109" s="2935"/>
      <c r="T109" s="2935"/>
      <c r="U109" s="2935"/>
      <c r="V109" s="2935"/>
      <c r="W109" s="2935"/>
      <c r="X109" s="2935"/>
      <c r="Y109" s="2935"/>
      <c r="Z109" s="2935"/>
      <c r="AA109" s="2935"/>
      <c r="AB109" s="2935"/>
      <c r="AC109" s="2935"/>
    </row>
    <row r="110" spans="1:29" ht="15.75" thickTop="1">
      <c r="A110" s="491"/>
      <c r="B110" s="503">
        <f>B35</f>
        <v>111</v>
      </c>
      <c r="C110" s="511"/>
      <c r="D110" s="511"/>
      <c r="E110" s="511"/>
      <c r="F110" s="511"/>
      <c r="G110" s="544"/>
      <c r="H110" s="544"/>
      <c r="I110" s="544"/>
      <c r="J110" s="544"/>
      <c r="K110" s="545"/>
      <c r="L110" s="546"/>
      <c r="M110" s="547"/>
      <c r="N110" s="2963"/>
      <c r="O110" s="2963"/>
      <c r="P110" s="2988"/>
      <c r="Q110" s="2949"/>
      <c r="R110" s="2935"/>
      <c r="S110" s="2935"/>
      <c r="T110" s="2935"/>
      <c r="U110" s="2935"/>
      <c r="V110" s="2935"/>
      <c r="W110" s="2935"/>
      <c r="X110" s="2935"/>
      <c r="Y110" s="2935"/>
      <c r="Z110" s="2935"/>
      <c r="AA110" s="2935"/>
      <c r="AB110" s="2935"/>
      <c r="AC110" s="2935"/>
    </row>
    <row r="111" spans="1:29" ht="15.75" thickBot="1">
      <c r="A111" s="491"/>
      <c r="B111" s="526"/>
      <c r="C111" s="517"/>
      <c r="D111" s="517"/>
      <c r="E111" s="517"/>
      <c r="F111" s="517"/>
      <c r="G111" s="548"/>
      <c r="H111" s="548"/>
      <c r="I111" s="548"/>
      <c r="J111" s="548"/>
      <c r="K111" s="548"/>
      <c r="L111" s="548"/>
      <c r="M111" s="549"/>
      <c r="N111" s="2964"/>
      <c r="O111" s="2964"/>
      <c r="P111" s="2988"/>
      <c r="Q111" s="2949"/>
      <c r="R111" s="2935"/>
      <c r="S111" s="2935"/>
      <c r="T111" s="2935"/>
      <c r="U111" s="2935"/>
      <c r="V111" s="2935"/>
      <c r="W111" s="2935"/>
      <c r="X111" s="2935"/>
      <c r="Y111" s="2935"/>
      <c r="Z111" s="2935"/>
      <c r="AA111" s="2935"/>
      <c r="AB111" s="2935"/>
      <c r="AC111" s="2935"/>
    </row>
    <row r="112" spans="1:29" ht="15" thickTop="1">
      <c r="A112" s="630"/>
      <c r="B112" s="495">
        <f>B36</f>
        <v>111</v>
      </c>
      <c r="C112" s="480"/>
      <c r="D112" s="480"/>
      <c r="E112" s="480"/>
      <c r="F112" s="480"/>
      <c r="G112" s="540"/>
      <c r="H112" s="540"/>
      <c r="I112" s="540"/>
      <c r="J112" s="540"/>
      <c r="K112" s="541"/>
      <c r="L112" s="542"/>
      <c r="M112" s="543"/>
      <c r="N112" s="2963"/>
      <c r="O112" s="2963"/>
      <c r="P112" s="2988"/>
      <c r="Q112" s="2949"/>
      <c r="R112" s="2935"/>
      <c r="S112" s="2935"/>
      <c r="T112" s="2935"/>
      <c r="U112" s="2935"/>
      <c r="V112" s="2935"/>
      <c r="W112" s="2935"/>
      <c r="X112" s="2935"/>
      <c r="Y112" s="2935"/>
      <c r="Z112" s="2935"/>
      <c r="AA112" s="2935"/>
      <c r="AB112" s="2935"/>
      <c r="AC112" s="2935"/>
    </row>
    <row r="113" spans="1:29" ht="15.75" thickBot="1">
      <c r="A113" s="491"/>
      <c r="B113" s="500"/>
      <c r="C113" s="527"/>
      <c r="D113" s="527"/>
      <c r="E113" s="527"/>
      <c r="F113" s="527"/>
      <c r="G113" s="493"/>
      <c r="H113" s="493"/>
      <c r="I113" s="493"/>
      <c r="J113" s="493"/>
      <c r="K113" s="493"/>
      <c r="L113" s="493"/>
      <c r="M113" s="494"/>
      <c r="N113" s="2964"/>
      <c r="O113" s="2964"/>
      <c r="P113" s="2988"/>
      <c r="Q113" s="2949"/>
      <c r="R113" s="2935"/>
      <c r="S113" s="2935"/>
      <c r="T113" s="2935"/>
      <c r="U113" s="2935"/>
      <c r="V113" s="2935"/>
      <c r="W113" s="2935"/>
      <c r="X113" s="2935"/>
      <c r="Y113" s="2935"/>
      <c r="Z113" s="2935"/>
      <c r="AA113" s="2935"/>
      <c r="AB113" s="2935"/>
      <c r="AC113" s="2935"/>
    </row>
    <row r="114" spans="1:29" s="430" customFormat="1" ht="15" thickTop="1">
      <c r="A114" s="550"/>
      <c r="B114" s="551">
        <f>B37</f>
        <v>111</v>
      </c>
      <c r="C114" s="552"/>
      <c r="D114" s="552"/>
      <c r="E114" s="552"/>
      <c r="F114" s="552"/>
      <c r="G114" s="552"/>
      <c r="H114" s="552"/>
      <c r="I114" s="552"/>
      <c r="J114" s="553"/>
      <c r="K114" s="553"/>
      <c r="L114" s="554"/>
      <c r="M114" s="555"/>
      <c r="N114" s="2965"/>
      <c r="O114" s="2965"/>
      <c r="P114" s="2989"/>
      <c r="Q114" s="2956"/>
      <c r="R114" s="2957"/>
      <c r="S114" s="2957"/>
      <c r="T114" s="2957"/>
      <c r="U114" s="2957"/>
      <c r="V114" s="2957"/>
      <c r="W114" s="2957"/>
      <c r="X114" s="2957"/>
      <c r="Y114" s="2957"/>
      <c r="Z114" s="2957"/>
      <c r="AA114" s="2957"/>
      <c r="AB114" s="2957"/>
      <c r="AC114" s="2957"/>
    </row>
    <row r="115" spans="1:29" s="430" customFormat="1" ht="15.75" thickBot="1">
      <c r="A115" s="510"/>
      <c r="B115" s="503"/>
      <c r="C115" s="469"/>
      <c r="D115" s="632"/>
      <c r="E115" s="632"/>
      <c r="F115" s="632"/>
      <c r="G115" s="632"/>
      <c r="H115" s="632"/>
      <c r="I115" s="632"/>
      <c r="J115" s="632"/>
      <c r="K115" s="632"/>
      <c r="L115" s="632"/>
      <c r="M115" s="654"/>
      <c r="N115" s="2964"/>
      <c r="O115" s="2964"/>
      <c r="P115" s="2989"/>
      <c r="Q115" s="2956"/>
      <c r="R115" s="2957"/>
      <c r="S115" s="2957"/>
      <c r="T115" s="2957"/>
      <c r="U115" s="2957"/>
      <c r="V115" s="2957"/>
      <c r="W115" s="2957"/>
      <c r="X115" s="2957"/>
      <c r="Y115" s="2957"/>
      <c r="Z115" s="2957"/>
      <c r="AA115" s="2957"/>
      <c r="AB115" s="2957"/>
      <c r="AC115" s="2957"/>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3"/>
      <c r="O116" s="2963"/>
      <c r="P116" s="2988"/>
      <c r="Q116" s="2949"/>
      <c r="R116" s="2935"/>
      <c r="S116" s="2935"/>
      <c r="T116" s="2935"/>
      <c r="U116" s="2935"/>
      <c r="V116" s="2935"/>
      <c r="W116" s="2935"/>
      <c r="X116" s="2935"/>
      <c r="Y116" s="2935"/>
      <c r="Z116" s="2935"/>
      <c r="AA116" s="2935"/>
      <c r="AB116" s="2935"/>
      <c r="AC116" s="2935"/>
    </row>
    <row r="117" spans="1:29" ht="15">
      <c r="A117" s="491"/>
      <c r="B117" s="503"/>
      <c r="C117" s="552"/>
      <c r="D117" s="552"/>
      <c r="E117" s="552"/>
      <c r="F117" s="552"/>
      <c r="G117" s="552"/>
      <c r="H117" s="552"/>
      <c r="I117" s="552"/>
      <c r="J117" s="553"/>
      <c r="K117" s="553"/>
      <c r="L117" s="554"/>
      <c r="M117" s="555"/>
      <c r="N117" s="2963"/>
      <c r="O117" s="2963"/>
      <c r="P117" s="2988"/>
      <c r="Q117" s="2949"/>
      <c r="R117" s="2935"/>
      <c r="S117" s="2935"/>
      <c r="T117" s="2935"/>
      <c r="U117" s="2935"/>
      <c r="V117" s="2935"/>
      <c r="W117" s="2935"/>
      <c r="X117" s="2935"/>
      <c r="Y117" s="2935"/>
      <c r="Z117" s="2935"/>
      <c r="AA117" s="2935"/>
      <c r="AB117" s="2935"/>
      <c r="AC117" s="2935"/>
    </row>
    <row r="118" spans="1:29" ht="15.75" thickBot="1">
      <c r="A118" s="491"/>
      <c r="B118" s="500"/>
      <c r="C118" s="527"/>
      <c r="D118" s="548"/>
      <c r="E118" s="548"/>
      <c r="F118" s="548"/>
      <c r="G118" s="548"/>
      <c r="H118" s="548"/>
      <c r="I118" s="548"/>
      <c r="J118" s="548"/>
      <c r="K118" s="548"/>
      <c r="L118" s="548"/>
      <c r="M118" s="549"/>
      <c r="N118" s="2964"/>
      <c r="O118" s="2964"/>
      <c r="P118" s="2988"/>
      <c r="Q118" s="2949"/>
      <c r="R118" s="2935"/>
      <c r="S118" s="2935"/>
      <c r="T118" s="2935"/>
      <c r="U118" s="2935"/>
      <c r="V118" s="2935"/>
      <c r="W118" s="2935"/>
      <c r="X118" s="2935"/>
      <c r="Y118" s="2935"/>
      <c r="Z118" s="2935"/>
      <c r="AA118" s="2935"/>
      <c r="AB118" s="2935"/>
      <c r="AC118" s="2935"/>
    </row>
    <row r="119" spans="1:29" ht="15" thickTop="1">
      <c r="A119" s="556"/>
      <c r="B119" s="495" t="s">
        <v>2612</v>
      </c>
      <c r="C119" s="540"/>
      <c r="D119" s="540"/>
      <c r="E119" s="540"/>
      <c r="F119" s="540"/>
      <c r="G119" s="540"/>
      <c r="H119" s="540"/>
      <c r="I119" s="540"/>
      <c r="J119" s="540"/>
      <c r="K119" s="541"/>
      <c r="L119" s="542"/>
      <c r="M119" s="543"/>
      <c r="N119" s="2963"/>
      <c r="O119" s="2963"/>
      <c r="P119" s="2988"/>
      <c r="Q119" s="2949"/>
      <c r="R119" s="2935"/>
      <c r="S119" s="2935"/>
      <c r="T119" s="2935"/>
      <c r="U119" s="2935"/>
      <c r="V119" s="2935"/>
      <c r="W119" s="2935"/>
      <c r="X119" s="2935"/>
      <c r="Y119" s="2935"/>
      <c r="Z119" s="2935"/>
      <c r="AA119" s="2935"/>
      <c r="AB119" s="2935"/>
      <c r="AC119" s="293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4"/>
      <c r="O120" s="2964"/>
      <c r="P120" s="2988"/>
      <c r="Q120" s="2949"/>
      <c r="R120" s="2935"/>
      <c r="S120" s="2935"/>
      <c r="T120" s="2935"/>
      <c r="U120" s="2935"/>
      <c r="V120" s="2935"/>
      <c r="W120" s="2935"/>
      <c r="X120" s="2935"/>
      <c r="Y120" s="2935"/>
      <c r="Z120" s="2935"/>
      <c r="AA120" s="2935"/>
      <c r="AB120" s="2935"/>
      <c r="AC120" s="2935"/>
    </row>
    <row r="121" spans="1:29" ht="15" thickTop="1">
      <c r="A121" s="556"/>
      <c r="B121" s="495" t="s">
        <v>2613</v>
      </c>
      <c r="C121" s="511"/>
      <c r="D121" s="511"/>
      <c r="E121" s="511"/>
      <c r="F121" s="540"/>
      <c r="G121" s="540"/>
      <c r="H121" s="540"/>
      <c r="I121" s="540"/>
      <c r="J121" s="540"/>
      <c r="K121" s="541"/>
      <c r="L121" s="542"/>
      <c r="M121" s="543"/>
      <c r="N121" s="2963"/>
      <c r="O121" s="2963"/>
      <c r="P121" s="2988"/>
      <c r="Q121" s="2949"/>
      <c r="R121" s="2935"/>
      <c r="S121" s="2935"/>
      <c r="T121" s="2935"/>
      <c r="U121" s="2935"/>
      <c r="V121" s="2935"/>
      <c r="W121" s="2935"/>
      <c r="X121" s="2935"/>
      <c r="Y121" s="2935"/>
      <c r="Z121" s="2935"/>
      <c r="AA121" s="2935"/>
      <c r="AB121" s="2935"/>
      <c r="AC121" s="293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4"/>
      <c r="O122" s="2964"/>
      <c r="P122" s="2988"/>
      <c r="Q122" s="2949"/>
      <c r="R122" s="2935"/>
      <c r="S122" s="2935"/>
      <c r="T122" s="2935"/>
      <c r="U122" s="2935"/>
      <c r="V122" s="2935"/>
      <c r="W122" s="2935"/>
      <c r="X122" s="2935"/>
      <c r="Y122" s="2935"/>
      <c r="Z122" s="2935"/>
      <c r="AA122" s="2935"/>
      <c r="AB122" s="2935"/>
      <c r="AC122" s="2935"/>
    </row>
    <row r="123" spans="1:29" s="430" customFormat="1" ht="15" thickTop="1">
      <c r="A123" s="550"/>
      <c r="B123" s="495" t="s">
        <v>2614</v>
      </c>
      <c r="C123" s="511"/>
      <c r="D123" s="511"/>
      <c r="E123" s="511"/>
      <c r="F123" s="511"/>
      <c r="G123" s="511"/>
      <c r="H123" s="540"/>
      <c r="I123" s="540"/>
      <c r="J123" s="540"/>
      <c r="K123" s="541"/>
      <c r="L123" s="542"/>
      <c r="M123" s="543"/>
      <c r="N123" s="2965"/>
      <c r="O123" s="2965"/>
      <c r="P123" s="2989"/>
      <c r="Q123" s="2956"/>
      <c r="R123" s="2957"/>
      <c r="S123" s="2957"/>
      <c r="T123" s="2957"/>
      <c r="U123" s="2957"/>
      <c r="V123" s="2957"/>
      <c r="W123" s="2957"/>
      <c r="X123" s="2957"/>
      <c r="Y123" s="2957"/>
      <c r="Z123" s="2957"/>
      <c r="AA123" s="2957"/>
      <c r="AB123" s="2957"/>
      <c r="AC123" s="295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5"/>
      <c r="O124" s="2965"/>
      <c r="P124" s="2989"/>
      <c r="Q124" s="2956"/>
      <c r="R124" s="2957"/>
      <c r="S124" s="2957"/>
      <c r="T124" s="2957"/>
      <c r="U124" s="2957"/>
      <c r="V124" s="2957"/>
      <c r="W124" s="2957"/>
      <c r="X124" s="2957"/>
      <c r="Y124" s="2957"/>
      <c r="Z124" s="2957"/>
      <c r="AA124" s="2957"/>
      <c r="AB124" s="2957"/>
      <c r="AC124" s="2957"/>
    </row>
    <row r="125" spans="1:29" ht="15" thickTop="1">
      <c r="A125" s="556"/>
      <c r="B125" s="495" t="s">
        <v>2615</v>
      </c>
      <c r="C125" s="511"/>
      <c r="D125" s="511"/>
      <c r="E125" s="540"/>
      <c r="F125" s="540"/>
      <c r="G125" s="540"/>
      <c r="H125" s="540"/>
      <c r="I125" s="540"/>
      <c r="J125" s="540"/>
      <c r="K125" s="541"/>
      <c r="L125" s="542"/>
      <c r="M125" s="543"/>
      <c r="N125" s="2963"/>
      <c r="O125" s="2963"/>
      <c r="P125" s="2988"/>
      <c r="Q125" s="2949"/>
      <c r="R125" s="2935"/>
      <c r="S125" s="2935"/>
      <c r="T125" s="2935"/>
      <c r="U125" s="2935"/>
      <c r="V125" s="2935"/>
      <c r="W125" s="2935"/>
      <c r="X125" s="2935"/>
      <c r="Y125" s="2935"/>
      <c r="Z125" s="2935"/>
      <c r="AA125" s="2935"/>
      <c r="AB125" s="2935"/>
      <c r="AC125" s="293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4"/>
      <c r="O126" s="2964"/>
      <c r="P126" s="2988"/>
      <c r="Q126" s="2949"/>
      <c r="R126" s="2935"/>
      <c r="S126" s="2935"/>
      <c r="T126" s="2935"/>
      <c r="U126" s="2935"/>
      <c r="V126" s="2935"/>
      <c r="W126" s="2935"/>
      <c r="X126" s="2935"/>
      <c r="Y126" s="2935"/>
      <c r="Z126" s="2935"/>
      <c r="AA126" s="2935"/>
      <c r="AB126" s="2935"/>
      <c r="AC126" s="2935"/>
    </row>
    <row r="127" spans="1:29" ht="15" thickTop="1">
      <c r="A127" s="556"/>
      <c r="B127" s="495">
        <f>B43</f>
        <v>111</v>
      </c>
      <c r="C127" s="511"/>
      <c r="D127" s="511"/>
      <c r="E127" s="511"/>
      <c r="F127" s="511"/>
      <c r="G127" s="511"/>
      <c r="H127" s="540"/>
      <c r="I127" s="540"/>
      <c r="J127" s="540"/>
      <c r="K127" s="541"/>
      <c r="L127" s="542"/>
      <c r="M127" s="543"/>
      <c r="N127" s="2963"/>
      <c r="O127" s="2963"/>
      <c r="P127" s="2988"/>
      <c r="Q127" s="2949"/>
      <c r="R127" s="2935"/>
      <c r="S127" s="2935"/>
      <c r="T127" s="2935"/>
      <c r="U127" s="2935"/>
      <c r="V127" s="2935"/>
      <c r="W127" s="2935"/>
      <c r="X127" s="2935"/>
      <c r="Y127" s="2935"/>
      <c r="Z127" s="2935"/>
      <c r="AA127" s="2935"/>
      <c r="AB127" s="2935"/>
      <c r="AC127" s="2935"/>
    </row>
    <row r="128" spans="1:29" ht="15.75" thickBot="1">
      <c r="A128" s="491"/>
      <c r="B128" s="500"/>
      <c r="C128" s="517"/>
      <c r="D128" s="517"/>
      <c r="E128" s="517"/>
      <c r="F128" s="517"/>
      <c r="G128" s="493"/>
      <c r="H128" s="493"/>
      <c r="I128" s="493"/>
      <c r="J128" s="493"/>
      <c r="K128" s="493"/>
      <c r="L128" s="493"/>
      <c r="M128" s="494"/>
      <c r="N128" s="2964"/>
      <c r="O128" s="2964"/>
      <c r="P128" s="2988"/>
      <c r="Q128" s="2949"/>
      <c r="R128" s="2935"/>
      <c r="S128" s="2935"/>
      <c r="T128" s="2935"/>
      <c r="U128" s="2935"/>
      <c r="V128" s="2935"/>
      <c r="W128" s="2935"/>
      <c r="X128" s="2935"/>
      <c r="Y128" s="2935"/>
      <c r="Z128" s="2935"/>
      <c r="AA128" s="2935"/>
      <c r="AB128" s="2935"/>
      <c r="AC128" s="2935"/>
    </row>
    <row r="129" spans="1:29" ht="15" thickTop="1">
      <c r="A129" s="556"/>
      <c r="B129" s="495">
        <f>B44</f>
        <v>111</v>
      </c>
      <c r="C129" s="480"/>
      <c r="D129" s="480"/>
      <c r="E129" s="480"/>
      <c r="F129" s="480"/>
      <c r="G129" s="540"/>
      <c r="H129" s="540"/>
      <c r="I129" s="540"/>
      <c r="J129" s="540"/>
      <c r="K129" s="541"/>
      <c r="L129" s="542"/>
      <c r="M129" s="543"/>
      <c r="N129" s="2963"/>
      <c r="O129" s="2963"/>
      <c r="P129" s="2988"/>
      <c r="Q129" s="2949"/>
      <c r="R129" s="2935"/>
      <c r="S129" s="2935"/>
      <c r="T129" s="2935"/>
      <c r="U129" s="2935"/>
      <c r="V129" s="2935"/>
      <c r="W129" s="2935"/>
      <c r="X129" s="2935"/>
      <c r="Y129" s="2935"/>
      <c r="Z129" s="2935"/>
      <c r="AA129" s="2935"/>
      <c r="AB129" s="2935"/>
      <c r="AC129" s="2935"/>
    </row>
    <row r="130" spans="1:29" ht="15.75" thickBot="1">
      <c r="A130" s="491"/>
      <c r="B130" s="500"/>
      <c r="C130" s="527"/>
      <c r="D130" s="527"/>
      <c r="E130" s="527"/>
      <c r="F130" s="527"/>
      <c r="G130" s="493"/>
      <c r="H130" s="493"/>
      <c r="I130" s="493"/>
      <c r="J130" s="493"/>
      <c r="K130" s="493"/>
      <c r="L130" s="493"/>
      <c r="M130" s="494"/>
      <c r="N130" s="2964"/>
      <c r="O130" s="2964"/>
      <c r="P130" s="2988"/>
      <c r="Q130" s="2949"/>
      <c r="R130" s="2935"/>
      <c r="S130" s="2935"/>
      <c r="T130" s="2935"/>
      <c r="U130" s="2935"/>
      <c r="V130" s="2935"/>
      <c r="W130" s="2935"/>
      <c r="X130" s="2935"/>
      <c r="Y130" s="2935"/>
      <c r="Z130" s="2935"/>
      <c r="AA130" s="2935"/>
      <c r="AB130" s="2935"/>
      <c r="AC130" s="2935"/>
    </row>
    <row r="131" spans="1:29" s="430" customFormat="1" ht="15" thickTop="1">
      <c r="A131" s="550"/>
      <c r="B131" s="495">
        <f>B45</f>
        <v>111</v>
      </c>
      <c r="C131" s="480"/>
      <c r="D131" s="480"/>
      <c r="E131" s="480"/>
      <c r="F131" s="480"/>
      <c r="G131" s="512"/>
      <c r="H131" s="512"/>
      <c r="I131" s="512"/>
      <c r="J131" s="512"/>
      <c r="K131" s="512"/>
      <c r="L131" s="513"/>
      <c r="M131" s="514"/>
      <c r="N131" s="2965"/>
      <c r="O131" s="2965"/>
      <c r="P131" s="2989"/>
      <c r="Q131" s="2956"/>
      <c r="R131" s="2957"/>
      <c r="S131" s="2957"/>
      <c r="T131" s="2957"/>
      <c r="U131" s="2957"/>
      <c r="V131" s="2957"/>
      <c r="W131" s="2957"/>
      <c r="X131" s="2957"/>
      <c r="Y131" s="2957"/>
      <c r="Z131" s="2957"/>
      <c r="AA131" s="2957"/>
      <c r="AB131" s="2957"/>
      <c r="AC131" s="2957"/>
    </row>
    <row r="132" spans="1:29" s="430" customFormat="1" ht="15.75" thickBot="1">
      <c r="A132" s="525"/>
      <c r="B132" s="655"/>
      <c r="C132" s="527"/>
      <c r="D132" s="527"/>
      <c r="E132" s="527"/>
      <c r="F132" s="527"/>
      <c r="G132" s="548"/>
      <c r="H132" s="548"/>
      <c r="I132" s="548"/>
      <c r="J132" s="548"/>
      <c r="K132" s="548"/>
      <c r="L132" s="548"/>
      <c r="M132" s="549"/>
      <c r="N132" s="2965"/>
      <c r="O132" s="2965"/>
      <c r="P132" s="2989"/>
      <c r="Q132" s="2956"/>
      <c r="R132" s="2957"/>
      <c r="S132" s="2957"/>
      <c r="T132" s="2957"/>
      <c r="U132" s="2957"/>
      <c r="V132" s="2957"/>
      <c r="W132" s="2957"/>
      <c r="X132" s="2957"/>
      <c r="Y132" s="2957"/>
      <c r="Z132" s="2957"/>
      <c r="AA132" s="2957"/>
      <c r="AB132" s="2957"/>
      <c r="AC132" s="295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2147</v>
      </c>
      <c r="B2" s="626" t="e">
        <f>F61</f>
        <v>#DIV/0!</v>
      </c>
      <c r="C2" s="1036"/>
      <c r="D2" s="1036"/>
      <c r="E2" s="1036"/>
      <c r="F2" s="1037"/>
      <c r="G2" s="1036"/>
      <c r="H2" s="1036"/>
      <c r="I2" s="1036"/>
      <c r="J2" s="1036"/>
      <c r="K2" s="1038"/>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t="e">
        <f>ROUND(IF(D3="",B2*10000/'数据-汇总表'!E3,B2*10000/D3),0)</f>
        <v>#DIV/0!</v>
      </c>
      <c r="C3" s="209" t="s">
        <v>2566</v>
      </c>
      <c r="D3" s="1350"/>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29" ht="15">
      <c r="A4" s="361" t="s">
        <v>2465</v>
      </c>
      <c r="B4" s="362"/>
      <c r="C4" s="3310" t="s">
        <v>2466</v>
      </c>
      <c r="D4" s="3311"/>
      <c r="E4" s="3312" t="s">
        <v>2467</v>
      </c>
      <c r="F4" s="3313"/>
      <c r="G4" s="3310" t="s">
        <v>2468</v>
      </c>
      <c r="H4" s="3311"/>
      <c r="I4" s="3310" t="s">
        <v>2469</v>
      </c>
      <c r="J4" s="3311"/>
      <c r="K4" s="567" t="s">
        <v>2470</v>
      </c>
      <c r="L4" s="2925"/>
      <c r="M4" s="2926"/>
      <c r="N4" s="2926"/>
      <c r="O4" s="2926"/>
      <c r="P4" s="3314" t="s">
        <v>2471</v>
      </c>
      <c r="Q4" s="3315"/>
      <c r="R4" s="3297" t="s">
        <v>2467</v>
      </c>
      <c r="S4" s="3298"/>
      <c r="T4" s="3297" t="s">
        <v>2468</v>
      </c>
      <c r="U4" s="3298"/>
      <c r="V4" s="3322" t="s">
        <v>2469</v>
      </c>
      <c r="W4" s="3322"/>
      <c r="X4" s="1532"/>
      <c r="Y4" s="3297" t="s">
        <v>2471</v>
      </c>
      <c r="Z4" s="3298"/>
      <c r="AA4" s="3292" t="s">
        <v>2467</v>
      </c>
      <c r="AB4" s="3293" t="s">
        <v>2468</v>
      </c>
      <c r="AC4" s="3292" t="s">
        <v>2469</v>
      </c>
    </row>
    <row r="5" spans="1:29" ht="15">
      <c r="A5" s="364"/>
      <c r="B5" s="365"/>
      <c r="C5" s="3303" t="s">
        <v>2362</v>
      </c>
      <c r="D5" s="3304"/>
      <c r="E5" s="3379" t="s">
        <v>2363</v>
      </c>
      <c r="F5" s="3302"/>
      <c r="G5" s="3303" t="s">
        <v>2364</v>
      </c>
      <c r="H5" s="3304"/>
      <c r="I5" s="3303" t="s">
        <v>2365</v>
      </c>
      <c r="J5" s="3304"/>
      <c r="K5" s="567"/>
      <c r="L5" s="2925"/>
      <c r="M5" s="2926"/>
      <c r="N5" s="2926"/>
      <c r="O5" s="2926"/>
      <c r="P5" s="3316"/>
      <c r="Q5" s="3317"/>
      <c r="R5" s="3299"/>
      <c r="S5" s="3300"/>
      <c r="T5" s="3299"/>
      <c r="U5" s="3300"/>
      <c r="V5" s="3322"/>
      <c r="W5" s="3322"/>
      <c r="X5" s="1532"/>
      <c r="Y5" s="3299"/>
      <c r="Z5" s="3300"/>
      <c r="AA5" s="3293"/>
      <c r="AB5" s="3293"/>
      <c r="AC5" s="3293"/>
    </row>
    <row r="6" spans="1:29" ht="15.75" thickBot="1">
      <c r="A6" s="366"/>
      <c r="B6" s="367"/>
      <c r="C6" s="3386" t="s">
        <v>2617</v>
      </c>
      <c r="D6" s="3387"/>
      <c r="E6" s="3388" t="s">
        <v>2617</v>
      </c>
      <c r="F6" s="3389"/>
      <c r="G6" s="3386" t="s">
        <v>2617</v>
      </c>
      <c r="H6" s="3387"/>
      <c r="I6" s="3386" t="s">
        <v>2617</v>
      </c>
      <c r="J6" s="3387"/>
      <c r="K6" s="567" t="s">
        <v>2367</v>
      </c>
      <c r="L6" s="2925"/>
      <c r="M6" s="2926"/>
      <c r="N6" s="2926"/>
      <c r="O6" s="2926"/>
      <c r="P6" s="3318"/>
      <c r="Q6" s="3319"/>
      <c r="R6" s="3299"/>
      <c r="S6" s="3300"/>
      <c r="T6" s="3320"/>
      <c r="U6" s="3321"/>
      <c r="V6" s="3322"/>
      <c r="W6" s="3322"/>
      <c r="X6" s="1532"/>
      <c r="Y6" s="3320"/>
      <c r="Z6" s="3321"/>
      <c r="AA6" s="3294"/>
      <c r="AB6" s="3294"/>
      <c r="AC6" s="3294"/>
    </row>
    <row r="7" spans="1:29" s="113" customFormat="1" ht="15.75" thickBot="1">
      <c r="A7" s="368" t="s">
        <v>2368</v>
      </c>
      <c r="B7" s="369"/>
      <c r="C7" s="370">
        <f>'数据-取费表'!B2</f>
        <v>44336</v>
      </c>
      <c r="D7" s="371">
        <v>100</v>
      </c>
      <c r="E7" s="372"/>
      <c r="F7" s="373">
        <f>SUMIF(65:65,YEAR(E7)&amp;"-"&amp;INT((MONTH(E7)+2)/3),66:66)</f>
        <v>0</v>
      </c>
      <c r="G7" s="2150"/>
      <c r="H7" s="371">
        <f>SUMIF(65:65,YEAR(G7)&amp;"-"&amp;INT((MONTH(G7)+2)/3),66:66)</f>
        <v>0</v>
      </c>
      <c r="I7" s="2150"/>
      <c r="J7" s="371">
        <f>SUMIF(65:65,YEAR(I7)&amp;"-"&amp;INT((MONTH(I7)+2)/3),66:66)</f>
        <v>0</v>
      </c>
      <c r="K7" s="568"/>
      <c r="L7" s="2927"/>
      <c r="M7" s="2928"/>
      <c r="N7" s="2928"/>
      <c r="O7" s="2928"/>
      <c r="P7" s="3295" t="s">
        <v>2369</v>
      </c>
      <c r="Q7" s="3323"/>
      <c r="R7" s="708" t="s">
        <v>17</v>
      </c>
      <c r="S7" s="709">
        <f t="shared" ref="S7:S15" si="0">F7</f>
        <v>0</v>
      </c>
      <c r="T7" s="708" t="s">
        <v>17</v>
      </c>
      <c r="U7" s="709">
        <f t="shared" ref="U7:U15" si="1">H7</f>
        <v>0</v>
      </c>
      <c r="V7" s="708" t="s">
        <v>17</v>
      </c>
      <c r="W7" s="709">
        <f t="shared" ref="W7:W15" si="2">J7</f>
        <v>0</v>
      </c>
      <c r="X7" s="710"/>
      <c r="Y7" s="3295" t="s">
        <v>2369</v>
      </c>
      <c r="Z7" s="3296"/>
      <c r="AA7" s="711" t="e">
        <f>D7/F7</f>
        <v>#DIV/0!</v>
      </c>
      <c r="AB7" s="711" t="e">
        <f>D7/H7</f>
        <v>#DIV/0!</v>
      </c>
      <c r="AC7" s="711"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7"/>
      <c r="M8" s="2928"/>
      <c r="N8" s="2928"/>
      <c r="O8" s="2928"/>
      <c r="P8" s="3295" t="s">
        <v>2372</v>
      </c>
      <c r="Q8" s="3296"/>
      <c r="R8" s="708" t="s">
        <v>17</v>
      </c>
      <c r="S8" s="709">
        <f t="shared" si="0"/>
        <v>0</v>
      </c>
      <c r="T8" s="708" t="s">
        <v>17</v>
      </c>
      <c r="U8" s="709">
        <f t="shared" si="1"/>
        <v>0</v>
      </c>
      <c r="V8" s="708" t="s">
        <v>17</v>
      </c>
      <c r="W8" s="709">
        <f t="shared" si="2"/>
        <v>0</v>
      </c>
      <c r="X8" s="710"/>
      <c r="Y8" s="3295" t="s">
        <v>2372</v>
      </c>
      <c r="Z8" s="3296"/>
      <c r="AA8" s="711" t="e">
        <f t="shared" ref="AA8:AA40" si="3">D8/F8</f>
        <v>#DIV/0!</v>
      </c>
      <c r="AB8" s="711" t="e">
        <f t="shared" ref="AB8:AB40" si="4">D8/H8</f>
        <v>#DIV/0!</v>
      </c>
      <c r="AC8" s="711" t="e">
        <f t="shared" ref="AC8:AC40" si="5">D8/J8</f>
        <v>#DIV/0!</v>
      </c>
    </row>
    <row r="9" spans="1:29" s="113" customFormat="1">
      <c r="A9" s="375" t="s">
        <v>2373</v>
      </c>
      <c r="B9" s="67" t="s">
        <v>2374</v>
      </c>
      <c r="C9" s="2153"/>
      <c r="D9" s="131">
        <v>100</v>
      </c>
      <c r="E9" s="2153"/>
      <c r="F9" s="131">
        <f>SUMIF(70:70,E9,71:71)-SUMIF(70:70,C9,71:71)+100</f>
        <v>100</v>
      </c>
      <c r="G9" s="2153"/>
      <c r="H9" s="131">
        <f>SUMIF(70:70,G9,71:71)-SUMIF(70:70,C9,71:71)+100</f>
        <v>100</v>
      </c>
      <c r="I9" s="2153"/>
      <c r="J9" s="131">
        <f>SUMIF(70:70,I9,71:71)-SUMIF(70:70,C9,71:71)+100</f>
        <v>100</v>
      </c>
      <c r="K9" s="568"/>
      <c r="L9" s="2927"/>
      <c r="M9" s="2928"/>
      <c r="N9" s="2928"/>
      <c r="O9" s="2982"/>
      <c r="P9" s="3327" t="s">
        <v>2375</v>
      </c>
      <c r="Q9" s="1520" t="str">
        <f t="shared" ref="Q9:Q15" si="6">B9</f>
        <v>用途</v>
      </c>
      <c r="R9" s="708" t="s">
        <v>17</v>
      </c>
      <c r="S9" s="709">
        <f t="shared" si="0"/>
        <v>100</v>
      </c>
      <c r="T9" s="708" t="s">
        <v>17</v>
      </c>
      <c r="U9" s="709">
        <f t="shared" si="1"/>
        <v>100</v>
      </c>
      <c r="V9" s="708" t="s">
        <v>17</v>
      </c>
      <c r="W9" s="709">
        <f t="shared" si="2"/>
        <v>100</v>
      </c>
      <c r="X9" s="710"/>
      <c r="Y9" s="3260" t="s">
        <v>2376</v>
      </c>
      <c r="Z9" s="55" t="str">
        <f t="shared" ref="Z9:Z15" si="7">Q9</f>
        <v>用途</v>
      </c>
      <c r="AA9" s="711">
        <f t="shared" si="3"/>
        <v>1</v>
      </c>
      <c r="AB9" s="711">
        <f t="shared" si="4"/>
        <v>1</v>
      </c>
      <c r="AC9" s="711">
        <f t="shared" si="5"/>
        <v>1</v>
      </c>
    </row>
    <row r="10" spans="1:29" s="386" customFormat="1" ht="27">
      <c r="A10" s="380"/>
      <c r="B10" s="381" t="s">
        <v>2377</v>
      </c>
      <c r="C10" s="391"/>
      <c r="D10" s="132">
        <v>100</v>
      </c>
      <c r="E10" s="391"/>
      <c r="F10" s="132">
        <f>ROUND(100/'数据-取费表'!G16,0)</f>
        <v>122</v>
      </c>
      <c r="G10" s="391"/>
      <c r="H10" s="132">
        <f>ROUND(100/'数据-取费表'!G16,0)</f>
        <v>122</v>
      </c>
      <c r="I10" s="391"/>
      <c r="J10" s="132">
        <f>ROUND(100/'数据-取费表'!G16,0)</f>
        <v>122</v>
      </c>
      <c r="K10" s="627"/>
      <c r="L10" s="2929"/>
      <c r="M10" s="2930"/>
      <c r="N10" s="2930"/>
      <c r="O10" s="2983"/>
      <c r="P10" s="3327"/>
      <c r="Q10" s="1520" t="str">
        <f t="shared" si="6"/>
        <v>土地使用年限（年）</v>
      </c>
      <c r="R10" s="708" t="s">
        <v>17</v>
      </c>
      <c r="S10" s="709">
        <f t="shared" si="0"/>
        <v>122</v>
      </c>
      <c r="T10" s="708" t="s">
        <v>17</v>
      </c>
      <c r="U10" s="709">
        <f t="shared" si="1"/>
        <v>122</v>
      </c>
      <c r="V10" s="708" t="s">
        <v>17</v>
      </c>
      <c r="W10" s="709">
        <f t="shared" si="2"/>
        <v>122</v>
      </c>
      <c r="X10" s="710"/>
      <c r="Y10" s="3260"/>
      <c r="Z10" s="55" t="str">
        <f t="shared" si="7"/>
        <v>土地使用年限（年）</v>
      </c>
      <c r="AA10" s="711">
        <f t="shared" si="3"/>
        <v>0.81967213114754101</v>
      </c>
      <c r="AB10" s="711">
        <f t="shared" si="4"/>
        <v>0.81967213114754101</v>
      </c>
      <c r="AC10" s="711">
        <f t="shared" si="5"/>
        <v>0.81967213114754101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1"/>
      <c r="M11" s="2926"/>
      <c r="N11" s="2926"/>
      <c r="O11" s="2984"/>
      <c r="P11" s="3327"/>
      <c r="Q11" s="1520" t="str">
        <f t="shared" si="6"/>
        <v>容积率</v>
      </c>
      <c r="R11" s="708" t="s">
        <v>17</v>
      </c>
      <c r="S11" s="709" t="e">
        <f t="shared" si="0"/>
        <v>#N/A</v>
      </c>
      <c r="T11" s="708" t="s">
        <v>17</v>
      </c>
      <c r="U11" s="709" t="e">
        <f t="shared" si="1"/>
        <v>#N/A</v>
      </c>
      <c r="V11" s="708" t="s">
        <v>17</v>
      </c>
      <c r="W11" s="709" t="e">
        <f t="shared" si="2"/>
        <v>#N/A</v>
      </c>
      <c r="X11" s="710"/>
      <c r="Y11" s="3260"/>
      <c r="Z11" s="55" t="str">
        <f t="shared" si="7"/>
        <v>容积率</v>
      </c>
      <c r="AA11" s="711" t="e">
        <f t="shared" si="3"/>
        <v>#N/A</v>
      </c>
      <c r="AB11" s="711" t="e">
        <f t="shared" si="4"/>
        <v>#N/A</v>
      </c>
      <c r="AC11" s="711" t="e">
        <f t="shared" si="5"/>
        <v>#N/A</v>
      </c>
    </row>
    <row r="12" spans="1:29" s="113" customFormat="1" ht="15">
      <c r="A12" s="390"/>
      <c r="B12" s="2071">
        <v>111</v>
      </c>
      <c r="C12" s="391"/>
      <c r="D12" s="392">
        <v>100</v>
      </c>
      <c r="E12" s="506"/>
      <c r="F12" s="132">
        <f>SUMIF(77:77,E12,78:78)-SUMIF(77:77,C12,78:78)+100</f>
        <v>100</v>
      </c>
      <c r="G12" s="629"/>
      <c r="H12" s="132">
        <f>SUMIF(77:77,G12,78:78)-SUMIF(77:77,C12,78:78)+100</f>
        <v>100</v>
      </c>
      <c r="I12" s="506"/>
      <c r="J12" s="132">
        <f>SUMIF(77:77,I12,78:78)-SUMIF(77:77,C12,78:78)+100</f>
        <v>100</v>
      </c>
      <c r="K12" s="627"/>
      <c r="L12" s="2927"/>
      <c r="M12" s="2928"/>
      <c r="N12" s="2928"/>
      <c r="O12" s="2982"/>
      <c r="P12" s="3327"/>
      <c r="Q12" s="1520">
        <f t="shared" si="6"/>
        <v>111</v>
      </c>
      <c r="R12" s="708" t="s">
        <v>17</v>
      </c>
      <c r="S12" s="709">
        <f t="shared" si="0"/>
        <v>100</v>
      </c>
      <c r="T12" s="708" t="s">
        <v>17</v>
      </c>
      <c r="U12" s="709">
        <f t="shared" si="1"/>
        <v>100</v>
      </c>
      <c r="V12" s="708" t="s">
        <v>17</v>
      </c>
      <c r="W12" s="709">
        <f t="shared" si="2"/>
        <v>100</v>
      </c>
      <c r="X12" s="710"/>
      <c r="Y12" s="3260"/>
      <c r="Z12" s="55">
        <f t="shared" si="7"/>
        <v>111</v>
      </c>
      <c r="AA12" s="711">
        <f>D12/F12</f>
        <v>1</v>
      </c>
      <c r="AB12" s="711">
        <f>D12/H12</f>
        <v>1</v>
      </c>
      <c r="AC12" s="711">
        <f>D12/J12</f>
        <v>1</v>
      </c>
    </row>
    <row r="13" spans="1:29" ht="15">
      <c r="A13" s="387"/>
      <c r="B13" s="2071">
        <v>111</v>
      </c>
      <c r="C13" s="393"/>
      <c r="D13" s="394">
        <v>100</v>
      </c>
      <c r="E13" s="506"/>
      <c r="F13" s="132">
        <f>SUMIF(79:79,E13,80:80)-SUMIF(79:79,C13,80:80)+100</f>
        <v>100</v>
      </c>
      <c r="G13" s="629"/>
      <c r="H13" s="394">
        <f>SUMIF(79:79,G13,80:80)-SUMIF(79:79,C13,80:80)+100</f>
        <v>100</v>
      </c>
      <c r="I13" s="506"/>
      <c r="J13" s="394">
        <f>SUMIF(79:79,I13,80:80)-SUMIF(79:79,C13,80:80)+100</f>
        <v>100</v>
      </c>
      <c r="K13" s="627"/>
      <c r="L13" s="2932"/>
      <c r="M13" s="2926"/>
      <c r="N13" s="2926"/>
      <c r="O13" s="2984"/>
      <c r="P13" s="3327"/>
      <c r="Q13" s="1520">
        <f t="shared" si="6"/>
        <v>111</v>
      </c>
      <c r="R13" s="708" t="s">
        <v>17</v>
      </c>
      <c r="S13" s="709">
        <f t="shared" si="0"/>
        <v>100</v>
      </c>
      <c r="T13" s="708" t="s">
        <v>17</v>
      </c>
      <c r="U13" s="709">
        <f t="shared" si="1"/>
        <v>100</v>
      </c>
      <c r="V13" s="708" t="s">
        <v>17</v>
      </c>
      <c r="W13" s="709">
        <f t="shared" si="2"/>
        <v>100</v>
      </c>
      <c r="X13" s="710"/>
      <c r="Y13" s="3260"/>
      <c r="Z13" s="55">
        <f t="shared" si="7"/>
        <v>111</v>
      </c>
      <c r="AA13" s="711">
        <f t="shared" si="3"/>
        <v>1</v>
      </c>
      <c r="AB13" s="711">
        <f t="shared" si="4"/>
        <v>1</v>
      </c>
      <c r="AC13" s="711">
        <f t="shared" si="5"/>
        <v>1</v>
      </c>
    </row>
    <row r="14" spans="1:29" ht="15.75" thickBot="1">
      <c r="A14" s="395"/>
      <c r="B14" s="2073">
        <v>111</v>
      </c>
      <c r="C14" s="396"/>
      <c r="D14" s="397">
        <v>100</v>
      </c>
      <c r="E14" s="506"/>
      <c r="F14" s="397">
        <f>SUMIF(81:81,E14,82:82)-SUMIF(81:81,C14,82:82)+100</f>
        <v>100</v>
      </c>
      <c r="G14" s="629"/>
      <c r="H14" s="397">
        <f>SUMIF(81:81,G14,82:82)-SUMIF(81:81,C14,82:82)+100</f>
        <v>100</v>
      </c>
      <c r="I14" s="506"/>
      <c r="J14" s="397">
        <f>SUMIF(81:81,I14,82:82)-SUMIF(81:81,C14,82:82)+100</f>
        <v>100</v>
      </c>
      <c r="K14" s="627"/>
      <c r="L14" s="2932"/>
      <c r="M14" s="2926"/>
      <c r="N14" s="2926"/>
      <c r="O14" s="2984"/>
      <c r="P14" s="3327"/>
      <c r="Q14" s="1520">
        <f t="shared" si="6"/>
        <v>111</v>
      </c>
      <c r="R14" s="708" t="s">
        <v>17</v>
      </c>
      <c r="S14" s="709">
        <f t="shared" si="0"/>
        <v>100</v>
      </c>
      <c r="T14" s="708" t="s">
        <v>17</v>
      </c>
      <c r="U14" s="709">
        <f t="shared" si="1"/>
        <v>100</v>
      </c>
      <c r="V14" s="708" t="s">
        <v>17</v>
      </c>
      <c r="W14" s="709">
        <f t="shared" si="2"/>
        <v>100</v>
      </c>
      <c r="X14" s="710"/>
      <c r="Y14" s="3260"/>
      <c r="Z14" s="55">
        <f t="shared" si="7"/>
        <v>111</v>
      </c>
      <c r="AA14" s="711">
        <f t="shared" si="3"/>
        <v>1</v>
      </c>
      <c r="AB14" s="711">
        <f t="shared" si="4"/>
        <v>1</v>
      </c>
      <c r="AC14" s="711">
        <f t="shared" si="5"/>
        <v>1</v>
      </c>
    </row>
    <row r="15" spans="1:29" ht="57">
      <c r="A15" s="399" t="s">
        <v>2379</v>
      </c>
      <c r="B15" s="584" t="s">
        <v>2618</v>
      </c>
      <c r="C15" s="214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32"/>
      <c r="M15" s="2926"/>
      <c r="N15" s="2926"/>
      <c r="O15" s="2984"/>
      <c r="P15" s="3329" t="s">
        <v>2380</v>
      </c>
      <c r="Q15" s="1529" t="str">
        <f t="shared" si="6"/>
        <v>产业集聚程度</v>
      </c>
      <c r="R15" s="712" t="s">
        <v>17</v>
      </c>
      <c r="S15" s="713">
        <f t="shared" si="0"/>
        <v>100</v>
      </c>
      <c r="T15" s="712" t="s">
        <v>17</v>
      </c>
      <c r="U15" s="713">
        <f t="shared" si="1"/>
        <v>100</v>
      </c>
      <c r="V15" s="712" t="s">
        <v>17</v>
      </c>
      <c r="W15" s="713">
        <f t="shared" si="2"/>
        <v>100</v>
      </c>
      <c r="X15" s="1532"/>
      <c r="Y15" s="3329" t="s">
        <v>2380</v>
      </c>
      <c r="Z15" s="1533" t="str">
        <f t="shared" si="7"/>
        <v>产业集聚程度</v>
      </c>
      <c r="AA15" s="1530">
        <f t="shared" si="3"/>
        <v>1</v>
      </c>
      <c r="AB15" s="1530">
        <f t="shared" si="4"/>
        <v>1</v>
      </c>
      <c r="AC15" s="1530">
        <f t="shared" si="5"/>
        <v>1</v>
      </c>
    </row>
    <row r="16" spans="1:29" ht="15">
      <c r="A16" s="387"/>
      <c r="B16" s="585"/>
      <c r="C16" s="406"/>
      <c r="D16" s="407"/>
      <c r="E16" s="2082"/>
      <c r="F16" s="407"/>
      <c r="G16" s="2082"/>
      <c r="H16" s="409"/>
      <c r="I16" s="2082"/>
      <c r="J16" s="407"/>
      <c r="K16" s="627"/>
      <c r="L16" s="2932"/>
      <c r="M16" s="2926"/>
      <c r="N16" s="2926"/>
      <c r="O16" s="2984"/>
      <c r="P16" s="3330"/>
      <c r="Q16" s="1529"/>
      <c r="R16" s="712"/>
      <c r="S16" s="713"/>
      <c r="T16" s="712"/>
      <c r="U16" s="713"/>
      <c r="V16" s="712"/>
      <c r="W16" s="713"/>
      <c r="X16" s="1532"/>
      <c r="Y16" s="3330"/>
      <c r="Z16" s="1533"/>
      <c r="AA16" s="1530">
        <v>1</v>
      </c>
      <c r="AB16" s="1530">
        <v>1</v>
      </c>
      <c r="AC16" s="1530">
        <v>1</v>
      </c>
    </row>
    <row r="17" spans="1:29" ht="85.5">
      <c r="A17" s="387"/>
      <c r="B17" s="586" t="s">
        <v>2529</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32"/>
      <c r="M17" s="2926"/>
      <c r="N17" s="2926"/>
      <c r="O17" s="2984"/>
      <c r="P17" s="3330"/>
      <c r="Q17" s="1529" t="str">
        <f>B17</f>
        <v>交通便捷度</v>
      </c>
      <c r="R17" s="712" t="s">
        <v>17</v>
      </c>
      <c r="S17" s="713">
        <f>F17</f>
        <v>100</v>
      </c>
      <c r="T17" s="712" t="s">
        <v>17</v>
      </c>
      <c r="U17" s="713">
        <f>H17</f>
        <v>100</v>
      </c>
      <c r="V17" s="712" t="s">
        <v>17</v>
      </c>
      <c r="W17" s="713">
        <f>J17</f>
        <v>100</v>
      </c>
      <c r="X17" s="1532"/>
      <c r="Y17" s="3330"/>
      <c r="Z17" s="1533" t="str">
        <f>Q17</f>
        <v>交通便捷度</v>
      </c>
      <c r="AA17" s="1530">
        <f t="shared" si="3"/>
        <v>1</v>
      </c>
      <c r="AB17" s="1530">
        <f t="shared" si="4"/>
        <v>1</v>
      </c>
      <c r="AC17" s="1530">
        <f t="shared" si="5"/>
        <v>1</v>
      </c>
    </row>
    <row r="18" spans="1:29" ht="15">
      <c r="A18" s="387"/>
      <c r="B18" s="587"/>
      <c r="C18" s="406"/>
      <c r="D18" s="407"/>
      <c r="E18" s="2076"/>
      <c r="F18" s="407"/>
      <c r="G18" s="2076"/>
      <c r="H18" s="407"/>
      <c r="I18" s="2075"/>
      <c r="J18" s="407"/>
      <c r="K18" s="627"/>
      <c r="L18" s="2932"/>
      <c r="M18" s="2926"/>
      <c r="N18" s="2926"/>
      <c r="O18" s="2984"/>
      <c r="P18" s="3330"/>
      <c r="Q18" s="1529"/>
      <c r="R18" s="712"/>
      <c r="S18" s="713"/>
      <c r="T18" s="712"/>
      <c r="U18" s="713"/>
      <c r="V18" s="712"/>
      <c r="W18" s="713"/>
      <c r="X18" s="1532"/>
      <c r="Y18" s="3330"/>
      <c r="Z18" s="1533"/>
      <c r="AA18" s="1530">
        <v>1</v>
      </c>
      <c r="AB18" s="1530">
        <v>1</v>
      </c>
      <c r="AC18" s="1530">
        <v>1</v>
      </c>
    </row>
    <row r="19" spans="1:29" ht="15">
      <c r="A19" s="387"/>
      <c r="B19" s="586" t="s">
        <v>2568</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32"/>
      <c r="M19" s="2926"/>
      <c r="N19" s="2926"/>
      <c r="O19" s="2984"/>
      <c r="P19" s="3330"/>
      <c r="Q19" s="1529" t="str">
        <f t="shared" ref="Q19:Q33" si="8">B19</f>
        <v>区域土地利用方向</v>
      </c>
      <c r="R19" s="712" t="s">
        <v>17</v>
      </c>
      <c r="S19" s="713">
        <f>F19</f>
        <v>100</v>
      </c>
      <c r="T19" s="712" t="s">
        <v>17</v>
      </c>
      <c r="U19" s="713">
        <f>H19</f>
        <v>100</v>
      </c>
      <c r="V19" s="712" t="s">
        <v>17</v>
      </c>
      <c r="W19" s="713">
        <f>J19</f>
        <v>100</v>
      </c>
      <c r="X19" s="1532"/>
      <c r="Y19" s="3330"/>
      <c r="Z19" s="1533" t="str">
        <f>Q19</f>
        <v>区域土地利用方向</v>
      </c>
      <c r="AA19" s="1530">
        <f t="shared" si="3"/>
        <v>1</v>
      </c>
      <c r="AB19" s="1530">
        <f t="shared" si="4"/>
        <v>1</v>
      </c>
      <c r="AC19" s="1530">
        <f t="shared" si="5"/>
        <v>1</v>
      </c>
    </row>
    <row r="20" spans="1:29" ht="15">
      <c r="A20" s="364"/>
      <c r="B20" s="587"/>
      <c r="C20" s="406"/>
      <c r="D20" s="407"/>
      <c r="E20" s="2076"/>
      <c r="F20" s="407"/>
      <c r="G20" s="2076"/>
      <c r="H20" s="407"/>
      <c r="I20" s="2076"/>
      <c r="J20" s="407"/>
      <c r="K20" s="749"/>
      <c r="L20" s="2932"/>
      <c r="M20" s="2926"/>
      <c r="N20" s="2926"/>
      <c r="O20" s="2984"/>
      <c r="P20" s="3330"/>
      <c r="Q20" s="1529"/>
      <c r="R20" s="712"/>
      <c r="S20" s="713"/>
      <c r="T20" s="712"/>
      <c r="U20" s="713"/>
      <c r="V20" s="712"/>
      <c r="W20" s="713"/>
      <c r="X20" s="1532"/>
      <c r="Y20" s="3330"/>
      <c r="Z20" s="1533"/>
      <c r="AA20" s="1530"/>
      <c r="AB20" s="1530"/>
      <c r="AC20" s="1530"/>
    </row>
    <row r="21" spans="1:29" ht="71.25">
      <c r="A21" s="364"/>
      <c r="B21" s="586" t="s">
        <v>2619</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32"/>
      <c r="M21" s="2926"/>
      <c r="N21" s="2926"/>
      <c r="O21" s="2984"/>
      <c r="P21" s="3330"/>
      <c r="Q21" s="1529" t="str">
        <f t="shared" si="8"/>
        <v>环境状况</v>
      </c>
      <c r="R21" s="712" t="s">
        <v>17</v>
      </c>
      <c r="S21" s="713">
        <f>F21</f>
        <v>100</v>
      </c>
      <c r="T21" s="712" t="s">
        <v>17</v>
      </c>
      <c r="U21" s="713">
        <f>H21</f>
        <v>100</v>
      </c>
      <c r="V21" s="712" t="s">
        <v>17</v>
      </c>
      <c r="W21" s="713">
        <f>J21</f>
        <v>100</v>
      </c>
      <c r="X21" s="1532"/>
      <c r="Y21" s="3330"/>
      <c r="Z21" s="1533" t="str">
        <f>Q21</f>
        <v>环境状况</v>
      </c>
      <c r="AA21" s="1530">
        <f t="shared" si="3"/>
        <v>1</v>
      </c>
      <c r="AB21" s="1530">
        <f t="shared" si="4"/>
        <v>1</v>
      </c>
      <c r="AC21" s="1530">
        <f t="shared" si="5"/>
        <v>1</v>
      </c>
    </row>
    <row r="22" spans="1:29" ht="15">
      <c r="A22" s="364"/>
      <c r="B22" s="587"/>
      <c r="C22" s="406"/>
      <c r="D22" s="407"/>
      <c r="E22" s="2082"/>
      <c r="F22" s="407"/>
      <c r="G22" s="2082"/>
      <c r="H22" s="407"/>
      <c r="I22" s="406"/>
      <c r="J22" s="407"/>
      <c r="K22" s="627"/>
      <c r="L22" s="2932"/>
      <c r="M22" s="2926"/>
      <c r="N22" s="2926"/>
      <c r="O22" s="2984"/>
      <c r="P22" s="3330"/>
      <c r="Q22" s="1529"/>
      <c r="R22" s="712"/>
      <c r="S22" s="713"/>
      <c r="T22" s="712"/>
      <c r="U22" s="713"/>
      <c r="V22" s="712"/>
      <c r="W22" s="713"/>
      <c r="X22" s="1532"/>
      <c r="Y22" s="3330"/>
      <c r="Z22" s="1533"/>
      <c r="AA22" s="1530">
        <v>1</v>
      </c>
      <c r="AB22" s="1530">
        <v>1</v>
      </c>
      <c r="AC22" s="1530">
        <v>1</v>
      </c>
    </row>
    <row r="23" spans="1:29" s="113" customFormat="1" ht="42.75">
      <c r="A23" s="604"/>
      <c r="B23" s="588" t="s">
        <v>2474</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27"/>
      <c r="M23" s="2928"/>
      <c r="N23" s="2928"/>
      <c r="O23" s="2982"/>
      <c r="P23" s="3330"/>
      <c r="Q23" s="1520" t="str">
        <f t="shared" si="8"/>
        <v>公共配套设施</v>
      </c>
      <c r="R23" s="708" t="s">
        <v>17</v>
      </c>
      <c r="S23" s="709">
        <f>F23</f>
        <v>100</v>
      </c>
      <c r="T23" s="708" t="s">
        <v>17</v>
      </c>
      <c r="U23" s="709">
        <f>H23</f>
        <v>100</v>
      </c>
      <c r="V23" s="708" t="s">
        <v>17</v>
      </c>
      <c r="W23" s="709">
        <f>J23</f>
        <v>100</v>
      </c>
      <c r="X23" s="710"/>
      <c r="Y23" s="3330"/>
      <c r="Z23" s="55" t="str">
        <f>Q23</f>
        <v>公共配套设施</v>
      </c>
      <c r="AA23" s="1530">
        <f>D23/F23</f>
        <v>1</v>
      </c>
      <c r="AB23" s="1530">
        <f>D23/H23</f>
        <v>1</v>
      </c>
      <c r="AC23" s="1530">
        <f>D23/J23</f>
        <v>1</v>
      </c>
    </row>
    <row r="24" spans="1:29" s="113" customFormat="1" ht="15">
      <c r="A24" s="604"/>
      <c r="B24" s="587"/>
      <c r="C24" s="2154"/>
      <c r="D24" s="407"/>
      <c r="E24" s="2082"/>
      <c r="F24" s="407"/>
      <c r="G24" s="2082"/>
      <c r="H24" s="407"/>
      <c r="I24" s="406"/>
      <c r="J24" s="407"/>
      <c r="K24" s="627"/>
      <c r="L24" s="2927"/>
      <c r="M24" s="2928"/>
      <c r="N24" s="2928"/>
      <c r="O24" s="2982"/>
      <c r="P24" s="3330"/>
      <c r="Q24" s="1520"/>
      <c r="R24" s="708"/>
      <c r="S24" s="709"/>
      <c r="T24" s="708"/>
      <c r="U24" s="709"/>
      <c r="V24" s="708"/>
      <c r="W24" s="709"/>
      <c r="X24" s="710"/>
      <c r="Y24" s="3330"/>
      <c r="Z24" s="55"/>
      <c r="AA24" s="711">
        <v>1</v>
      </c>
      <c r="AB24" s="711">
        <v>1</v>
      </c>
      <c r="AC24" s="711">
        <v>1</v>
      </c>
    </row>
    <row r="25" spans="1:29" s="113" customFormat="1" ht="28.5">
      <c r="A25" s="604"/>
      <c r="B25" s="588" t="s">
        <v>2475</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27"/>
      <c r="M25" s="2928"/>
      <c r="N25" s="2928"/>
      <c r="O25" s="2982"/>
      <c r="P25" s="3330"/>
      <c r="Q25" s="1520" t="str">
        <f t="shared" ref="Q25" si="9">B25</f>
        <v>基础设施水平</v>
      </c>
      <c r="R25" s="708" t="s">
        <v>17</v>
      </c>
      <c r="S25" s="709">
        <f>F25</f>
        <v>100</v>
      </c>
      <c r="T25" s="708" t="s">
        <v>17</v>
      </c>
      <c r="U25" s="709">
        <f>H25</f>
        <v>100</v>
      </c>
      <c r="V25" s="708" t="s">
        <v>17</v>
      </c>
      <c r="W25" s="709">
        <f>J25</f>
        <v>100</v>
      </c>
      <c r="X25" s="710"/>
      <c r="Y25" s="3330"/>
      <c r="Z25" s="55" t="str">
        <f>Q25</f>
        <v>基础设施水平</v>
      </c>
      <c r="AA25" s="1530">
        <f>D25/F25</f>
        <v>1</v>
      </c>
      <c r="AB25" s="1530">
        <f>D25/H25</f>
        <v>1</v>
      </c>
      <c r="AC25" s="1530">
        <f>D25/J25</f>
        <v>1</v>
      </c>
    </row>
    <row r="26" spans="1:29" s="113" customFormat="1" ht="15">
      <c r="A26" s="604"/>
      <c r="B26" s="587"/>
      <c r="C26" s="2154"/>
      <c r="D26" s="407"/>
      <c r="E26" s="2155"/>
      <c r="F26" s="407"/>
      <c r="G26" s="2155"/>
      <c r="H26" s="407"/>
      <c r="I26" s="2155"/>
      <c r="J26" s="407"/>
      <c r="K26" s="627"/>
      <c r="L26" s="2927"/>
      <c r="M26" s="2928"/>
      <c r="N26" s="2928"/>
      <c r="O26" s="2982"/>
      <c r="P26" s="3330"/>
      <c r="Q26" s="1520"/>
      <c r="R26" s="708"/>
      <c r="S26" s="709"/>
      <c r="T26" s="708"/>
      <c r="U26" s="709"/>
      <c r="V26" s="708"/>
      <c r="W26" s="709"/>
      <c r="X26" s="710"/>
      <c r="Y26" s="3330"/>
      <c r="Z26" s="55"/>
      <c r="AA26" s="711">
        <v>1</v>
      </c>
      <c r="AB26" s="711">
        <v>1</v>
      </c>
      <c r="AC26" s="711">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32"/>
      <c r="M27" s="2926"/>
      <c r="N27" s="2926"/>
      <c r="O27" s="2984"/>
      <c r="P27" s="3330"/>
      <c r="Q27" s="1529" t="str">
        <f t="shared" si="8"/>
        <v>临街状况</v>
      </c>
      <c r="R27" s="712" t="s">
        <v>17</v>
      </c>
      <c r="S27" s="713">
        <f t="shared" ref="S27:S40" si="10">F27</f>
        <v>100</v>
      </c>
      <c r="T27" s="712" t="s">
        <v>17</v>
      </c>
      <c r="U27" s="713">
        <f t="shared" ref="U27:U40" si="11">H27</f>
        <v>100</v>
      </c>
      <c r="V27" s="712" t="s">
        <v>17</v>
      </c>
      <c r="W27" s="713">
        <f t="shared" ref="W27:W40" si="12">J27</f>
        <v>100</v>
      </c>
      <c r="X27" s="1532"/>
      <c r="Y27" s="3330"/>
      <c r="Z27" s="1533" t="str">
        <f t="shared" ref="Z27:Z40" si="13">Q27</f>
        <v>临街状况</v>
      </c>
      <c r="AA27" s="1530">
        <f t="shared" si="3"/>
        <v>1</v>
      </c>
      <c r="AB27" s="1530">
        <f t="shared" si="4"/>
        <v>1</v>
      </c>
      <c r="AC27" s="1530">
        <f t="shared" si="5"/>
        <v>1</v>
      </c>
    </row>
    <row r="28" spans="1:29" ht="27">
      <c r="A28" s="387"/>
      <c r="B28" s="588" t="s">
        <v>2511</v>
      </c>
      <c r="C28" s="2167">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32"/>
      <c r="M28" s="2926"/>
      <c r="N28" s="2926"/>
      <c r="O28" s="2984"/>
      <c r="P28" s="3330"/>
      <c r="Q28" s="1529" t="str">
        <f t="shared" si="8"/>
        <v>毗邻道路的类型与等级</v>
      </c>
      <c r="R28" s="712" t="s">
        <v>17</v>
      </c>
      <c r="S28" s="713">
        <f t="shared" si="10"/>
        <v>100</v>
      </c>
      <c r="T28" s="712" t="s">
        <v>17</v>
      </c>
      <c r="U28" s="713">
        <f t="shared" si="11"/>
        <v>100</v>
      </c>
      <c r="V28" s="712" t="s">
        <v>17</v>
      </c>
      <c r="W28" s="713">
        <f t="shared" si="12"/>
        <v>100</v>
      </c>
      <c r="X28" s="1532"/>
      <c r="Y28" s="3330"/>
      <c r="Z28" s="1533" t="str">
        <f t="shared" si="13"/>
        <v>毗邻道路的类型与等级</v>
      </c>
      <c r="AA28" s="1530">
        <f t="shared" si="3"/>
        <v>1</v>
      </c>
      <c r="AB28" s="1530">
        <f t="shared" si="4"/>
        <v>1</v>
      </c>
      <c r="AC28" s="1530">
        <f t="shared" si="5"/>
        <v>1</v>
      </c>
    </row>
    <row r="29" spans="1:29" ht="15">
      <c r="A29" s="387"/>
      <c r="B29" s="587"/>
      <c r="C29" s="406"/>
      <c r="D29" s="407"/>
      <c r="E29" s="2082"/>
      <c r="F29" s="407"/>
      <c r="G29" s="2082"/>
      <c r="H29" s="407"/>
      <c r="I29" s="2082"/>
      <c r="J29" s="407"/>
      <c r="K29" s="570"/>
      <c r="L29" s="2932"/>
      <c r="M29" s="2926"/>
      <c r="N29" s="2926"/>
      <c r="O29" s="2984"/>
      <c r="P29" s="3330"/>
      <c r="Q29" s="1529"/>
      <c r="R29" s="712"/>
      <c r="S29" s="713"/>
      <c r="T29" s="712"/>
      <c r="U29" s="713"/>
      <c r="V29" s="712"/>
      <c r="W29" s="713"/>
      <c r="X29" s="1532"/>
      <c r="Y29" s="3330"/>
      <c r="Z29" s="1533"/>
      <c r="AA29" s="1530">
        <v>1</v>
      </c>
      <c r="AB29" s="1530">
        <v>1</v>
      </c>
      <c r="AC29" s="1530">
        <v>1</v>
      </c>
    </row>
    <row r="30" spans="1:29" ht="15">
      <c r="A30" s="387"/>
      <c r="B30" s="609" t="s">
        <v>2570</v>
      </c>
      <c r="C30" s="1293">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32"/>
      <c r="M30" s="2926"/>
      <c r="N30" s="2926"/>
      <c r="O30" s="2984"/>
      <c r="P30" s="3330"/>
      <c r="Q30" s="1529" t="str">
        <f t="shared" si="8"/>
        <v>土地级别</v>
      </c>
      <c r="R30" s="712" t="s">
        <v>17</v>
      </c>
      <c r="S30" s="713">
        <f t="shared" si="10"/>
        <v>100</v>
      </c>
      <c r="T30" s="712" t="s">
        <v>17</v>
      </c>
      <c r="U30" s="713">
        <f t="shared" si="11"/>
        <v>100</v>
      </c>
      <c r="V30" s="712" t="s">
        <v>17</v>
      </c>
      <c r="W30" s="713">
        <f t="shared" si="12"/>
        <v>100</v>
      </c>
      <c r="X30" s="1532"/>
      <c r="Y30" s="3330"/>
      <c r="Z30" s="1533" t="str">
        <f t="shared" si="13"/>
        <v>土地级别</v>
      </c>
      <c r="AA30" s="1530">
        <f t="shared" si="3"/>
        <v>1</v>
      </c>
      <c r="AB30" s="1530">
        <f t="shared" si="4"/>
        <v>1</v>
      </c>
      <c r="AC30" s="1530">
        <f t="shared" si="5"/>
        <v>1</v>
      </c>
    </row>
    <row r="31" spans="1:29" ht="15">
      <c r="A31" s="364"/>
      <c r="B31" s="2142">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32"/>
      <c r="M31" s="2926"/>
      <c r="N31" s="2926"/>
      <c r="O31" s="2984"/>
      <c r="P31" s="3330"/>
      <c r="Q31" s="1529">
        <f t="shared" si="8"/>
        <v>111</v>
      </c>
      <c r="R31" s="712" t="s">
        <v>17</v>
      </c>
      <c r="S31" s="713">
        <f t="shared" si="10"/>
        <v>100</v>
      </c>
      <c r="T31" s="712" t="s">
        <v>17</v>
      </c>
      <c r="U31" s="713">
        <f t="shared" si="11"/>
        <v>100</v>
      </c>
      <c r="V31" s="712" t="s">
        <v>17</v>
      </c>
      <c r="W31" s="713">
        <f t="shared" si="12"/>
        <v>100</v>
      </c>
      <c r="X31" s="1532"/>
      <c r="Y31" s="3330"/>
      <c r="Z31" s="1533">
        <f t="shared" si="13"/>
        <v>111</v>
      </c>
      <c r="AA31" s="1530">
        <f t="shared" si="3"/>
        <v>1</v>
      </c>
      <c r="AB31" s="1530">
        <f t="shared" si="4"/>
        <v>1</v>
      </c>
      <c r="AC31" s="1530">
        <f t="shared" si="5"/>
        <v>1</v>
      </c>
    </row>
    <row r="32" spans="1:29" ht="15">
      <c r="A32" s="630"/>
      <c r="B32" s="2168">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32"/>
      <c r="M32" s="2926"/>
      <c r="N32" s="2926"/>
      <c r="O32" s="2984"/>
      <c r="P32" s="3380" t="s">
        <v>2385</v>
      </c>
      <c r="Q32" s="1529">
        <f t="shared" si="8"/>
        <v>111</v>
      </c>
      <c r="R32" s="712" t="s">
        <v>17</v>
      </c>
      <c r="S32" s="713">
        <f t="shared" si="10"/>
        <v>100</v>
      </c>
      <c r="T32" s="712" t="s">
        <v>17</v>
      </c>
      <c r="U32" s="713">
        <f t="shared" si="11"/>
        <v>100</v>
      </c>
      <c r="V32" s="712" t="s">
        <v>17</v>
      </c>
      <c r="W32" s="713">
        <f t="shared" si="12"/>
        <v>100</v>
      </c>
      <c r="X32" s="1532"/>
      <c r="Y32" s="3334" t="s">
        <v>2385</v>
      </c>
      <c r="Z32" s="1533">
        <f t="shared" si="13"/>
        <v>111</v>
      </c>
      <c r="AA32" s="1530">
        <f t="shared" si="3"/>
        <v>1</v>
      </c>
      <c r="AB32" s="1530">
        <f t="shared" si="4"/>
        <v>1</v>
      </c>
      <c r="AC32" s="1530">
        <f t="shared" si="5"/>
        <v>1</v>
      </c>
    </row>
    <row r="33" spans="1:31" s="430" customFormat="1" ht="15.75" thickBot="1">
      <c r="A33" s="631"/>
      <c r="B33" s="2169">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1"/>
      <c r="M33" s="2933"/>
      <c r="N33" s="2933"/>
      <c r="O33" s="2985"/>
      <c r="P33" s="3334"/>
      <c r="Q33" s="1529">
        <f t="shared" si="8"/>
        <v>111</v>
      </c>
      <c r="R33" s="715" t="s">
        <v>17</v>
      </c>
      <c r="S33" s="716">
        <f t="shared" si="10"/>
        <v>100</v>
      </c>
      <c r="T33" s="715" t="s">
        <v>17</v>
      </c>
      <c r="U33" s="716">
        <f t="shared" si="11"/>
        <v>100</v>
      </c>
      <c r="V33" s="715" t="s">
        <v>17</v>
      </c>
      <c r="W33" s="716">
        <f t="shared" si="12"/>
        <v>100</v>
      </c>
      <c r="X33" s="717"/>
      <c r="Y33" s="3334"/>
      <c r="Z33" s="718">
        <f t="shared" si="13"/>
        <v>111</v>
      </c>
      <c r="AA33" s="1530">
        <f t="shared" si="3"/>
        <v>1</v>
      </c>
      <c r="AB33" s="1530">
        <f t="shared" si="4"/>
        <v>1</v>
      </c>
      <c r="AC33" s="1530">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32"/>
      <c r="M34" s="2926"/>
      <c r="N34" s="2926"/>
      <c r="O34" s="2984"/>
      <c r="P34" s="3334"/>
      <c r="Q34" s="1529" t="str">
        <f>B34</f>
        <v>宗地面积</v>
      </c>
      <c r="R34" s="712" t="s">
        <v>17</v>
      </c>
      <c r="S34" s="713" t="e">
        <f t="shared" si="10"/>
        <v>#N/A</v>
      </c>
      <c r="T34" s="712" t="s">
        <v>17</v>
      </c>
      <c r="U34" s="713" t="e">
        <f t="shared" si="11"/>
        <v>#N/A</v>
      </c>
      <c r="V34" s="712" t="s">
        <v>17</v>
      </c>
      <c r="W34" s="713" t="e">
        <f t="shared" si="12"/>
        <v>#N/A</v>
      </c>
      <c r="X34" s="1532"/>
      <c r="Y34" s="3334"/>
      <c r="Z34" s="1533" t="str">
        <f t="shared" si="13"/>
        <v>宗地面积</v>
      </c>
      <c r="AA34" s="1530" t="e">
        <f t="shared" si="3"/>
        <v>#N/A</v>
      </c>
      <c r="AB34" s="1530" t="e">
        <f t="shared" si="4"/>
        <v>#N/A</v>
      </c>
      <c r="AC34" s="1530" t="e">
        <f t="shared" si="5"/>
        <v>#N/A</v>
      </c>
    </row>
    <row r="35" spans="1:31" ht="15">
      <c r="A35" s="431"/>
      <c r="B35" s="381" t="s">
        <v>2572</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32"/>
      <c r="M35" s="2926"/>
      <c r="N35" s="2926"/>
      <c r="O35" s="2984"/>
      <c r="P35" s="3334"/>
      <c r="Q35" s="1529" t="str">
        <f t="shared" ref="Q35:Q40" si="14">B35</f>
        <v>宗地形状</v>
      </c>
      <c r="R35" s="712" t="s">
        <v>17</v>
      </c>
      <c r="S35" s="713">
        <f t="shared" si="10"/>
        <v>100</v>
      </c>
      <c r="T35" s="712" t="s">
        <v>17</v>
      </c>
      <c r="U35" s="713">
        <f t="shared" si="11"/>
        <v>100</v>
      </c>
      <c r="V35" s="712" t="s">
        <v>17</v>
      </c>
      <c r="W35" s="713">
        <f t="shared" si="12"/>
        <v>100</v>
      </c>
      <c r="X35" s="1532"/>
      <c r="Y35" s="3334"/>
      <c r="Z35" s="1533" t="str">
        <f t="shared" si="13"/>
        <v>宗地形状</v>
      </c>
      <c r="AA35" s="1530">
        <f t="shared" si="3"/>
        <v>1</v>
      </c>
      <c r="AB35" s="1530">
        <f t="shared" si="4"/>
        <v>1</v>
      </c>
      <c r="AC35" s="1530">
        <f t="shared" si="5"/>
        <v>1</v>
      </c>
    </row>
    <row r="36" spans="1:31" s="113" customFormat="1" ht="15">
      <c r="A36" s="432"/>
      <c r="B36" s="381" t="s">
        <v>2574</v>
      </c>
      <c r="C36" s="2156"/>
      <c r="D36" s="132">
        <v>100</v>
      </c>
      <c r="E36" s="2156"/>
      <c r="F36" s="394">
        <f>SUMIF(112:112,E36,113:113)-SUMIF(112:112,C36,113:113)+100</f>
        <v>100</v>
      </c>
      <c r="G36" s="2156"/>
      <c r="H36" s="394">
        <f>SUMIF(112:112,G36,113:113)-SUMIF(112:112,C36,113:113)+100</f>
        <v>100</v>
      </c>
      <c r="I36" s="2156"/>
      <c r="J36" s="394">
        <f>SUMIF(112:112,I36,113:113)-SUMIF(112:112,C36,113:113)+100</f>
        <v>100</v>
      </c>
      <c r="K36" s="569"/>
      <c r="L36" s="2927"/>
      <c r="M36" s="2928"/>
      <c r="N36" s="2928"/>
      <c r="O36" s="2982"/>
      <c r="P36" s="3334"/>
      <c r="Q36" s="1529" t="str">
        <f t="shared" si="14"/>
        <v>宗地开发程度</v>
      </c>
      <c r="R36" s="708" t="s">
        <v>17</v>
      </c>
      <c r="S36" s="709">
        <f t="shared" si="10"/>
        <v>100</v>
      </c>
      <c r="T36" s="708" t="s">
        <v>17</v>
      </c>
      <c r="U36" s="709">
        <f t="shared" si="11"/>
        <v>100</v>
      </c>
      <c r="V36" s="708" t="s">
        <v>17</v>
      </c>
      <c r="W36" s="709">
        <f t="shared" si="12"/>
        <v>100</v>
      </c>
      <c r="X36" s="710"/>
      <c r="Y36" s="3334"/>
      <c r="Z36" s="55" t="str">
        <f t="shared" si="13"/>
        <v>宗地开发程度</v>
      </c>
      <c r="AA36" s="711">
        <f t="shared" si="3"/>
        <v>1</v>
      </c>
      <c r="AB36" s="711">
        <f t="shared" si="4"/>
        <v>1</v>
      </c>
      <c r="AC36" s="711">
        <f t="shared" si="5"/>
        <v>1</v>
      </c>
    </row>
    <row r="37" spans="1:31" ht="15">
      <c r="A37" s="431"/>
      <c r="B37" s="381" t="s">
        <v>2575</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32"/>
      <c r="M37" s="2926"/>
      <c r="N37" s="2926"/>
      <c r="O37" s="2984"/>
      <c r="P37" s="3334" t="s">
        <v>2385</v>
      </c>
      <c r="Q37" s="1529" t="str">
        <f t="shared" si="14"/>
        <v>工程地质条件</v>
      </c>
      <c r="R37" s="712" t="s">
        <v>17</v>
      </c>
      <c r="S37" s="713">
        <f t="shared" si="10"/>
        <v>100</v>
      </c>
      <c r="T37" s="712" t="s">
        <v>17</v>
      </c>
      <c r="U37" s="713">
        <f t="shared" si="11"/>
        <v>100</v>
      </c>
      <c r="V37" s="712" t="s">
        <v>17</v>
      </c>
      <c r="W37" s="713">
        <f t="shared" si="12"/>
        <v>100</v>
      </c>
      <c r="X37" s="1532"/>
      <c r="Y37" s="3334" t="s">
        <v>2385</v>
      </c>
      <c r="Z37" s="1533" t="str">
        <f t="shared" si="13"/>
        <v>工程地质条件</v>
      </c>
      <c r="AA37" s="1530">
        <f t="shared" si="3"/>
        <v>1</v>
      </c>
      <c r="AB37" s="1530">
        <f t="shared" si="4"/>
        <v>1</v>
      </c>
      <c r="AC37" s="1530">
        <f t="shared" si="5"/>
        <v>1</v>
      </c>
    </row>
    <row r="38" spans="1:31" ht="15">
      <c r="A38" s="431"/>
      <c r="B38" s="1291">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32"/>
      <c r="M38" s="2926"/>
      <c r="N38" s="2926"/>
      <c r="O38" s="2984"/>
      <c r="P38" s="3334"/>
      <c r="Q38" s="1529">
        <f t="shared" si="14"/>
        <v>111</v>
      </c>
      <c r="R38" s="712" t="s">
        <v>17</v>
      </c>
      <c r="S38" s="713">
        <f t="shared" si="10"/>
        <v>100</v>
      </c>
      <c r="T38" s="712" t="s">
        <v>17</v>
      </c>
      <c r="U38" s="713">
        <f t="shared" si="11"/>
        <v>100</v>
      </c>
      <c r="V38" s="712" t="s">
        <v>17</v>
      </c>
      <c r="W38" s="713">
        <f t="shared" si="12"/>
        <v>100</v>
      </c>
      <c r="X38" s="1532"/>
      <c r="Y38" s="3334"/>
      <c r="Z38" s="1533">
        <f t="shared" si="13"/>
        <v>111</v>
      </c>
      <c r="AA38" s="1530">
        <f t="shared" si="3"/>
        <v>1</v>
      </c>
      <c r="AB38" s="1530">
        <f t="shared" si="4"/>
        <v>1</v>
      </c>
      <c r="AC38" s="1530">
        <f t="shared" si="5"/>
        <v>1</v>
      </c>
    </row>
    <row r="39" spans="1:31" ht="15">
      <c r="A39" s="431"/>
      <c r="B39" s="1291">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32"/>
      <c r="M39" s="2926"/>
      <c r="N39" s="2926"/>
      <c r="O39" s="2984"/>
      <c r="P39" s="3334"/>
      <c r="Q39" s="1529">
        <f t="shared" si="14"/>
        <v>111</v>
      </c>
      <c r="R39" s="712" t="s">
        <v>17</v>
      </c>
      <c r="S39" s="713">
        <f t="shared" si="10"/>
        <v>100</v>
      </c>
      <c r="T39" s="712" t="s">
        <v>17</v>
      </c>
      <c r="U39" s="713">
        <f t="shared" si="11"/>
        <v>100</v>
      </c>
      <c r="V39" s="712" t="s">
        <v>17</v>
      </c>
      <c r="W39" s="713">
        <f t="shared" si="12"/>
        <v>100</v>
      </c>
      <c r="X39" s="1532"/>
      <c r="Y39" s="3334"/>
      <c r="Z39" s="1533">
        <f t="shared" si="13"/>
        <v>111</v>
      </c>
      <c r="AA39" s="1530">
        <f t="shared" si="3"/>
        <v>1</v>
      </c>
      <c r="AB39" s="1530">
        <f t="shared" si="4"/>
        <v>1</v>
      </c>
      <c r="AC39" s="1530">
        <f t="shared" si="5"/>
        <v>1</v>
      </c>
    </row>
    <row r="40" spans="1:31" s="430" customFormat="1" ht="15.75" thickBot="1">
      <c r="A40" s="427"/>
      <c r="B40" s="1291">
        <v>111</v>
      </c>
      <c r="C40" s="2157"/>
      <c r="D40" s="133">
        <v>100</v>
      </c>
      <c r="E40" s="629"/>
      <c r="F40" s="397">
        <f>SUMIF(120:120,E40,121:121)-SUMIF(120:120,C40,121:121)+100</f>
        <v>100</v>
      </c>
      <c r="G40" s="629"/>
      <c r="H40" s="397">
        <f>SUMIF(120:120,G40,121:121)-SUMIF(120:120,C40,121:121)+100</f>
        <v>100</v>
      </c>
      <c r="I40" s="506"/>
      <c r="J40" s="397">
        <f>SUMIF(120:120,I40,121:121)-SUMIF(120:120,C40,121:121)+100</f>
        <v>100</v>
      </c>
      <c r="K40" s="636"/>
      <c r="L40" s="2931"/>
      <c r="M40" s="2933"/>
      <c r="N40" s="2933"/>
      <c r="O40" s="2985"/>
      <c r="P40" s="3334"/>
      <c r="Q40" s="1529">
        <f t="shared" si="14"/>
        <v>111</v>
      </c>
      <c r="R40" s="715" t="s">
        <v>17</v>
      </c>
      <c r="S40" s="716">
        <f t="shared" si="10"/>
        <v>100</v>
      </c>
      <c r="T40" s="715" t="s">
        <v>17</v>
      </c>
      <c r="U40" s="716">
        <f t="shared" si="11"/>
        <v>100</v>
      </c>
      <c r="V40" s="715" t="s">
        <v>17</v>
      </c>
      <c r="W40" s="716">
        <f t="shared" si="12"/>
        <v>100</v>
      </c>
      <c r="X40" s="717"/>
      <c r="Y40" s="3334"/>
      <c r="Z40" s="718">
        <f t="shared" si="13"/>
        <v>111</v>
      </c>
      <c r="AA40" s="1530">
        <f t="shared" si="3"/>
        <v>1</v>
      </c>
      <c r="AB40" s="1530">
        <f t="shared" si="4"/>
        <v>1</v>
      </c>
      <c r="AC40" s="1530">
        <f t="shared" si="5"/>
        <v>1</v>
      </c>
    </row>
    <row r="41" spans="1:31" ht="15">
      <c r="A41" s="438" t="s">
        <v>2540</v>
      </c>
      <c r="B41" s="2158" t="s">
        <v>2620</v>
      </c>
      <c r="C41" s="637" t="s">
        <v>1</v>
      </c>
      <c r="D41" s="440"/>
      <c r="E41" s="441"/>
      <c r="F41" s="442"/>
      <c r="G41" s="443"/>
      <c r="H41" s="444"/>
      <c r="I41" s="441"/>
      <c r="J41" s="444"/>
      <c r="K41" s="721"/>
      <c r="L41" s="2934"/>
      <c r="M41" s="2926"/>
      <c r="N41" s="2926"/>
      <c r="O41" s="2935"/>
      <c r="P41" s="3327" t="str">
        <f>A41</f>
        <v>成交单价</v>
      </c>
      <c r="Q41" s="3327"/>
      <c r="R41" s="3322">
        <f>E41</f>
        <v>0</v>
      </c>
      <c r="S41" s="3322"/>
      <c r="T41" s="3322">
        <f>G41</f>
        <v>0</v>
      </c>
      <c r="U41" s="3322"/>
      <c r="V41" s="3322">
        <f>I41</f>
        <v>0</v>
      </c>
      <c r="W41" s="3322"/>
      <c r="X41" s="697"/>
      <c r="Y41" s="719"/>
      <c r="Z41" s="697"/>
      <c r="AA41" s="697"/>
      <c r="AB41" s="697"/>
      <c r="AC41" s="697"/>
    </row>
    <row r="42" spans="1:31" ht="15.75" thickBot="1">
      <c r="A42" s="445" t="s">
        <v>2489</v>
      </c>
      <c r="B42" s="638"/>
      <c r="C42" s="448" t="e">
        <f>R43</f>
        <v>#DIV/0!</v>
      </c>
      <c r="D42" s="2528" t="s">
        <v>2876</v>
      </c>
      <c r="E42" s="448" t="e">
        <f>R42</f>
        <v>#DIV/0!</v>
      </c>
      <c r="F42" s="2529"/>
      <c r="G42" s="447" t="e">
        <f>T42</f>
        <v>#DIV/0!</v>
      </c>
      <c r="H42" s="2529"/>
      <c r="I42" s="448" t="e">
        <f>V42</f>
        <v>#DIV/0!</v>
      </c>
      <c r="J42" s="2529"/>
      <c r="K42" s="2531">
        <f>F42+H42+J42</f>
        <v>0</v>
      </c>
      <c r="L42" s="2934"/>
      <c r="M42" s="2926"/>
      <c r="N42" s="2926"/>
      <c r="O42" s="2935"/>
      <c r="P42" s="3327" t="str">
        <f>A42</f>
        <v>比较价值（元/平方米）</v>
      </c>
      <c r="Q42" s="3327"/>
      <c r="R42" s="3382" t="e">
        <f>ROUND(PRODUCT(R41,AA7:AA40),0)</f>
        <v>#DIV/0!</v>
      </c>
      <c r="S42" s="3382"/>
      <c r="T42" s="3382" t="e">
        <f>ROUND(PRODUCT(T41,AB7:AB40),0)</f>
        <v>#DIV/0!</v>
      </c>
      <c r="U42" s="3382"/>
      <c r="V42" s="3382" t="e">
        <f>ROUND(PRODUCT(V41,AC7:AC40),0)</f>
        <v>#DIV/0!</v>
      </c>
      <c r="W42" s="3382"/>
      <c r="X42" s="697"/>
      <c r="Y42" s="697"/>
      <c r="Z42" s="697"/>
      <c r="AA42" s="697"/>
      <c r="AB42" s="697"/>
      <c r="AC42" s="697"/>
    </row>
    <row r="43" spans="1:31" ht="15.75" thickBot="1">
      <c r="A43" s="449" t="s">
        <v>2490</v>
      </c>
      <c r="B43" s="450"/>
      <c r="C43" s="451" t="e">
        <f>R43</f>
        <v>#DIV/0!</v>
      </c>
      <c r="D43" s="451"/>
      <c r="E43" s="451"/>
      <c r="F43" s="451"/>
      <c r="G43" s="451"/>
      <c r="H43" s="451"/>
      <c r="I43" s="451"/>
      <c r="J43" s="451"/>
      <c r="K43" s="722"/>
      <c r="L43" s="2934"/>
      <c r="M43" s="2926"/>
      <c r="N43" s="2926"/>
      <c r="O43" s="2935"/>
      <c r="P43" s="3324" t="str">
        <f>A43</f>
        <v>估价对象XX用房的比较价值（楼面单价，元/平方米）</v>
      </c>
      <c r="Q43" s="3325"/>
      <c r="R43" s="3383" t="e">
        <f>ROUND(IF(D42="简单平均",AVERAGE(R42:W42),R42*F42+T42*H42+V42*J42),0)</f>
        <v>#DIV/0!</v>
      </c>
      <c r="S43" s="3383"/>
      <c r="T43" s="3383"/>
      <c r="U43" s="3383"/>
      <c r="V43" s="3383"/>
      <c r="W43" s="3383"/>
      <c r="X43" s="697"/>
      <c r="Y43" s="697"/>
      <c r="Z43" s="697"/>
      <c r="AA43" s="697"/>
      <c r="AB43" s="697"/>
      <c r="AC43" s="697"/>
    </row>
    <row r="44" spans="1:31">
      <c r="A44" s="2935"/>
      <c r="B44" s="2935"/>
      <c r="C44" s="2935"/>
      <c r="D44" s="2935"/>
      <c r="E44" s="2935"/>
      <c r="F44" s="2935"/>
      <c r="G44" s="2939"/>
      <c r="H44" s="2935"/>
      <c r="I44" s="2935"/>
      <c r="J44" s="2935"/>
      <c r="K44" s="2940"/>
      <c r="L44" s="2936"/>
      <c r="M44" s="2926"/>
      <c r="N44" s="2926"/>
      <c r="O44" s="2935"/>
      <c r="P44" s="2935"/>
      <c r="Q44" s="2935"/>
      <c r="R44" s="2935"/>
      <c r="S44" s="2935"/>
      <c r="T44" s="2935"/>
      <c r="U44" s="2935"/>
      <c r="V44" s="2935"/>
      <c r="W44" s="2935"/>
      <c r="X44" s="2935"/>
      <c r="Y44" s="2935"/>
      <c r="Z44" s="2935"/>
      <c r="AA44" s="2935"/>
      <c r="AB44" s="2935"/>
      <c r="AC44" s="2935"/>
      <c r="AD44" s="2935"/>
      <c r="AE44" s="2935"/>
    </row>
    <row r="45" spans="1:31">
      <c r="A45" s="2935"/>
      <c r="B45" s="2935"/>
      <c r="C45" s="2935"/>
      <c r="D45" s="2935"/>
      <c r="E45" s="2935"/>
      <c r="F45" s="2935"/>
      <c r="G45" s="2935"/>
      <c r="H45" s="2935"/>
      <c r="I45" s="2935"/>
      <c r="J45" s="2935"/>
      <c r="K45" s="2940"/>
      <c r="L45" s="2936"/>
      <c r="M45" s="2926"/>
      <c r="N45" s="2926"/>
      <c r="O45" s="2935"/>
      <c r="P45" s="2935"/>
      <c r="Q45" s="2935"/>
      <c r="R45" s="2935"/>
      <c r="S45" s="2935"/>
      <c r="T45" s="2935"/>
      <c r="U45" s="2935"/>
      <c r="V45" s="2935"/>
      <c r="W45" s="2935"/>
      <c r="X45" s="2935"/>
      <c r="Y45" s="2935"/>
      <c r="Z45" s="2935"/>
      <c r="AA45" s="2935"/>
      <c r="AB45" s="2935"/>
      <c r="AC45" s="2935"/>
      <c r="AD45" s="2935"/>
      <c r="AE45" s="2935"/>
    </row>
    <row r="46" spans="1:31" ht="13.5" customHeight="1">
      <c r="A46" s="2935"/>
      <c r="B46" s="293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0"/>
      <c r="L46" s="2936"/>
      <c r="M46" s="2926"/>
      <c r="N46" s="2926"/>
      <c r="O46" s="2935"/>
      <c r="P46" s="2935"/>
      <c r="Q46" s="2935"/>
      <c r="R46" s="2935"/>
      <c r="S46" s="2935"/>
      <c r="T46" s="2935"/>
      <c r="U46" s="2935"/>
      <c r="V46" s="2935"/>
      <c r="W46" s="2935"/>
      <c r="X46" s="2935"/>
      <c r="Y46" s="2935"/>
      <c r="Z46" s="2935"/>
      <c r="AA46" s="2935"/>
      <c r="AB46" s="2935"/>
      <c r="AC46" s="2935"/>
      <c r="AD46" s="2935"/>
      <c r="AE46" s="2935"/>
    </row>
    <row r="47" spans="1:31" ht="13.5" customHeight="1">
      <c r="A47" s="2935"/>
      <c r="B47" s="293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0"/>
      <c r="L47" s="2936"/>
      <c r="M47" s="2935"/>
      <c r="N47" s="2935"/>
      <c r="O47" s="2935"/>
      <c r="P47" s="2935"/>
      <c r="Q47" s="2935"/>
      <c r="R47" s="2935"/>
      <c r="S47" s="2935"/>
      <c r="T47" s="2935"/>
      <c r="U47" s="2935"/>
      <c r="V47" s="2935"/>
      <c r="W47" s="2935"/>
      <c r="X47" s="2935"/>
      <c r="Y47" s="2935"/>
      <c r="Z47" s="2935"/>
      <c r="AA47" s="2935"/>
      <c r="AB47" s="2935"/>
      <c r="AC47" s="2935"/>
      <c r="AD47" s="2935"/>
      <c r="AE47" s="2935"/>
    </row>
    <row r="48" spans="1:31" s="459" customFormat="1" ht="13.5" customHeight="1">
      <c r="A48" s="2938"/>
      <c r="B48" s="293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3"/>
      <c r="L48" s="2937"/>
      <c r="M48" s="2938"/>
      <c r="N48" s="2938"/>
      <c r="O48" s="2938"/>
      <c r="P48" s="2938"/>
      <c r="Q48" s="2938"/>
      <c r="R48" s="2938"/>
      <c r="S48" s="2938"/>
      <c r="T48" s="2938"/>
      <c r="U48" s="2938"/>
      <c r="V48" s="2938"/>
      <c r="W48" s="2938"/>
      <c r="X48" s="2938"/>
      <c r="Y48" s="2938"/>
      <c r="Z48" s="2938"/>
      <c r="AA48" s="2938"/>
      <c r="AB48" s="2938"/>
      <c r="AC48" s="2938"/>
      <c r="AD48" s="2938"/>
      <c r="AE48" s="2938"/>
    </row>
    <row r="49" spans="1:31" s="459" customFormat="1" ht="15" thickBot="1">
      <c r="A49" s="2938"/>
      <c r="B49" s="2941"/>
      <c r="C49" s="700"/>
      <c r="D49" s="698"/>
      <c r="E49" s="698"/>
      <c r="F49" s="698"/>
      <c r="G49" s="698"/>
      <c r="H49" s="698"/>
      <c r="I49" s="698"/>
      <c r="J49" s="698"/>
      <c r="K49" s="2943"/>
      <c r="L49" s="2937"/>
      <c r="M49" s="2938"/>
      <c r="N49" s="2938"/>
      <c r="O49" s="2938"/>
      <c r="P49" s="2938"/>
      <c r="Q49" s="2938"/>
      <c r="R49" s="2938"/>
      <c r="S49" s="2938"/>
      <c r="T49" s="2938"/>
      <c r="U49" s="2938"/>
      <c r="V49" s="2938"/>
      <c r="W49" s="2938"/>
      <c r="X49" s="2938"/>
      <c r="Y49" s="2938"/>
      <c r="Z49" s="2938"/>
      <c r="AA49" s="2938"/>
      <c r="AB49" s="2938"/>
      <c r="AC49" s="2938"/>
      <c r="AD49" s="2938"/>
      <c r="AE49" s="2938"/>
    </row>
    <row r="50" spans="1:31" ht="27">
      <c r="A50" s="639" t="s">
        <v>2578</v>
      </c>
      <c r="B50" s="640" t="s">
        <v>2579</v>
      </c>
      <c r="C50" s="2159" t="s">
        <v>2580</v>
      </c>
      <c r="D50" s="2160" t="s">
        <v>2581</v>
      </c>
      <c r="E50" s="641" t="s">
        <v>2582</v>
      </c>
      <c r="F50" s="642" t="s">
        <v>2583</v>
      </c>
      <c r="G50" s="3310" t="s">
        <v>2584</v>
      </c>
      <c r="H50" s="3384"/>
      <c r="I50" s="1533" t="s">
        <v>2621</v>
      </c>
      <c r="J50" s="1533" t="str">
        <f>项目基本情况!F35</f>
        <v>山西省</v>
      </c>
      <c r="K50" s="2162" t="s">
        <v>2586</v>
      </c>
      <c r="L50" s="2936"/>
      <c r="M50" s="2935"/>
      <c r="N50" s="2935"/>
      <c r="O50" s="2935"/>
      <c r="P50" s="2935"/>
      <c r="Q50" s="2935"/>
      <c r="R50" s="2935"/>
      <c r="S50" s="2935"/>
      <c r="T50" s="2935"/>
      <c r="U50" s="2935"/>
      <c r="V50" s="2935"/>
      <c r="W50" s="2935"/>
      <c r="X50" s="2935"/>
      <c r="Y50" s="2935"/>
      <c r="Z50" s="2935"/>
      <c r="AA50" s="2935"/>
      <c r="AB50" s="2935"/>
      <c r="AC50" s="2935"/>
      <c r="AD50" s="2935"/>
      <c r="AE50" s="2935"/>
    </row>
    <row r="51" spans="1:31" s="647" customFormat="1">
      <c r="A51" s="643" t="s">
        <v>2587</v>
      </c>
      <c r="B51" s="644" t="e">
        <f>C43</f>
        <v>#DIV/0!</v>
      </c>
      <c r="C51" s="645">
        <v>1</v>
      </c>
      <c r="D51" s="1072">
        <v>1</v>
      </c>
      <c r="E51" s="645">
        <f>'数据-汇总表'!E8+'数据-汇总表'!E9</f>
        <v>1954.06</v>
      </c>
      <c r="F51" s="646" t="e">
        <f t="shared" ref="F51:F60" si="15">ROUND(B51*E51/10000,0)</f>
        <v>#DIV/0!</v>
      </c>
      <c r="G51" s="3309"/>
      <c r="H51" s="3327"/>
      <c r="I51" s="877">
        <v>1</v>
      </c>
      <c r="J51" s="877">
        <v>1</v>
      </c>
      <c r="K51" s="2938"/>
      <c r="L51" s="2992"/>
      <c r="M51" s="2992"/>
      <c r="N51" s="2992"/>
      <c r="O51" s="2992"/>
      <c r="P51" s="2992"/>
      <c r="Q51" s="2992"/>
      <c r="R51" s="2992"/>
      <c r="S51" s="2992"/>
      <c r="T51" s="2992"/>
      <c r="U51" s="2992"/>
      <c r="V51" s="2992"/>
      <c r="W51" s="2992"/>
      <c r="X51" s="2992"/>
      <c r="Y51" s="2992"/>
      <c r="Z51" s="2992"/>
      <c r="AA51" s="2992"/>
      <c r="AB51" s="2992"/>
      <c r="AC51" s="2992"/>
      <c r="AD51" s="2992"/>
      <c r="AE51" s="2992"/>
    </row>
    <row r="52" spans="1:31" s="647" customFormat="1">
      <c r="A52" s="648" t="s">
        <v>2588</v>
      </c>
      <c r="B52" s="224" t="e">
        <f>ROUND($C$43*C52*D52,0)</f>
        <v>#DIV/0!</v>
      </c>
      <c r="C52" s="176">
        <f t="shared" ref="C52:C60" si="16">IF($C$50="北京市系数",I52,J52)</f>
        <v>0</v>
      </c>
      <c r="D52" s="1073">
        <v>0.25</v>
      </c>
      <c r="E52" s="649"/>
      <c r="F52" s="646" t="e">
        <f t="shared" si="15"/>
        <v>#DIV/0!</v>
      </c>
      <c r="G52" s="3385" t="s">
        <v>2589</v>
      </c>
      <c r="H52" s="1016">
        <f>项目基本情况!B37</f>
        <v>0</v>
      </c>
      <c r="I52" s="877">
        <f>SUMIF(修正!A45:A56,H52,修正!B45:B56)</f>
        <v>0</v>
      </c>
      <c r="J52" s="878"/>
      <c r="K52" s="2935"/>
      <c r="L52" s="2992"/>
      <c r="M52" s="2992"/>
      <c r="N52" s="2992"/>
      <c r="O52" s="2992"/>
      <c r="P52" s="2992"/>
      <c r="Q52" s="2992"/>
      <c r="R52" s="2992"/>
      <c r="S52" s="2992"/>
      <c r="T52" s="2992"/>
      <c r="U52" s="2992"/>
      <c r="V52" s="2992"/>
      <c r="W52" s="2992"/>
      <c r="X52" s="2992"/>
      <c r="Y52" s="2992"/>
      <c r="Z52" s="2992"/>
      <c r="AA52" s="2992"/>
      <c r="AB52" s="2992"/>
      <c r="AC52" s="2992"/>
      <c r="AD52" s="2992"/>
      <c r="AE52" s="2992"/>
    </row>
    <row r="53" spans="1:31" s="647" customFormat="1">
      <c r="A53" s="648" t="s">
        <v>2590</v>
      </c>
      <c r="B53" s="224" t="e">
        <f t="shared" ref="B53:B60" si="17">ROUND($C$43*C53*D53,0)</f>
        <v>#DIV/0!</v>
      </c>
      <c r="C53" s="176">
        <f t="shared" si="16"/>
        <v>0</v>
      </c>
      <c r="D53" s="1073">
        <v>0.25</v>
      </c>
      <c r="E53" s="649"/>
      <c r="F53" s="646" t="e">
        <f t="shared" si="15"/>
        <v>#DIV/0!</v>
      </c>
      <c r="G53" s="3385"/>
      <c r="H53" s="1016">
        <f>项目基本情况!B37</f>
        <v>0</v>
      </c>
      <c r="I53" s="877">
        <f>SUMIF(修正!A45:A56,H53,修正!C45:C56)</f>
        <v>0</v>
      </c>
      <c r="J53" s="878"/>
      <c r="K53" s="2938"/>
      <c r="L53" s="2992"/>
      <c r="M53" s="2992"/>
      <c r="N53" s="2992"/>
      <c r="O53" s="2992"/>
      <c r="P53" s="2992"/>
      <c r="Q53" s="2992"/>
      <c r="R53" s="2992"/>
      <c r="S53" s="2992"/>
      <c r="T53" s="2992"/>
      <c r="U53" s="2992"/>
      <c r="V53" s="2992"/>
      <c r="W53" s="2992"/>
      <c r="X53" s="2992"/>
      <c r="Y53" s="2992"/>
      <c r="Z53" s="2992"/>
      <c r="AA53" s="2992"/>
      <c r="AB53" s="2992"/>
      <c r="AC53" s="2992"/>
      <c r="AD53" s="2992"/>
      <c r="AE53" s="2992"/>
    </row>
    <row r="54" spans="1:31" s="647" customFormat="1">
      <c r="A54" s="648" t="s">
        <v>2591</v>
      </c>
      <c r="B54" s="224" t="e">
        <f t="shared" si="17"/>
        <v>#DIV/0!</v>
      </c>
      <c r="C54" s="176">
        <f t="shared" si="16"/>
        <v>0</v>
      </c>
      <c r="D54" s="1073">
        <v>0.25</v>
      </c>
      <c r="E54" s="649"/>
      <c r="F54" s="646" t="e">
        <f t="shared" si="15"/>
        <v>#DIV/0!</v>
      </c>
      <c r="G54" s="3385"/>
      <c r="H54" s="1016">
        <f>项目基本情况!B37</f>
        <v>0</v>
      </c>
      <c r="I54" s="877">
        <f>SUMIF(修正!A45:A56,H54,修正!D45:D56)</f>
        <v>0</v>
      </c>
      <c r="J54" s="878"/>
      <c r="K54" s="2935"/>
      <c r="L54" s="2992"/>
      <c r="M54" s="2992"/>
      <c r="N54" s="2992"/>
      <c r="O54" s="2992"/>
      <c r="P54" s="2992"/>
      <c r="Q54" s="2992"/>
      <c r="R54" s="2992"/>
      <c r="S54" s="2992"/>
      <c r="T54" s="2992"/>
      <c r="U54" s="2992"/>
      <c r="V54" s="2992"/>
      <c r="W54" s="2992"/>
      <c r="X54" s="2992"/>
      <c r="Y54" s="2992"/>
      <c r="Z54" s="2992"/>
      <c r="AA54" s="2992"/>
      <c r="AB54" s="2992"/>
      <c r="AC54" s="2992"/>
      <c r="AD54" s="2992"/>
      <c r="AE54" s="2992"/>
    </row>
    <row r="55" spans="1:31" s="647" customFormat="1">
      <c r="A55" s="648" t="s">
        <v>2592</v>
      </c>
      <c r="B55" s="224" t="e">
        <f t="shared" si="17"/>
        <v>#DIV/0!</v>
      </c>
      <c r="C55" s="176">
        <f t="shared" si="16"/>
        <v>0</v>
      </c>
      <c r="D55" s="1073">
        <v>0.25</v>
      </c>
      <c r="E55" s="649"/>
      <c r="F55" s="646" t="e">
        <f t="shared" si="15"/>
        <v>#DIV/0!</v>
      </c>
      <c r="G55" s="3385"/>
      <c r="H55" s="1016">
        <f>项目基本情况!B37</f>
        <v>0</v>
      </c>
      <c r="I55" s="877">
        <f>SUMIF(修正!A45:A56,H55,修正!E45:E56)</f>
        <v>0</v>
      </c>
      <c r="J55" s="878"/>
      <c r="K55" s="2938"/>
      <c r="L55" s="2992"/>
      <c r="M55" s="2992"/>
      <c r="N55" s="2992"/>
      <c r="O55" s="2992"/>
      <c r="P55" s="2992"/>
      <c r="Q55" s="2992"/>
      <c r="R55" s="2992"/>
      <c r="S55" s="2992"/>
      <c r="T55" s="2992"/>
      <c r="U55" s="2992"/>
      <c r="V55" s="2992"/>
      <c r="W55" s="2992"/>
      <c r="X55" s="2992"/>
      <c r="Y55" s="2992"/>
      <c r="Z55" s="2992"/>
      <c r="AA55" s="2992"/>
      <c r="AB55" s="2992"/>
      <c r="AC55" s="2992"/>
      <c r="AD55" s="2992"/>
      <c r="AE55" s="2992"/>
    </row>
    <row r="56" spans="1:31" s="647" customFormat="1">
      <c r="A56" s="648" t="s">
        <v>2593</v>
      </c>
      <c r="B56" s="224" t="e">
        <f t="shared" si="17"/>
        <v>#DIV/0!</v>
      </c>
      <c r="C56" s="176">
        <f t="shared" si="16"/>
        <v>0</v>
      </c>
      <c r="D56" s="1073">
        <v>0.25</v>
      </c>
      <c r="E56" s="223">
        <f>'数据-汇总表'!E11</f>
        <v>0</v>
      </c>
      <c r="F56" s="646" t="e">
        <f t="shared" si="15"/>
        <v>#DIV/0!</v>
      </c>
      <c r="G56" s="2163" t="s">
        <v>2594</v>
      </c>
      <c r="H56" s="1016">
        <f>项目基本情况!C37</f>
        <v>0</v>
      </c>
      <c r="I56" s="877">
        <f>SUMIF(修正!A45:A56,H56,修正!F45:F56)</f>
        <v>0</v>
      </c>
      <c r="J56" s="878"/>
      <c r="K56" s="2935"/>
      <c r="L56" s="2992"/>
      <c r="M56" s="2992"/>
      <c r="N56" s="2992"/>
      <c r="O56" s="2992"/>
      <c r="P56" s="2992"/>
      <c r="Q56" s="2992"/>
      <c r="R56" s="2992"/>
      <c r="S56" s="2992"/>
      <c r="T56" s="2992"/>
      <c r="U56" s="2992"/>
      <c r="V56" s="2992"/>
      <c r="W56" s="2992"/>
      <c r="X56" s="2992"/>
      <c r="Y56" s="2992"/>
      <c r="Z56" s="2992"/>
      <c r="AA56" s="2992"/>
      <c r="AB56" s="2992"/>
      <c r="AC56" s="2992"/>
      <c r="AD56" s="2992"/>
      <c r="AE56" s="2992"/>
    </row>
    <row r="57" spans="1:31" s="647" customFormat="1">
      <c r="A57" s="648" t="s">
        <v>2595</v>
      </c>
      <c r="B57" s="224" t="e">
        <f t="shared" si="17"/>
        <v>#DIV/0!</v>
      </c>
      <c r="C57" s="176">
        <f t="shared" si="16"/>
        <v>0</v>
      </c>
      <c r="D57" s="1073">
        <v>0.25</v>
      </c>
      <c r="E57" s="223">
        <f>'数据-汇总表'!E12</f>
        <v>0</v>
      </c>
      <c r="F57" s="646" t="e">
        <f t="shared" si="15"/>
        <v>#DIV/0!</v>
      </c>
      <c r="G57" s="1021" t="s">
        <v>2596</v>
      </c>
      <c r="H57" s="1016">
        <f>IF(G57="商业",项目基本情况!B37,IF(G57="办公",项目基本情况!C37,IF(G57="住宅",项目基本情况!D37,项目基本情况!E37)))</f>
        <v>0</v>
      </c>
      <c r="I57" s="877">
        <f>SUMIF(修正!A45:A56,H57,修正!G45:G56)</f>
        <v>0</v>
      </c>
      <c r="J57" s="878"/>
      <c r="K57" s="2938"/>
      <c r="L57" s="2992"/>
      <c r="M57" s="2992"/>
      <c r="N57" s="2992"/>
      <c r="O57" s="2992"/>
      <c r="P57" s="2992"/>
      <c r="Q57" s="2992"/>
      <c r="R57" s="2992"/>
      <c r="S57" s="2992"/>
      <c r="T57" s="2992"/>
      <c r="U57" s="2992"/>
      <c r="V57" s="2992"/>
      <c r="W57" s="2992"/>
      <c r="X57" s="2992"/>
      <c r="Y57" s="2992"/>
      <c r="Z57" s="2992"/>
      <c r="AA57" s="2992"/>
      <c r="AB57" s="2992"/>
      <c r="AC57" s="2992"/>
      <c r="AD57" s="2992"/>
      <c r="AE57" s="2992"/>
    </row>
    <row r="58" spans="1:31" s="647" customFormat="1">
      <c r="A58" s="648" t="s">
        <v>2597</v>
      </c>
      <c r="B58" s="224" t="e">
        <f t="shared" si="17"/>
        <v>#DIV/0!</v>
      </c>
      <c r="C58" s="176">
        <f t="shared" si="16"/>
        <v>0</v>
      </c>
      <c r="D58" s="1073">
        <v>0.25</v>
      </c>
      <c r="E58" s="223">
        <f>'数据-汇总表'!E13</f>
        <v>0</v>
      </c>
      <c r="F58" s="646" t="e">
        <f t="shared" si="15"/>
        <v>#DIV/0!</v>
      </c>
      <c r="G58" s="1021" t="s">
        <v>2598</v>
      </c>
      <c r="H58" s="1016">
        <f>IF(G58="商业",项目基本情况!B37,IF(G58="办公",项目基本情况!C37,IF(G58="住宅",项目基本情况!D37,项目基本情况!E37)))</f>
        <v>0</v>
      </c>
      <c r="I58" s="877">
        <f>SUMIF(修正!A45:A56,H58,修正!H45:H56)</f>
        <v>0</v>
      </c>
      <c r="J58" s="878"/>
      <c r="K58" s="2935"/>
      <c r="L58" s="2992"/>
      <c r="M58" s="2992"/>
      <c r="N58" s="2992"/>
      <c r="O58" s="2992"/>
      <c r="P58" s="2992"/>
      <c r="Q58" s="2992"/>
      <c r="R58" s="2992"/>
      <c r="S58" s="2992"/>
      <c r="T58" s="2992"/>
      <c r="U58" s="2992"/>
      <c r="V58" s="2992"/>
      <c r="W58" s="2992"/>
      <c r="X58" s="2992"/>
      <c r="Y58" s="2992"/>
      <c r="Z58" s="2992"/>
      <c r="AA58" s="2992"/>
      <c r="AB58" s="2992"/>
      <c r="AC58" s="2992"/>
      <c r="AD58" s="2992"/>
      <c r="AE58" s="2992"/>
    </row>
    <row r="59" spans="1:31" s="647" customFormat="1">
      <c r="A59" s="648" t="s">
        <v>2599</v>
      </c>
      <c r="B59" s="224" t="e">
        <f t="shared" si="17"/>
        <v>#DIV/0!</v>
      </c>
      <c r="C59" s="176">
        <f t="shared" si="16"/>
        <v>0</v>
      </c>
      <c r="D59" s="1073">
        <v>0.25</v>
      </c>
      <c r="E59" s="223">
        <f>'数据-汇总表'!E14</f>
        <v>0</v>
      </c>
      <c r="F59" s="646" t="e">
        <f t="shared" si="15"/>
        <v>#DIV/0!</v>
      </c>
      <c r="G59" s="2163" t="s">
        <v>2589</v>
      </c>
      <c r="H59" s="1016">
        <f>项目基本情况!B37</f>
        <v>0</v>
      </c>
      <c r="I59" s="877">
        <f>SUMIF(修正!A45:A56,H59,修正!H45:H56)</f>
        <v>0</v>
      </c>
      <c r="J59" s="878"/>
      <c r="K59" s="2938"/>
      <c r="L59" s="2992"/>
      <c r="M59" s="2992"/>
      <c r="N59" s="2992"/>
      <c r="O59" s="2992"/>
      <c r="P59" s="2992"/>
      <c r="Q59" s="2992"/>
      <c r="R59" s="2992"/>
      <c r="S59" s="2992"/>
      <c r="T59" s="2992"/>
      <c r="U59" s="2992"/>
      <c r="V59" s="2992"/>
      <c r="W59" s="2992"/>
      <c r="X59" s="2992"/>
      <c r="Y59" s="2992"/>
      <c r="Z59" s="2992"/>
      <c r="AA59" s="2992"/>
      <c r="AB59" s="2992"/>
      <c r="AC59" s="2992"/>
      <c r="AD59" s="2992"/>
      <c r="AE59" s="2992"/>
    </row>
    <row r="60" spans="1:31" s="647" customFormat="1" ht="15" thickBot="1">
      <c r="A60" s="648" t="s">
        <v>2600</v>
      </c>
      <c r="B60" s="224" t="e">
        <f t="shared" si="17"/>
        <v>#DIV/0!</v>
      </c>
      <c r="C60" s="176">
        <f t="shared" si="16"/>
        <v>0</v>
      </c>
      <c r="D60" s="1073">
        <v>0.25</v>
      </c>
      <c r="E60" s="223">
        <f>'数据-汇总表'!E15</f>
        <v>0</v>
      </c>
      <c r="F60" s="646" t="e">
        <f t="shared" si="15"/>
        <v>#DIV/0!</v>
      </c>
      <c r="G60" s="2164" t="s">
        <v>2594</v>
      </c>
      <c r="H60" s="1026">
        <f>项目基本情况!C37</f>
        <v>0</v>
      </c>
      <c r="I60" s="877">
        <f>SUMIF(修正!A45:A56,H60,修正!H45:H56)</f>
        <v>0</v>
      </c>
      <c r="J60" s="878"/>
      <c r="K60" s="2935"/>
      <c r="L60" s="2992"/>
      <c r="M60" s="2992"/>
      <c r="N60" s="2992"/>
      <c r="O60" s="2992"/>
      <c r="P60" s="2992"/>
      <c r="Q60" s="2992"/>
      <c r="R60" s="2992"/>
      <c r="S60" s="2992"/>
      <c r="T60" s="2992"/>
      <c r="U60" s="2992"/>
      <c r="V60" s="2992"/>
      <c r="W60" s="2992"/>
      <c r="X60" s="2992"/>
      <c r="Y60" s="2992"/>
      <c r="Z60" s="2992"/>
      <c r="AA60" s="2992"/>
      <c r="AB60" s="2992"/>
      <c r="AC60" s="2992"/>
      <c r="AD60" s="2992"/>
      <c r="AE60" s="2992"/>
    </row>
    <row r="61" spans="1:31" s="647" customFormat="1" ht="15" thickBot="1">
      <c r="A61" s="650" t="s">
        <v>2601</v>
      </c>
      <c r="B61" s="651" t="s">
        <v>28</v>
      </c>
      <c r="C61" s="651" t="s">
        <v>29</v>
      </c>
      <c r="D61" s="651" t="s">
        <v>997</v>
      </c>
      <c r="E61" s="651">
        <f>IF(B41="楼面地价",SUM(E51:E60),'数据-汇总表'!D3)</f>
        <v>222.28</v>
      </c>
      <c r="F61" s="652" t="e">
        <f>IF(B41="楼面地价",SUM(F51:F60),ROUND(C43*E61/10000,0))</f>
        <v>#DIV/0!</v>
      </c>
      <c r="G61" s="1067"/>
      <c r="H61" s="1067"/>
      <c r="I61" s="1067"/>
      <c r="J61" s="1067"/>
      <c r="K61" s="2940"/>
      <c r="L61" s="2992"/>
      <c r="M61" s="2992"/>
      <c r="N61" s="2992"/>
      <c r="O61" s="2992"/>
      <c r="P61" s="2992"/>
      <c r="Q61" s="2992"/>
      <c r="R61" s="2992"/>
      <c r="S61" s="2992"/>
      <c r="T61" s="2992"/>
      <c r="U61" s="2992"/>
      <c r="V61" s="2992"/>
      <c r="W61" s="2992"/>
      <c r="X61" s="2992"/>
      <c r="Y61" s="2992"/>
      <c r="Z61" s="2992"/>
      <c r="AA61" s="2992"/>
      <c r="AB61" s="2992"/>
      <c r="AC61" s="2992"/>
      <c r="AD61" s="2992"/>
      <c r="AE61" s="2992"/>
    </row>
    <row r="62" spans="1:31">
      <c r="A62" s="1055"/>
      <c r="B62" s="1057"/>
      <c r="C62" s="1059"/>
      <c r="D62" s="1055"/>
      <c r="E62" s="1055"/>
      <c r="F62" s="1055"/>
      <c r="G62" s="1055"/>
      <c r="H62" s="1055"/>
      <c r="I62" s="1055"/>
      <c r="J62" s="1055"/>
      <c r="K62" s="1017"/>
      <c r="L62" s="1018"/>
      <c r="M62" s="1055"/>
      <c r="N62" s="1055"/>
      <c r="O62" s="1055"/>
      <c r="P62" s="2935"/>
      <c r="Q62" s="2935"/>
      <c r="R62" s="2935"/>
      <c r="S62" s="2935"/>
      <c r="T62" s="2935"/>
      <c r="U62" s="2935"/>
      <c r="V62" s="2935"/>
      <c r="W62" s="2935"/>
      <c r="X62" s="2935"/>
      <c r="Y62" s="2935"/>
      <c r="Z62" s="2935"/>
      <c r="AA62" s="2935"/>
      <c r="AB62" s="2935"/>
      <c r="AC62" s="2935"/>
      <c r="AD62" s="2935"/>
      <c r="AE62" s="2935"/>
    </row>
    <row r="63" spans="1:31">
      <c r="A63" s="1055"/>
      <c r="B63" s="1057"/>
      <c r="C63" s="699" t="str">
        <f>YEAR(C7)&amp;"-"&amp;MONTH(C7)&amp;"-1"</f>
        <v>2021-5-1</v>
      </c>
      <c r="D63" s="699">
        <f>EDATE(C63,-3)</f>
        <v>44228</v>
      </c>
      <c r="E63" s="699">
        <f>EDATE(D63,-3)</f>
        <v>44136</v>
      </c>
      <c r="F63" s="699">
        <f t="shared" ref="F63:O63" si="18">EDATE(E63,-3)</f>
        <v>44044</v>
      </c>
      <c r="G63" s="699">
        <f t="shared" si="18"/>
        <v>43952</v>
      </c>
      <c r="H63" s="699">
        <f t="shared" si="18"/>
        <v>43862</v>
      </c>
      <c r="I63" s="699">
        <f t="shared" si="18"/>
        <v>43770</v>
      </c>
      <c r="J63" s="699">
        <f t="shared" si="18"/>
        <v>43678</v>
      </c>
      <c r="K63" s="699">
        <f t="shared" si="18"/>
        <v>43586</v>
      </c>
      <c r="L63" s="699">
        <f t="shared" si="18"/>
        <v>43497</v>
      </c>
      <c r="M63" s="699">
        <f t="shared" si="18"/>
        <v>43405</v>
      </c>
      <c r="N63" s="699">
        <f t="shared" si="18"/>
        <v>43313</v>
      </c>
      <c r="O63" s="699">
        <f t="shared" si="18"/>
        <v>43221</v>
      </c>
      <c r="P63" s="2935"/>
      <c r="Q63" s="2935"/>
      <c r="R63" s="2935"/>
      <c r="S63" s="2935"/>
      <c r="T63" s="2935"/>
      <c r="U63" s="2935"/>
      <c r="V63" s="2935"/>
      <c r="W63" s="2935"/>
      <c r="X63" s="2935"/>
      <c r="Y63" s="2935"/>
      <c r="Z63" s="2935"/>
      <c r="AA63" s="2935"/>
      <c r="AB63" s="2935"/>
      <c r="AC63" s="2935"/>
      <c r="AD63" s="2935"/>
      <c r="AE63" s="2935"/>
    </row>
    <row r="64" spans="1:31" ht="21.75" thickBot="1">
      <c r="A64" s="701" t="s">
        <v>2494</v>
      </c>
      <c r="B64" s="697"/>
      <c r="C64" s="702"/>
      <c r="D64" s="702"/>
      <c r="E64" s="702"/>
      <c r="F64" s="703"/>
      <c r="G64" s="703"/>
      <c r="H64" s="702"/>
      <c r="I64" s="702"/>
      <c r="J64" s="702"/>
      <c r="K64" s="704"/>
      <c r="L64" s="705"/>
      <c r="M64" s="702"/>
      <c r="N64" s="702"/>
      <c r="O64" s="1068"/>
      <c r="P64" s="2979"/>
      <c r="Q64" s="2949"/>
      <c r="R64" s="2935"/>
      <c r="S64" s="2935"/>
      <c r="T64" s="2935"/>
      <c r="U64" s="2935"/>
      <c r="V64" s="2935"/>
      <c r="W64" s="2935"/>
      <c r="X64" s="2935"/>
      <c r="Y64" s="2935"/>
      <c r="Z64" s="2935"/>
      <c r="AA64" s="2935"/>
      <c r="AB64" s="2935"/>
      <c r="AC64" s="2935"/>
      <c r="AD64" s="2935"/>
      <c r="AE64" s="2935"/>
    </row>
    <row r="65" spans="1:31" s="465" customFormat="1" ht="15">
      <c r="A65" s="2165" t="s">
        <v>2602</v>
      </c>
      <c r="B65" s="1264"/>
      <c r="C65" s="1339" t="str">
        <f>YEAR(C63)&amp;"-"&amp;ROUNDUP(MONTH(C63)/3,0)</f>
        <v>2021-2</v>
      </c>
      <c r="D65" s="1339" t="str">
        <f t="shared" ref="D65:O65" si="19">YEAR(D63)&amp;"-"&amp;ROUNDUP(MONTH(D63)/3,0)</f>
        <v>2021-1</v>
      </c>
      <c r="E65" s="1339" t="str">
        <f t="shared" si="19"/>
        <v>2020-4</v>
      </c>
      <c r="F65" s="1339" t="str">
        <f t="shared" si="19"/>
        <v>2020-3</v>
      </c>
      <c r="G65" s="1339" t="str">
        <f t="shared" si="19"/>
        <v>2020-2</v>
      </c>
      <c r="H65" s="1339" t="str">
        <f t="shared" si="19"/>
        <v>2020-1</v>
      </c>
      <c r="I65" s="1339" t="str">
        <f t="shared" si="19"/>
        <v>2019-4</v>
      </c>
      <c r="J65" s="1339" t="str">
        <f t="shared" si="19"/>
        <v>2019-3</v>
      </c>
      <c r="K65" s="1339" t="str">
        <f t="shared" si="19"/>
        <v>2019-2</v>
      </c>
      <c r="L65" s="1339" t="str">
        <f t="shared" si="19"/>
        <v>2019-1</v>
      </c>
      <c r="M65" s="1339" t="str">
        <f t="shared" si="19"/>
        <v>2018-4</v>
      </c>
      <c r="N65" s="1339" t="str">
        <f t="shared" si="19"/>
        <v>2018-3</v>
      </c>
      <c r="O65" s="1339" t="str">
        <f t="shared" si="19"/>
        <v>2018-2</v>
      </c>
      <c r="P65" s="2986"/>
      <c r="Q65" s="2951"/>
      <c r="R65" s="2951"/>
      <c r="S65" s="2951"/>
      <c r="T65" s="2951"/>
      <c r="U65" s="2951"/>
      <c r="V65" s="2951"/>
      <c r="W65" s="2951"/>
      <c r="X65" s="2951"/>
      <c r="Y65" s="2951"/>
      <c r="Z65" s="2951"/>
      <c r="AA65" s="2951"/>
      <c r="AB65" s="2951"/>
      <c r="AC65" s="2951"/>
      <c r="AD65" s="2951"/>
      <c r="AE65" s="2951"/>
    </row>
    <row r="66" spans="1:31" s="113" customFormat="1" ht="30.75" customHeight="1">
      <c r="A66" s="2170" t="s">
        <v>2622</v>
      </c>
      <c r="B66" s="294" t="str">
        <f>"北京市平均增长率"&amp;TEXT(基准地价修正!P24,"0.00%")</f>
        <v>北京市平均增长率1.25%</v>
      </c>
      <c r="C66" s="560">
        <v>100</v>
      </c>
      <c r="D66" s="552"/>
      <c r="E66" s="552"/>
      <c r="F66" s="552"/>
      <c r="G66" s="552"/>
      <c r="H66" s="552"/>
      <c r="I66" s="552"/>
      <c r="J66" s="552"/>
      <c r="K66" s="552"/>
      <c r="L66" s="552"/>
      <c r="M66" s="1335"/>
      <c r="N66" s="1335"/>
      <c r="O66" s="1337"/>
      <c r="P66" s="2949"/>
      <c r="Q66" s="2870"/>
      <c r="R66" s="2870"/>
      <c r="S66" s="2870"/>
      <c r="T66" s="2870"/>
      <c r="U66" s="2870"/>
      <c r="V66" s="2870"/>
      <c r="W66" s="2870"/>
      <c r="X66" s="2870"/>
      <c r="Y66" s="2870"/>
      <c r="Z66" s="2870"/>
      <c r="AA66" s="2870"/>
      <c r="AB66" s="2870"/>
      <c r="AC66" s="2870"/>
      <c r="AD66" s="2870"/>
      <c r="AE66" s="2870"/>
    </row>
    <row r="67" spans="1:31" s="113" customFormat="1" ht="15.75" thickBot="1">
      <c r="A67" s="472" t="s">
        <v>2405</v>
      </c>
      <c r="B67" s="473"/>
      <c r="C67" s="474"/>
      <c r="D67" s="475"/>
      <c r="E67" s="475"/>
      <c r="F67" s="475"/>
      <c r="G67" s="475"/>
      <c r="H67" s="475"/>
      <c r="I67" s="475"/>
      <c r="J67" s="475"/>
      <c r="K67" s="475"/>
      <c r="L67" s="475"/>
      <c r="M67" s="476"/>
      <c r="N67" s="476"/>
      <c r="O67" s="477"/>
      <c r="P67" s="2949"/>
      <c r="Q67" s="2949"/>
      <c r="R67" s="2870"/>
      <c r="S67" s="2870"/>
      <c r="T67" s="2870"/>
      <c r="U67" s="2870"/>
      <c r="V67" s="2870"/>
      <c r="W67" s="2870"/>
      <c r="X67" s="2870"/>
      <c r="Y67" s="2870"/>
      <c r="Z67" s="2870"/>
      <c r="AA67" s="2870"/>
      <c r="AB67" s="2870"/>
      <c r="AC67" s="2870"/>
      <c r="AD67" s="2870"/>
      <c r="AE67" s="2870"/>
    </row>
    <row r="68" spans="1:31" s="113" customFormat="1" ht="15">
      <c r="A68" s="478" t="s">
        <v>2370</v>
      </c>
      <c r="B68" s="467"/>
      <c r="C68" s="479" t="s">
        <v>2472</v>
      </c>
      <c r="D68" s="480"/>
      <c r="E68" s="480"/>
      <c r="F68" s="480"/>
      <c r="G68" s="480"/>
      <c r="H68" s="480"/>
      <c r="I68" s="480"/>
      <c r="J68" s="480"/>
      <c r="K68" s="480"/>
      <c r="L68" s="481"/>
      <c r="M68" s="482"/>
      <c r="N68" s="2962"/>
      <c r="O68" s="2962"/>
      <c r="P68" s="2987"/>
      <c r="Q68" s="2949"/>
      <c r="R68" s="2870"/>
      <c r="S68" s="2870"/>
      <c r="T68" s="2870"/>
      <c r="U68" s="2870"/>
      <c r="V68" s="2870"/>
      <c r="W68" s="2870"/>
      <c r="X68" s="2870"/>
      <c r="Y68" s="2870"/>
      <c r="Z68" s="2870"/>
      <c r="AA68" s="2870"/>
      <c r="AB68" s="2870"/>
      <c r="AC68" s="2870"/>
      <c r="AD68" s="2870"/>
      <c r="AE68" s="2870"/>
    </row>
    <row r="69" spans="1:31" s="113" customFormat="1" ht="15.75" thickBot="1">
      <c r="A69" s="478"/>
      <c r="B69" s="467"/>
      <c r="C69" s="594">
        <v>100</v>
      </c>
      <c r="D69" s="469"/>
      <c r="E69" s="469"/>
      <c r="F69" s="469"/>
      <c r="G69" s="469"/>
      <c r="H69" s="469"/>
      <c r="I69" s="469"/>
      <c r="J69" s="469"/>
      <c r="K69" s="469"/>
      <c r="L69" s="469"/>
      <c r="M69" s="471"/>
      <c r="N69" s="2962"/>
      <c r="O69" s="2962"/>
      <c r="P69" s="2949"/>
      <c r="Q69" s="2949"/>
      <c r="R69" s="2870"/>
      <c r="S69" s="2870"/>
      <c r="T69" s="2870"/>
      <c r="U69" s="2870"/>
      <c r="V69" s="2870"/>
      <c r="W69" s="2870"/>
      <c r="X69" s="2870"/>
      <c r="Y69" s="2870"/>
      <c r="Z69" s="2870"/>
      <c r="AA69" s="2870"/>
      <c r="AB69" s="2870"/>
      <c r="AC69" s="2870"/>
      <c r="AD69" s="2870"/>
      <c r="AE69" s="2870"/>
    </row>
    <row r="70" spans="1:31">
      <c r="A70" s="484" t="s">
        <v>2408</v>
      </c>
      <c r="B70" s="485" t="s">
        <v>2374</v>
      </c>
      <c r="C70" s="487"/>
      <c r="D70" s="487"/>
      <c r="E70" s="487"/>
      <c r="F70" s="487"/>
      <c r="G70" s="487"/>
      <c r="H70" s="487"/>
      <c r="I70" s="487"/>
      <c r="J70" s="487"/>
      <c r="K70" s="488"/>
      <c r="L70" s="489"/>
      <c r="M70" s="490"/>
      <c r="N70" s="2963"/>
      <c r="O70" s="2963"/>
      <c r="P70" s="2988"/>
      <c r="Q70" s="2949"/>
      <c r="R70" s="2935"/>
      <c r="S70" s="2935"/>
      <c r="T70" s="2935"/>
      <c r="U70" s="2935"/>
      <c r="V70" s="2935"/>
      <c r="W70" s="2935"/>
      <c r="X70" s="2935"/>
      <c r="Y70" s="2935"/>
      <c r="Z70" s="2935"/>
      <c r="AA70" s="2935"/>
      <c r="AB70" s="2935"/>
      <c r="AC70" s="2935"/>
      <c r="AD70" s="2935"/>
      <c r="AE70" s="2935"/>
    </row>
    <row r="71" spans="1:31" ht="15.75" thickBot="1">
      <c r="A71" s="491"/>
      <c r="B71" s="492"/>
      <c r="C71" s="493"/>
      <c r="D71" s="493"/>
      <c r="E71" s="493"/>
      <c r="F71" s="493"/>
      <c r="G71" s="493"/>
      <c r="H71" s="493"/>
      <c r="I71" s="493"/>
      <c r="J71" s="493"/>
      <c r="K71" s="493"/>
      <c r="L71" s="493"/>
      <c r="M71" s="494"/>
      <c r="N71" s="2964"/>
      <c r="O71" s="2964"/>
      <c r="P71" s="2988"/>
      <c r="Q71" s="2949"/>
      <c r="R71" s="2935"/>
      <c r="S71" s="2935"/>
      <c r="T71" s="2935"/>
      <c r="U71" s="2935"/>
      <c r="V71" s="2935"/>
      <c r="W71" s="2935"/>
      <c r="X71" s="2935"/>
      <c r="Y71" s="2935"/>
      <c r="Z71" s="2935"/>
      <c r="AA71" s="2935"/>
      <c r="AB71" s="2935"/>
      <c r="AC71" s="2935"/>
      <c r="AD71" s="2935"/>
      <c r="AE71" s="2935"/>
    </row>
    <row r="72" spans="1:31" ht="27.75" thickTop="1">
      <c r="A72" s="491"/>
      <c r="B72" s="495" t="s">
        <v>2377</v>
      </c>
      <c r="C72" s="496"/>
      <c r="D72" s="496"/>
      <c r="E72" s="496"/>
      <c r="F72" s="496"/>
      <c r="G72" s="496"/>
      <c r="H72" s="496"/>
      <c r="I72" s="496"/>
      <c r="J72" s="496"/>
      <c r="K72" s="497"/>
      <c r="L72" s="498"/>
      <c r="M72" s="499"/>
      <c r="N72" s="2963"/>
      <c r="O72" s="2963"/>
      <c r="P72" s="2988"/>
      <c r="Q72" s="2949"/>
      <c r="R72" s="2935"/>
      <c r="S72" s="2935"/>
      <c r="T72" s="2935"/>
      <c r="U72" s="2935"/>
      <c r="V72" s="2935"/>
      <c r="W72" s="2935"/>
      <c r="X72" s="2935"/>
      <c r="Y72" s="2935"/>
      <c r="Z72" s="2935"/>
      <c r="AA72" s="2935"/>
      <c r="AB72" s="2935"/>
      <c r="AC72" s="2935"/>
      <c r="AD72" s="2935"/>
      <c r="AE72" s="2935"/>
    </row>
    <row r="73" spans="1:31" ht="15.75" thickBot="1">
      <c r="A73" s="491"/>
      <c r="B73" s="500"/>
      <c r="C73" s="501"/>
      <c r="D73" s="501"/>
      <c r="E73" s="501"/>
      <c r="F73" s="501"/>
      <c r="G73" s="501"/>
      <c r="H73" s="501"/>
      <c r="I73" s="501"/>
      <c r="J73" s="501"/>
      <c r="K73" s="501"/>
      <c r="L73" s="501"/>
      <c r="M73" s="502"/>
      <c r="N73" s="2964"/>
      <c r="O73" s="2964"/>
      <c r="P73" s="2988"/>
      <c r="Q73" s="2949"/>
      <c r="R73" s="2935"/>
      <c r="S73" s="2935"/>
      <c r="T73" s="2935"/>
      <c r="U73" s="2935"/>
      <c r="V73" s="2935"/>
      <c r="W73" s="2935"/>
      <c r="X73" s="2935"/>
      <c r="Y73" s="2935"/>
      <c r="Z73" s="2935"/>
      <c r="AA73" s="2935"/>
      <c r="AB73" s="2935"/>
      <c r="AC73" s="2935"/>
      <c r="AD73" s="2935"/>
      <c r="AE73" s="293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4"/>
      <c r="O74" s="2964"/>
      <c r="P74" s="2988"/>
      <c r="Q74" s="2949"/>
      <c r="R74" s="2935"/>
      <c r="S74" s="2935"/>
      <c r="T74" s="2935"/>
      <c r="U74" s="2935"/>
      <c r="V74" s="2935"/>
      <c r="W74" s="2935"/>
      <c r="X74" s="2935"/>
      <c r="Y74" s="2935"/>
      <c r="Z74" s="2935"/>
      <c r="AA74" s="2935"/>
      <c r="AB74" s="2935"/>
      <c r="AC74" s="2935"/>
      <c r="AD74" s="2935"/>
      <c r="AE74" s="2935"/>
    </row>
    <row r="75" spans="1:31" ht="15">
      <c r="A75" s="491"/>
      <c r="B75" s="505"/>
      <c r="C75" s="506"/>
      <c r="D75" s="506"/>
      <c r="E75" s="506"/>
      <c r="F75" s="506"/>
      <c r="G75" s="506"/>
      <c r="H75" s="506"/>
      <c r="I75" s="506"/>
      <c r="J75" s="506"/>
      <c r="K75" s="507"/>
      <c r="L75" s="508"/>
      <c r="M75" s="509"/>
      <c r="N75" s="2963"/>
      <c r="O75" s="2963"/>
      <c r="P75" s="2988"/>
      <c r="Q75" s="2949"/>
      <c r="R75" s="2935"/>
      <c r="S75" s="2935"/>
      <c r="T75" s="2935"/>
      <c r="U75" s="2935"/>
      <c r="V75" s="2935"/>
      <c r="W75" s="2935"/>
      <c r="X75" s="2935"/>
      <c r="Y75" s="2935"/>
      <c r="Z75" s="2935"/>
      <c r="AA75" s="2935"/>
      <c r="AB75" s="2935"/>
      <c r="AC75" s="2935"/>
      <c r="AD75" s="2935"/>
      <c r="AE75" s="293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4"/>
      <c r="O76" s="2964"/>
      <c r="P76" s="2988"/>
      <c r="Q76" s="2949"/>
      <c r="R76" s="2935"/>
      <c r="S76" s="2935"/>
      <c r="T76" s="2935"/>
      <c r="U76" s="2935"/>
      <c r="V76" s="2935"/>
      <c r="W76" s="2935"/>
      <c r="X76" s="2935"/>
      <c r="Y76" s="2935"/>
      <c r="Z76" s="2935"/>
      <c r="AA76" s="2935"/>
      <c r="AB76" s="2935"/>
      <c r="AC76" s="2935"/>
      <c r="AD76" s="2935"/>
      <c r="AE76" s="2935"/>
    </row>
    <row r="77" spans="1:31" s="430" customFormat="1" ht="15.75" thickTop="1">
      <c r="A77" s="510"/>
      <c r="B77" s="495">
        <f>B12</f>
        <v>111</v>
      </c>
      <c r="C77" s="511"/>
      <c r="D77" s="511"/>
      <c r="E77" s="511"/>
      <c r="F77" s="511"/>
      <c r="G77" s="511"/>
      <c r="H77" s="512"/>
      <c r="I77" s="512"/>
      <c r="J77" s="512"/>
      <c r="K77" s="512"/>
      <c r="L77" s="513"/>
      <c r="M77" s="514"/>
      <c r="N77" s="2965"/>
      <c r="O77" s="2965"/>
      <c r="P77" s="2989"/>
      <c r="Q77" s="2956"/>
      <c r="R77" s="2957"/>
      <c r="S77" s="2957"/>
      <c r="T77" s="2957"/>
      <c r="U77" s="2957"/>
      <c r="V77" s="2957"/>
      <c r="W77" s="2957"/>
      <c r="X77" s="2957"/>
      <c r="Y77" s="2957"/>
      <c r="Z77" s="2957"/>
      <c r="AA77" s="2957"/>
      <c r="AB77" s="2957"/>
      <c r="AC77" s="2957"/>
      <c r="AD77" s="2957"/>
      <c r="AE77" s="2957"/>
    </row>
    <row r="78" spans="1:31" s="430" customFormat="1" ht="15.75" thickBot="1">
      <c r="A78" s="510"/>
      <c r="B78" s="500"/>
      <c r="C78" s="517"/>
      <c r="D78" s="493"/>
      <c r="E78" s="493"/>
      <c r="F78" s="493"/>
      <c r="G78" s="493"/>
      <c r="H78" s="493"/>
      <c r="I78" s="493"/>
      <c r="J78" s="493"/>
      <c r="K78" s="493"/>
      <c r="L78" s="493"/>
      <c r="M78" s="494"/>
      <c r="N78" s="2964"/>
      <c r="O78" s="2964"/>
      <c r="P78" s="2989"/>
      <c r="Q78" s="2956"/>
      <c r="R78" s="2957"/>
      <c r="S78" s="2957"/>
      <c r="T78" s="2957"/>
      <c r="U78" s="2957"/>
      <c r="V78" s="2957"/>
      <c r="W78" s="2957"/>
      <c r="X78" s="2957"/>
      <c r="Y78" s="2957"/>
      <c r="Z78" s="2957"/>
      <c r="AA78" s="2957"/>
      <c r="AB78" s="2957"/>
      <c r="AC78" s="2957"/>
      <c r="AD78" s="2957"/>
      <c r="AE78" s="2957"/>
    </row>
    <row r="79" spans="1:31" s="430" customFormat="1" ht="15.75" thickTop="1">
      <c r="A79" s="510"/>
      <c r="B79" s="495">
        <f>B13</f>
        <v>111</v>
      </c>
      <c r="C79" s="511"/>
      <c r="D79" s="511"/>
      <c r="E79" s="511"/>
      <c r="F79" s="511"/>
      <c r="G79" s="511"/>
      <c r="H79" s="512"/>
      <c r="I79" s="512"/>
      <c r="J79" s="512"/>
      <c r="K79" s="512"/>
      <c r="L79" s="513"/>
      <c r="M79" s="514"/>
      <c r="N79" s="2965"/>
      <c r="O79" s="2965"/>
      <c r="P79" s="2933"/>
      <c r="Q79" s="2959"/>
      <c r="R79" s="2957"/>
      <c r="S79" s="2957"/>
      <c r="T79" s="2957"/>
      <c r="U79" s="2957"/>
      <c r="V79" s="2957"/>
      <c r="W79" s="2957"/>
      <c r="X79" s="2957"/>
      <c r="Y79" s="2957"/>
      <c r="Z79" s="2957"/>
      <c r="AA79" s="2957"/>
      <c r="AB79" s="2957"/>
      <c r="AC79" s="2957"/>
      <c r="AD79" s="2957"/>
      <c r="AE79" s="2957"/>
    </row>
    <row r="80" spans="1:31" s="430" customFormat="1" ht="15.75" thickBot="1">
      <c r="A80" s="510"/>
      <c r="B80" s="500"/>
      <c r="C80" s="517"/>
      <c r="D80" s="517"/>
      <c r="E80" s="517"/>
      <c r="F80" s="517"/>
      <c r="G80" s="517"/>
      <c r="H80" s="519"/>
      <c r="I80" s="519"/>
      <c r="J80" s="519"/>
      <c r="K80" s="519"/>
      <c r="L80" s="519"/>
      <c r="M80" s="520"/>
      <c r="N80" s="2965"/>
      <c r="O80" s="2965"/>
      <c r="P80" s="2989"/>
      <c r="Q80" s="2956"/>
      <c r="R80" s="2957"/>
      <c r="S80" s="2957"/>
      <c r="T80" s="2957"/>
      <c r="U80" s="2957"/>
      <c r="V80" s="2957"/>
      <c r="W80" s="2957"/>
      <c r="X80" s="2957"/>
      <c r="Y80" s="2957"/>
      <c r="Z80" s="2957"/>
      <c r="AA80" s="2957"/>
      <c r="AB80" s="2957"/>
      <c r="AC80" s="2957"/>
      <c r="AD80" s="2957"/>
      <c r="AE80" s="2957"/>
    </row>
    <row r="81" spans="1:31" s="430" customFormat="1" ht="15.75" thickTop="1">
      <c r="A81" s="510"/>
      <c r="B81" s="503">
        <f>B14</f>
        <v>111</v>
      </c>
      <c r="C81" s="480"/>
      <c r="D81" s="480"/>
      <c r="E81" s="480"/>
      <c r="F81" s="480"/>
      <c r="G81" s="480"/>
      <c r="H81" s="521"/>
      <c r="I81" s="521"/>
      <c r="J81" s="521"/>
      <c r="K81" s="521"/>
      <c r="L81" s="522"/>
      <c r="M81" s="523"/>
      <c r="N81" s="2965"/>
      <c r="O81" s="2965"/>
      <c r="P81" s="2994"/>
      <c r="Q81" s="2956"/>
      <c r="R81" s="2957"/>
      <c r="S81" s="2957"/>
      <c r="T81" s="2957"/>
      <c r="U81" s="2957"/>
      <c r="V81" s="2957"/>
      <c r="W81" s="2957"/>
      <c r="X81" s="2957"/>
      <c r="Y81" s="2957"/>
      <c r="Z81" s="2957"/>
      <c r="AA81" s="2957"/>
      <c r="AB81" s="2957"/>
      <c r="AC81" s="2957"/>
      <c r="AD81" s="2957"/>
      <c r="AE81" s="2957"/>
    </row>
    <row r="82" spans="1:31" s="430" customFormat="1" ht="15.75" thickBot="1">
      <c r="A82" s="525"/>
      <c r="B82" s="526"/>
      <c r="C82" s="527"/>
      <c r="D82" s="527"/>
      <c r="E82" s="527"/>
      <c r="F82" s="527"/>
      <c r="G82" s="527"/>
      <c r="H82" s="528"/>
      <c r="I82" s="528"/>
      <c r="J82" s="528"/>
      <c r="K82" s="528"/>
      <c r="L82" s="528"/>
      <c r="M82" s="529"/>
      <c r="N82" s="2965"/>
      <c r="O82" s="2965"/>
      <c r="P82" s="2989"/>
      <c r="Q82" s="2956"/>
      <c r="R82" s="2957"/>
      <c r="S82" s="2957"/>
      <c r="T82" s="2957"/>
      <c r="U82" s="2957"/>
      <c r="V82" s="2957"/>
      <c r="W82" s="2957"/>
      <c r="X82" s="2957"/>
      <c r="Y82" s="2957"/>
      <c r="Z82" s="2957"/>
      <c r="AA82" s="2957"/>
      <c r="AB82" s="2957"/>
      <c r="AC82" s="2957"/>
      <c r="AD82" s="2957"/>
      <c r="AE82" s="2957"/>
    </row>
    <row r="83" spans="1:31">
      <c r="A83" s="484" t="s">
        <v>2379</v>
      </c>
      <c r="B83" s="485" t="s">
        <v>2525</v>
      </c>
      <c r="C83" s="530" t="s">
        <v>2417</v>
      </c>
      <c r="D83" s="530" t="s">
        <v>2418</v>
      </c>
      <c r="E83" s="530" t="s">
        <v>2419</v>
      </c>
      <c r="F83" s="530" t="s">
        <v>2420</v>
      </c>
      <c r="G83" s="530" t="s">
        <v>2421</v>
      </c>
      <c r="H83" s="486"/>
      <c r="I83" s="486"/>
      <c r="J83" s="486"/>
      <c r="K83" s="531"/>
      <c r="L83" s="532"/>
      <c r="M83" s="533"/>
      <c r="N83" s="2963"/>
      <c r="O83" s="2963"/>
      <c r="P83" s="2990"/>
      <c r="Q83" s="2949"/>
      <c r="R83" s="2935"/>
      <c r="S83" s="2935"/>
      <c r="T83" s="2935"/>
      <c r="U83" s="2935"/>
      <c r="V83" s="2935"/>
      <c r="W83" s="2935"/>
      <c r="X83" s="2935"/>
      <c r="Y83" s="2935"/>
      <c r="Z83" s="2935"/>
      <c r="AA83" s="2935"/>
      <c r="AB83" s="2935"/>
      <c r="AC83" s="2935"/>
      <c r="AD83" s="2935"/>
      <c r="AE83" s="293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4"/>
      <c r="O84" s="2964"/>
      <c r="P84" s="2988"/>
      <c r="Q84" s="2949"/>
      <c r="R84" s="2935"/>
      <c r="S84" s="2935"/>
      <c r="T84" s="2935"/>
      <c r="U84" s="2935"/>
      <c r="V84" s="2935"/>
      <c r="W84" s="2935"/>
      <c r="X84" s="2935"/>
      <c r="Y84" s="2935"/>
      <c r="Z84" s="2935"/>
      <c r="AA84" s="2935"/>
      <c r="AB84" s="2935"/>
      <c r="AC84" s="2935"/>
      <c r="AD84" s="2935"/>
      <c r="AE84" s="2935"/>
    </row>
    <row r="85" spans="1:31" ht="15.75" thickTop="1">
      <c r="A85" s="491"/>
      <c r="B85" s="495" t="s">
        <v>2422</v>
      </c>
      <c r="C85" s="535" t="s">
        <v>2417</v>
      </c>
      <c r="D85" s="535" t="s">
        <v>2418</v>
      </c>
      <c r="E85" s="535" t="s">
        <v>2419</v>
      </c>
      <c r="F85" s="535" t="s">
        <v>2420</v>
      </c>
      <c r="G85" s="535" t="s">
        <v>2421</v>
      </c>
      <c r="H85" s="496"/>
      <c r="I85" s="496"/>
      <c r="J85" s="496"/>
      <c r="K85" s="497"/>
      <c r="L85" s="498"/>
      <c r="M85" s="499"/>
      <c r="N85" s="2963"/>
      <c r="O85" s="2963"/>
      <c r="P85" s="2988"/>
      <c r="Q85" s="2949"/>
      <c r="R85" s="2935"/>
      <c r="S85" s="2935"/>
      <c r="T85" s="2935"/>
      <c r="U85" s="2935"/>
      <c r="V85" s="2935"/>
      <c r="W85" s="2935"/>
      <c r="X85" s="2935"/>
      <c r="Y85" s="2935"/>
      <c r="Z85" s="2935"/>
      <c r="AA85" s="2935"/>
      <c r="AB85" s="2935"/>
      <c r="AC85" s="2935"/>
      <c r="AD85" s="2935"/>
      <c r="AE85" s="293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4"/>
      <c r="O86" s="2964"/>
      <c r="P86" s="2988"/>
      <c r="Q86" s="2949"/>
      <c r="R86" s="2935"/>
      <c r="S86" s="2935"/>
      <c r="T86" s="2935"/>
      <c r="U86" s="2935"/>
      <c r="V86" s="2935"/>
      <c r="W86" s="2935"/>
      <c r="X86" s="2935"/>
      <c r="Y86" s="2935"/>
      <c r="Z86" s="2935"/>
      <c r="AA86" s="2935"/>
      <c r="AB86" s="2935"/>
      <c r="AC86" s="2935"/>
      <c r="AD86" s="2935"/>
      <c r="AE86" s="2935"/>
    </row>
    <row r="87" spans="1:31" s="113" customFormat="1" ht="15.75" thickTop="1">
      <c r="A87" s="536"/>
      <c r="B87" s="495" t="s">
        <v>2605</v>
      </c>
      <c r="C87" s="530" t="s">
        <v>2417</v>
      </c>
      <c r="D87" s="530" t="s">
        <v>2418</v>
      </c>
      <c r="E87" s="530" t="s">
        <v>2419</v>
      </c>
      <c r="F87" s="530" t="s">
        <v>2420</v>
      </c>
      <c r="G87" s="530" t="s">
        <v>2421</v>
      </c>
      <c r="H87" s="535"/>
      <c r="I87" s="535"/>
      <c r="J87" s="535"/>
      <c r="K87" s="535"/>
      <c r="L87" s="653"/>
      <c r="M87" s="577"/>
      <c r="N87" s="2962"/>
      <c r="O87" s="2962"/>
      <c r="P87" s="2988"/>
      <c r="Q87" s="2949"/>
      <c r="R87" s="2870"/>
      <c r="S87" s="2870"/>
      <c r="T87" s="2870"/>
      <c r="U87" s="2870"/>
      <c r="V87" s="2870"/>
      <c r="W87" s="2870"/>
      <c r="X87" s="2870"/>
      <c r="Y87" s="2870"/>
      <c r="Z87" s="2870"/>
      <c r="AA87" s="2870"/>
      <c r="AB87" s="2870"/>
      <c r="AC87" s="2870"/>
      <c r="AD87" s="2870"/>
      <c r="AE87" s="287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4"/>
      <c r="O88" s="2964"/>
      <c r="P88" s="2988"/>
      <c r="Q88" s="2949"/>
      <c r="R88" s="2870"/>
      <c r="S88" s="2870"/>
      <c r="T88" s="2870"/>
      <c r="U88" s="2870"/>
      <c r="V88" s="2870"/>
      <c r="W88" s="2870"/>
      <c r="X88" s="2870"/>
      <c r="Y88" s="2870"/>
      <c r="Z88" s="2870"/>
      <c r="AA88" s="2870"/>
      <c r="AB88" s="2870"/>
      <c r="AC88" s="2870"/>
      <c r="AD88" s="2870"/>
      <c r="AE88" s="287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7"/>
      <c r="N89" s="2962"/>
      <c r="O89" s="2962"/>
      <c r="P89" s="2988"/>
      <c r="Q89" s="2949"/>
      <c r="R89" s="2870"/>
      <c r="S89" s="2870"/>
      <c r="T89" s="2870"/>
      <c r="U89" s="2870"/>
      <c r="V89" s="2870"/>
      <c r="W89" s="2870"/>
      <c r="X89" s="2870"/>
      <c r="Y89" s="2870"/>
      <c r="Z89" s="2870"/>
      <c r="AA89" s="2870"/>
      <c r="AB89" s="2870"/>
      <c r="AC89" s="2870"/>
      <c r="AD89" s="2870"/>
      <c r="AE89" s="287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4"/>
      <c r="O90" s="2964"/>
      <c r="P90" s="2988"/>
      <c r="Q90" s="2949"/>
      <c r="R90" s="2870"/>
      <c r="S90" s="2870"/>
      <c r="T90" s="2870"/>
      <c r="U90" s="2870"/>
      <c r="V90" s="2870"/>
      <c r="W90" s="2870"/>
      <c r="X90" s="2870"/>
      <c r="Y90" s="2870"/>
      <c r="Z90" s="2870"/>
      <c r="AA90" s="2870"/>
      <c r="AB90" s="2870"/>
      <c r="AC90" s="2870"/>
      <c r="AD90" s="2870"/>
      <c r="AE90" s="287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5"/>
      <c r="O91" s="2965"/>
      <c r="P91" s="2989"/>
      <c r="Q91" s="2956"/>
      <c r="R91" s="2957"/>
      <c r="S91" s="2957"/>
      <c r="T91" s="2957"/>
      <c r="U91" s="2957"/>
      <c r="V91" s="2957"/>
      <c r="W91" s="2957"/>
      <c r="X91" s="2957"/>
      <c r="Y91" s="2957"/>
      <c r="Z91" s="2957"/>
      <c r="AA91" s="2957"/>
      <c r="AB91" s="2957"/>
      <c r="AC91" s="2957"/>
      <c r="AD91" s="2957"/>
      <c r="AE91" s="295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5"/>
      <c r="O92" s="2965"/>
      <c r="P92" s="2989"/>
      <c r="Q92" s="2956"/>
      <c r="R92" s="2957"/>
      <c r="S92" s="2957"/>
      <c r="T92" s="2957"/>
      <c r="U92" s="2957"/>
      <c r="V92" s="2957"/>
      <c r="W92" s="2957"/>
      <c r="X92" s="2957"/>
      <c r="Y92" s="2957"/>
      <c r="Z92" s="2957"/>
      <c r="AA92" s="2957"/>
      <c r="AB92" s="2957"/>
      <c r="AC92" s="2957"/>
      <c r="AD92" s="2957"/>
      <c r="AE92" s="2957"/>
    </row>
    <row r="93" spans="1:31" s="430" customFormat="1" ht="15.75" thickTop="1">
      <c r="A93" s="510"/>
      <c r="B93" s="503" t="s">
        <v>2623</v>
      </c>
      <c r="C93" s="615" t="s">
        <v>2495</v>
      </c>
      <c r="D93" s="615" t="s">
        <v>2496</v>
      </c>
      <c r="E93" s="615" t="s">
        <v>2497</v>
      </c>
      <c r="F93" s="615" t="s">
        <v>2498</v>
      </c>
      <c r="G93" s="615" t="s">
        <v>2499</v>
      </c>
      <c r="H93" s="557"/>
      <c r="I93" s="557"/>
      <c r="J93" s="557"/>
      <c r="K93" s="557"/>
      <c r="L93" s="557"/>
      <c r="M93" s="559"/>
      <c r="N93" s="2965"/>
      <c r="O93" s="2965"/>
      <c r="P93" s="2989"/>
      <c r="Q93" s="2956"/>
      <c r="R93" s="2957"/>
      <c r="S93" s="2957"/>
      <c r="T93" s="2957"/>
      <c r="U93" s="2957"/>
      <c r="V93" s="2957"/>
      <c r="W93" s="2957"/>
      <c r="X93" s="2957"/>
      <c r="Y93" s="2957"/>
      <c r="Z93" s="2957"/>
      <c r="AA93" s="2957"/>
      <c r="AB93" s="2957"/>
      <c r="AC93" s="2957"/>
      <c r="AD93" s="2957"/>
      <c r="AE93" s="295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65"/>
      <c r="O94" s="2965"/>
      <c r="P94" s="2989"/>
      <c r="Q94" s="2956"/>
      <c r="R94" s="2957"/>
      <c r="S94" s="2957"/>
      <c r="T94" s="2957"/>
      <c r="U94" s="2957"/>
      <c r="V94" s="2957"/>
      <c r="W94" s="2957"/>
      <c r="X94" s="2957"/>
      <c r="Y94" s="2957"/>
      <c r="Z94" s="2957"/>
      <c r="AA94" s="2957"/>
      <c r="AB94" s="2957"/>
      <c r="AC94" s="2957"/>
      <c r="AD94" s="2957"/>
      <c r="AE94" s="295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3"/>
      <c r="O95" s="2963"/>
      <c r="P95" s="2988"/>
      <c r="Q95" s="2949"/>
      <c r="R95" s="2935"/>
      <c r="S95" s="2935"/>
      <c r="T95" s="2935"/>
      <c r="U95" s="2935"/>
      <c r="V95" s="2935"/>
      <c r="W95" s="2935"/>
      <c r="X95" s="2935"/>
      <c r="Y95" s="2935"/>
      <c r="Z95" s="2935"/>
      <c r="AA95" s="2935"/>
      <c r="AB95" s="2935"/>
      <c r="AC95" s="2935"/>
      <c r="AD95" s="2935"/>
      <c r="AE95" s="293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4"/>
      <c r="O96" s="2964"/>
      <c r="P96" s="2988"/>
      <c r="Q96" s="2949"/>
      <c r="R96" s="2935"/>
      <c r="S96" s="2935"/>
      <c r="T96" s="2935"/>
      <c r="U96" s="2935"/>
      <c r="V96" s="2935"/>
      <c r="W96" s="2935"/>
      <c r="X96" s="2935"/>
      <c r="Y96" s="2935"/>
      <c r="Z96" s="2935"/>
      <c r="AA96" s="2935"/>
      <c r="AB96" s="2935"/>
      <c r="AC96" s="2935"/>
      <c r="AD96" s="2935"/>
      <c r="AE96" s="2935"/>
    </row>
    <row r="97" spans="1:31" ht="27.75" thickTop="1">
      <c r="A97" s="491"/>
      <c r="B97" s="495" t="s">
        <v>2511</v>
      </c>
      <c r="C97" s="511"/>
      <c r="D97" s="511"/>
      <c r="E97" s="511"/>
      <c r="F97" s="511"/>
      <c r="G97" s="511"/>
      <c r="H97" s="540"/>
      <c r="I97" s="540"/>
      <c r="J97" s="540"/>
      <c r="K97" s="541"/>
      <c r="L97" s="542"/>
      <c r="M97" s="543"/>
      <c r="N97" s="2963"/>
      <c r="O97" s="2963"/>
      <c r="P97" s="2988"/>
      <c r="Q97" s="2949"/>
      <c r="R97" s="2935"/>
      <c r="S97" s="2935"/>
      <c r="T97" s="2935"/>
      <c r="U97" s="2935"/>
      <c r="V97" s="2935"/>
      <c r="W97" s="2935"/>
      <c r="X97" s="2935"/>
      <c r="Y97" s="2935"/>
      <c r="Z97" s="2935"/>
      <c r="AA97" s="2935"/>
      <c r="AB97" s="2935"/>
      <c r="AC97" s="2935"/>
      <c r="AD97" s="2935"/>
      <c r="AE97" s="293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4"/>
      <c r="O98" s="2964"/>
      <c r="P98" s="2988"/>
      <c r="Q98" s="2949"/>
      <c r="R98" s="2935"/>
      <c r="S98" s="2935"/>
      <c r="T98" s="2935"/>
      <c r="U98" s="2935"/>
      <c r="V98" s="2935"/>
      <c r="W98" s="2935"/>
      <c r="X98" s="2935"/>
      <c r="Y98" s="2935"/>
      <c r="Z98" s="2935"/>
      <c r="AA98" s="2935"/>
      <c r="AB98" s="2935"/>
      <c r="AC98" s="2935"/>
      <c r="AD98" s="2935"/>
      <c r="AE98" s="2935"/>
    </row>
    <row r="99" spans="1:31" ht="15.75" thickTop="1">
      <c r="A99" s="491"/>
      <c r="B99" s="495" t="s">
        <v>2570</v>
      </c>
      <c r="C99" s="540"/>
      <c r="D99" s="540"/>
      <c r="E99" s="540"/>
      <c r="F99" s="540"/>
      <c r="G99" s="540"/>
      <c r="H99" s="540"/>
      <c r="I99" s="540"/>
      <c r="J99" s="540"/>
      <c r="K99" s="541"/>
      <c r="L99" s="542"/>
      <c r="M99" s="543"/>
      <c r="N99" s="2963"/>
      <c r="O99" s="2963"/>
      <c r="P99" s="2988"/>
      <c r="Q99" s="2949"/>
      <c r="R99" s="2935"/>
      <c r="S99" s="2935"/>
      <c r="T99" s="2935"/>
      <c r="U99" s="2935"/>
      <c r="V99" s="2935"/>
      <c r="W99" s="2935"/>
      <c r="X99" s="2935"/>
      <c r="Y99" s="2935"/>
      <c r="Z99" s="2935"/>
      <c r="AA99" s="2935"/>
      <c r="AB99" s="2935"/>
      <c r="AC99" s="2935"/>
      <c r="AD99" s="2935"/>
      <c r="AE99" s="293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4"/>
      <c r="O100" s="2964"/>
      <c r="P100" s="2988"/>
      <c r="Q100" s="2949"/>
      <c r="R100" s="2935"/>
      <c r="S100" s="2935"/>
      <c r="T100" s="2935"/>
      <c r="U100" s="2935"/>
      <c r="V100" s="2935"/>
      <c r="W100" s="2935"/>
      <c r="X100" s="2935"/>
      <c r="Y100" s="2935"/>
      <c r="Z100" s="2935"/>
      <c r="AA100" s="2935"/>
      <c r="AB100" s="2935"/>
      <c r="AC100" s="2935"/>
      <c r="AD100" s="2935"/>
      <c r="AE100" s="2935"/>
    </row>
    <row r="101" spans="1:31" ht="15.75" thickTop="1">
      <c r="A101" s="491"/>
      <c r="B101" s="503">
        <f>B31</f>
        <v>111</v>
      </c>
      <c r="C101" s="511"/>
      <c r="D101" s="511"/>
      <c r="E101" s="511"/>
      <c r="F101" s="511"/>
      <c r="G101" s="544"/>
      <c r="H101" s="544"/>
      <c r="I101" s="544"/>
      <c r="J101" s="544"/>
      <c r="K101" s="545"/>
      <c r="L101" s="546"/>
      <c r="M101" s="547"/>
      <c r="N101" s="2963"/>
      <c r="O101" s="2963"/>
      <c r="P101" s="2988"/>
      <c r="Q101" s="2949"/>
      <c r="R101" s="2935"/>
      <c r="S101" s="2935"/>
      <c r="T101" s="2935"/>
      <c r="U101" s="2935"/>
      <c r="V101" s="2935"/>
      <c r="W101" s="2935"/>
      <c r="X101" s="2935"/>
      <c r="Y101" s="2935"/>
      <c r="Z101" s="2935"/>
      <c r="AA101" s="2935"/>
      <c r="AB101" s="2935"/>
      <c r="AC101" s="2935"/>
      <c r="AD101" s="2935"/>
      <c r="AE101" s="2935"/>
    </row>
    <row r="102" spans="1:31" ht="15.75" thickBot="1">
      <c r="A102" s="491"/>
      <c r="B102" s="526"/>
      <c r="C102" s="517"/>
      <c r="D102" s="493"/>
      <c r="E102" s="493"/>
      <c r="F102" s="493"/>
      <c r="G102" s="548"/>
      <c r="H102" s="548"/>
      <c r="I102" s="548"/>
      <c r="J102" s="548"/>
      <c r="K102" s="548"/>
      <c r="L102" s="548"/>
      <c r="M102" s="549"/>
      <c r="N102" s="2964"/>
      <c r="O102" s="2964"/>
      <c r="P102" s="2988"/>
      <c r="Q102" s="2949"/>
      <c r="R102" s="2935"/>
      <c r="S102" s="2935"/>
      <c r="T102" s="2935"/>
      <c r="U102" s="2935"/>
      <c r="V102" s="2935"/>
      <c r="W102" s="2935"/>
      <c r="X102" s="2935"/>
      <c r="Y102" s="2935"/>
      <c r="Z102" s="2935"/>
      <c r="AA102" s="2935"/>
      <c r="AB102" s="2935"/>
      <c r="AC102" s="2935"/>
      <c r="AD102" s="2935"/>
      <c r="AE102" s="2935"/>
    </row>
    <row r="103" spans="1:31" ht="15" thickTop="1">
      <c r="A103" s="630"/>
      <c r="B103" s="495">
        <f>B32</f>
        <v>111</v>
      </c>
      <c r="C103" s="511"/>
      <c r="D103" s="511"/>
      <c r="E103" s="511"/>
      <c r="F103" s="511"/>
      <c r="G103" s="540"/>
      <c r="H103" s="540"/>
      <c r="I103" s="540"/>
      <c r="J103" s="540"/>
      <c r="K103" s="541"/>
      <c r="L103" s="542"/>
      <c r="M103" s="543"/>
      <c r="N103" s="2963"/>
      <c r="O103" s="2963"/>
      <c r="P103" s="2988"/>
      <c r="Q103" s="2949"/>
      <c r="R103" s="2935"/>
      <c r="S103" s="2935"/>
      <c r="T103" s="2935"/>
      <c r="U103" s="2935"/>
      <c r="V103" s="2935"/>
      <c r="W103" s="2935"/>
      <c r="X103" s="2935"/>
      <c r="Y103" s="2935"/>
      <c r="Z103" s="2935"/>
      <c r="AA103" s="2935"/>
      <c r="AB103" s="2935"/>
      <c r="AC103" s="2935"/>
      <c r="AD103" s="2935"/>
      <c r="AE103" s="2935"/>
    </row>
    <row r="104" spans="1:31" ht="15.75" thickBot="1">
      <c r="A104" s="491"/>
      <c r="B104" s="500"/>
      <c r="C104" s="517"/>
      <c r="D104" s="517"/>
      <c r="E104" s="517"/>
      <c r="F104" s="517"/>
      <c r="G104" s="493"/>
      <c r="H104" s="493"/>
      <c r="I104" s="493"/>
      <c r="J104" s="493"/>
      <c r="K104" s="493"/>
      <c r="L104" s="493"/>
      <c r="M104" s="494"/>
      <c r="N104" s="2964"/>
      <c r="O104" s="2964"/>
      <c r="P104" s="2988"/>
      <c r="Q104" s="2949"/>
      <c r="R104" s="2935"/>
      <c r="S104" s="2935"/>
      <c r="T104" s="2935"/>
      <c r="U104" s="2935"/>
      <c r="V104" s="2935"/>
      <c r="W104" s="2935"/>
      <c r="X104" s="2935"/>
      <c r="Y104" s="2935"/>
      <c r="Z104" s="2935"/>
      <c r="AA104" s="2935"/>
      <c r="AB104" s="2935"/>
      <c r="AC104" s="2935"/>
      <c r="AD104" s="2935"/>
      <c r="AE104" s="2935"/>
    </row>
    <row r="105" spans="1:31" s="430" customFormat="1" ht="15" thickTop="1">
      <c r="A105" s="550"/>
      <c r="B105" s="551">
        <f>B33</f>
        <v>111</v>
      </c>
      <c r="C105" s="480"/>
      <c r="D105" s="480"/>
      <c r="E105" s="480"/>
      <c r="F105" s="480"/>
      <c r="G105" s="552"/>
      <c r="H105" s="552"/>
      <c r="I105" s="552"/>
      <c r="J105" s="553"/>
      <c r="K105" s="553"/>
      <c r="L105" s="554"/>
      <c r="M105" s="555"/>
      <c r="N105" s="2965"/>
      <c r="O105" s="2965"/>
      <c r="P105" s="2989"/>
      <c r="Q105" s="2956"/>
      <c r="R105" s="2957"/>
      <c r="S105" s="2957"/>
      <c r="T105" s="2957"/>
      <c r="U105" s="2957"/>
      <c r="V105" s="2957"/>
      <c r="W105" s="2957"/>
      <c r="X105" s="2957"/>
      <c r="Y105" s="2957"/>
      <c r="Z105" s="2957"/>
      <c r="AA105" s="2957"/>
      <c r="AB105" s="2957"/>
      <c r="AC105" s="2957"/>
      <c r="AD105" s="2957"/>
      <c r="AE105" s="2957"/>
    </row>
    <row r="106" spans="1:31" s="430" customFormat="1" ht="15.75" thickBot="1">
      <c r="A106" s="510"/>
      <c r="B106" s="503"/>
      <c r="C106" s="527"/>
      <c r="D106" s="527"/>
      <c r="E106" s="527"/>
      <c r="F106" s="527"/>
      <c r="G106" s="632"/>
      <c r="H106" s="632"/>
      <c r="I106" s="632"/>
      <c r="J106" s="632"/>
      <c r="K106" s="632"/>
      <c r="L106" s="632"/>
      <c r="M106" s="654"/>
      <c r="N106" s="2964"/>
      <c r="O106" s="2964"/>
      <c r="P106" s="2989"/>
      <c r="Q106" s="2956"/>
      <c r="R106" s="2957"/>
      <c r="S106" s="2957"/>
      <c r="T106" s="2957"/>
      <c r="U106" s="2957"/>
      <c r="V106" s="2957"/>
      <c r="W106" s="2957"/>
      <c r="X106" s="2957"/>
      <c r="Y106" s="2957"/>
      <c r="Z106" s="2957"/>
      <c r="AA106" s="2957"/>
      <c r="AB106" s="2957"/>
      <c r="AC106" s="2957"/>
      <c r="AD106" s="2957"/>
      <c r="AE106" s="2957"/>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63"/>
      <c r="O107" s="2963"/>
      <c r="P107" s="2988"/>
      <c r="Q107" s="2949"/>
      <c r="R107" s="2935"/>
      <c r="S107" s="2935"/>
      <c r="T107" s="2935"/>
      <c r="U107" s="2935"/>
      <c r="V107" s="2935"/>
      <c r="W107" s="2935"/>
      <c r="X107" s="2935"/>
      <c r="Y107" s="2935"/>
      <c r="Z107" s="2935"/>
      <c r="AA107" s="2935"/>
      <c r="AB107" s="2935"/>
      <c r="AC107" s="2935"/>
      <c r="AD107" s="2935"/>
      <c r="AE107" s="2935"/>
    </row>
    <row r="108" spans="1:31" ht="15">
      <c r="A108" s="491"/>
      <c r="B108" s="503"/>
      <c r="C108" s="552"/>
      <c r="D108" s="552"/>
      <c r="E108" s="552"/>
      <c r="F108" s="552"/>
      <c r="G108" s="552"/>
      <c r="H108" s="552"/>
      <c r="I108" s="552"/>
      <c r="J108" s="553"/>
      <c r="K108" s="553"/>
      <c r="L108" s="554"/>
      <c r="M108" s="555"/>
      <c r="N108" s="2963"/>
      <c r="O108" s="2963"/>
      <c r="P108" s="2988"/>
      <c r="Q108" s="2949"/>
      <c r="R108" s="2935"/>
      <c r="S108" s="2935"/>
      <c r="T108" s="2935"/>
      <c r="U108" s="2935"/>
      <c r="V108" s="2935"/>
      <c r="W108" s="2935"/>
      <c r="X108" s="2935"/>
      <c r="Y108" s="2935"/>
      <c r="Z108" s="2935"/>
      <c r="AA108" s="2935"/>
      <c r="AB108" s="2935"/>
      <c r="AC108" s="2935"/>
      <c r="AD108" s="2935"/>
      <c r="AE108" s="2935"/>
    </row>
    <row r="109" spans="1:31" ht="15.75" thickBot="1">
      <c r="A109" s="491"/>
      <c r="B109" s="500"/>
      <c r="C109" s="527"/>
      <c r="D109" s="548"/>
      <c r="E109" s="548"/>
      <c r="F109" s="548"/>
      <c r="G109" s="548"/>
      <c r="H109" s="548"/>
      <c r="I109" s="548"/>
      <c r="J109" s="548"/>
      <c r="K109" s="548"/>
      <c r="L109" s="548"/>
      <c r="M109" s="549"/>
      <c r="N109" s="2964"/>
      <c r="O109" s="2964"/>
      <c r="P109" s="2988"/>
      <c r="Q109" s="2949"/>
      <c r="R109" s="2935"/>
      <c r="S109" s="2935"/>
      <c r="T109" s="2935"/>
      <c r="U109" s="2935"/>
      <c r="V109" s="2935"/>
      <c r="W109" s="2935"/>
      <c r="X109" s="2935"/>
      <c r="Y109" s="2935"/>
      <c r="Z109" s="2935"/>
      <c r="AA109" s="2935"/>
      <c r="AB109" s="2935"/>
      <c r="AC109" s="2935"/>
      <c r="AD109" s="2935"/>
      <c r="AE109" s="2935"/>
    </row>
    <row r="110" spans="1:31" ht="15" thickTop="1">
      <c r="A110" s="556"/>
      <c r="B110" s="495" t="s">
        <v>2612</v>
      </c>
      <c r="C110" s="540"/>
      <c r="D110" s="540"/>
      <c r="E110" s="540"/>
      <c r="F110" s="540"/>
      <c r="G110" s="540"/>
      <c r="H110" s="540"/>
      <c r="I110" s="540"/>
      <c r="J110" s="540"/>
      <c r="K110" s="541"/>
      <c r="L110" s="542"/>
      <c r="M110" s="543"/>
      <c r="N110" s="2963"/>
      <c r="O110" s="2963"/>
      <c r="P110" s="2988"/>
      <c r="Q110" s="2949"/>
      <c r="R110" s="2935"/>
      <c r="S110" s="2935"/>
      <c r="T110" s="2935"/>
      <c r="U110" s="2935"/>
      <c r="V110" s="2935"/>
      <c r="W110" s="2935"/>
      <c r="X110" s="2935"/>
      <c r="Y110" s="2935"/>
      <c r="Z110" s="2935"/>
      <c r="AA110" s="2935"/>
      <c r="AB110" s="2935"/>
      <c r="AC110" s="2935"/>
      <c r="AD110" s="2935"/>
      <c r="AE110" s="293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4"/>
      <c r="O111" s="2964"/>
      <c r="P111" s="2988"/>
      <c r="Q111" s="2949"/>
      <c r="R111" s="2935"/>
      <c r="S111" s="2935"/>
      <c r="T111" s="2935"/>
      <c r="U111" s="2935"/>
      <c r="V111" s="2935"/>
      <c r="W111" s="2935"/>
      <c r="X111" s="2935"/>
      <c r="Y111" s="2935"/>
      <c r="Z111" s="2935"/>
      <c r="AA111" s="2935"/>
      <c r="AB111" s="2935"/>
      <c r="AC111" s="2935"/>
      <c r="AD111" s="2935"/>
      <c r="AE111" s="2935"/>
    </row>
    <row r="112" spans="1:31" s="430" customFormat="1" ht="15" thickTop="1">
      <c r="A112" s="550"/>
      <c r="B112" s="495" t="s">
        <v>2614</v>
      </c>
      <c r="C112" s="511"/>
      <c r="D112" s="511"/>
      <c r="E112" s="511"/>
      <c r="F112" s="511"/>
      <c r="G112" s="511"/>
      <c r="H112" s="540"/>
      <c r="I112" s="540"/>
      <c r="J112" s="540"/>
      <c r="K112" s="541"/>
      <c r="L112" s="542"/>
      <c r="M112" s="543"/>
      <c r="N112" s="2965"/>
      <c r="O112" s="2965"/>
      <c r="P112" s="2989"/>
      <c r="Q112" s="2956"/>
      <c r="R112" s="2957"/>
      <c r="S112" s="2957"/>
      <c r="T112" s="2957"/>
      <c r="U112" s="2957"/>
      <c r="V112" s="2957"/>
      <c r="W112" s="2957"/>
      <c r="X112" s="2957"/>
      <c r="Y112" s="2957"/>
      <c r="Z112" s="2957"/>
      <c r="AA112" s="2957"/>
      <c r="AB112" s="2957"/>
      <c r="AC112" s="2957"/>
      <c r="AD112" s="2957"/>
      <c r="AE112" s="295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5"/>
      <c r="O113" s="2965"/>
      <c r="P113" s="2989"/>
      <c r="Q113" s="2956"/>
      <c r="R113" s="2957"/>
      <c r="S113" s="2957"/>
      <c r="T113" s="2957"/>
      <c r="U113" s="2957"/>
      <c r="V113" s="2957"/>
      <c r="W113" s="2957"/>
      <c r="X113" s="2957"/>
      <c r="Y113" s="2957"/>
      <c r="Z113" s="2957"/>
      <c r="AA113" s="2957"/>
      <c r="AB113" s="2957"/>
      <c r="AC113" s="2957"/>
      <c r="AD113" s="2957"/>
      <c r="AE113" s="2957"/>
    </row>
    <row r="114" spans="1:31" ht="15" thickTop="1">
      <c r="A114" s="556"/>
      <c r="B114" s="495" t="s">
        <v>2615</v>
      </c>
      <c r="C114" s="511"/>
      <c r="D114" s="511"/>
      <c r="E114" s="540"/>
      <c r="F114" s="540"/>
      <c r="G114" s="540"/>
      <c r="H114" s="540"/>
      <c r="I114" s="540"/>
      <c r="J114" s="540"/>
      <c r="K114" s="541"/>
      <c r="L114" s="542"/>
      <c r="M114" s="543"/>
      <c r="N114" s="2963"/>
      <c r="O114" s="2963"/>
      <c r="P114" s="2988"/>
      <c r="Q114" s="2949"/>
      <c r="R114" s="2935"/>
      <c r="S114" s="2935"/>
      <c r="T114" s="2935"/>
      <c r="U114" s="2935"/>
      <c r="V114" s="2935"/>
      <c r="W114" s="2935"/>
      <c r="X114" s="2935"/>
      <c r="Y114" s="2935"/>
      <c r="Z114" s="2935"/>
      <c r="AA114" s="2935"/>
      <c r="AB114" s="2935"/>
      <c r="AC114" s="2935"/>
      <c r="AD114" s="2935"/>
      <c r="AE114" s="293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4"/>
      <c r="O115" s="2964"/>
      <c r="P115" s="2988"/>
      <c r="Q115" s="2949"/>
      <c r="R115" s="2935"/>
      <c r="S115" s="2935"/>
      <c r="T115" s="2935"/>
      <c r="U115" s="2935"/>
      <c r="V115" s="2935"/>
      <c r="W115" s="2935"/>
      <c r="X115" s="2935"/>
      <c r="Y115" s="2935"/>
      <c r="Z115" s="2935"/>
      <c r="AA115" s="2935"/>
      <c r="AB115" s="2935"/>
      <c r="AC115" s="2935"/>
      <c r="AD115" s="2935"/>
      <c r="AE115" s="2935"/>
    </row>
    <row r="116" spans="1:31" ht="15" thickTop="1">
      <c r="A116" s="556"/>
      <c r="B116" s="495">
        <f>B38</f>
        <v>111</v>
      </c>
      <c r="C116" s="511"/>
      <c r="D116" s="511"/>
      <c r="E116" s="511"/>
      <c r="F116" s="511"/>
      <c r="G116" s="511"/>
      <c r="H116" s="540"/>
      <c r="I116" s="540"/>
      <c r="J116" s="540"/>
      <c r="K116" s="541"/>
      <c r="L116" s="542"/>
      <c r="M116" s="543"/>
      <c r="N116" s="2963"/>
      <c r="O116" s="2963"/>
      <c r="P116" s="2988"/>
      <c r="Q116" s="2949"/>
      <c r="R116" s="2935"/>
      <c r="S116" s="2935"/>
      <c r="T116" s="2935"/>
      <c r="U116" s="2935"/>
      <c r="V116" s="2935"/>
      <c r="W116" s="2935"/>
      <c r="X116" s="2935"/>
      <c r="Y116" s="2935"/>
      <c r="Z116" s="2935"/>
      <c r="AA116" s="2935"/>
      <c r="AB116" s="2935"/>
      <c r="AC116" s="2935"/>
      <c r="AD116" s="2935"/>
      <c r="AE116" s="2935"/>
    </row>
    <row r="117" spans="1:31" ht="15.75" thickBot="1">
      <c r="A117" s="491"/>
      <c r="B117" s="500"/>
      <c r="C117" s="517"/>
      <c r="D117" s="493"/>
      <c r="E117" s="493"/>
      <c r="F117" s="493"/>
      <c r="G117" s="493"/>
      <c r="H117" s="493"/>
      <c r="I117" s="493"/>
      <c r="J117" s="493"/>
      <c r="K117" s="493"/>
      <c r="L117" s="493"/>
      <c r="M117" s="494"/>
      <c r="N117" s="2964"/>
      <c r="O117" s="2964"/>
      <c r="P117" s="2988"/>
      <c r="Q117" s="2949"/>
      <c r="R117" s="2935"/>
      <c r="S117" s="2935"/>
      <c r="T117" s="2935"/>
      <c r="U117" s="2935"/>
      <c r="V117" s="2935"/>
      <c r="W117" s="2935"/>
      <c r="X117" s="2935"/>
      <c r="Y117" s="2935"/>
      <c r="Z117" s="2935"/>
      <c r="AA117" s="2935"/>
      <c r="AB117" s="2935"/>
      <c r="AC117" s="2935"/>
      <c r="AD117" s="2935"/>
      <c r="AE117" s="2935"/>
    </row>
    <row r="118" spans="1:31" ht="15" thickTop="1">
      <c r="A118" s="556"/>
      <c r="B118" s="495">
        <f>B39</f>
        <v>111</v>
      </c>
      <c r="C118" s="511"/>
      <c r="D118" s="511"/>
      <c r="E118" s="511"/>
      <c r="F118" s="511"/>
      <c r="G118" s="540"/>
      <c r="H118" s="540"/>
      <c r="I118" s="540"/>
      <c r="J118" s="540"/>
      <c r="K118" s="541"/>
      <c r="L118" s="542"/>
      <c r="M118" s="543"/>
      <c r="N118" s="2963"/>
      <c r="O118" s="2963"/>
      <c r="P118" s="2988"/>
      <c r="Q118" s="2949"/>
      <c r="R118" s="2935"/>
      <c r="S118" s="2935"/>
      <c r="T118" s="2935"/>
      <c r="U118" s="2935"/>
      <c r="V118" s="2935"/>
      <c r="W118" s="2935"/>
      <c r="X118" s="2935"/>
      <c r="Y118" s="2935"/>
      <c r="Z118" s="2935"/>
      <c r="AA118" s="2935"/>
      <c r="AB118" s="2935"/>
      <c r="AC118" s="2935"/>
      <c r="AD118" s="2935"/>
      <c r="AE118" s="2935"/>
    </row>
    <row r="119" spans="1:31" ht="15.75" thickBot="1">
      <c r="A119" s="491"/>
      <c r="B119" s="500"/>
      <c r="C119" s="517"/>
      <c r="D119" s="517"/>
      <c r="E119" s="517"/>
      <c r="F119" s="517"/>
      <c r="G119" s="493"/>
      <c r="H119" s="493"/>
      <c r="I119" s="493"/>
      <c r="J119" s="493"/>
      <c r="K119" s="493"/>
      <c r="L119" s="493"/>
      <c r="M119" s="494"/>
      <c r="N119" s="2964"/>
      <c r="O119" s="2964"/>
      <c r="P119" s="2988"/>
      <c r="Q119" s="2949"/>
      <c r="R119" s="2935"/>
      <c r="S119" s="2935"/>
      <c r="T119" s="2935"/>
      <c r="U119" s="2935"/>
      <c r="V119" s="2935"/>
      <c r="W119" s="2935"/>
      <c r="X119" s="2935"/>
      <c r="Y119" s="2935"/>
      <c r="Z119" s="2935"/>
      <c r="AA119" s="2935"/>
      <c r="AB119" s="2935"/>
      <c r="AC119" s="2935"/>
      <c r="AD119" s="2935"/>
      <c r="AE119" s="2935"/>
    </row>
    <row r="120" spans="1:31" s="430" customFormat="1" ht="15" thickTop="1">
      <c r="A120" s="550"/>
      <c r="B120" s="495">
        <f>B40</f>
        <v>111</v>
      </c>
      <c r="C120" s="480"/>
      <c r="D120" s="480"/>
      <c r="E120" s="480"/>
      <c r="F120" s="480"/>
      <c r="G120" s="512"/>
      <c r="H120" s="512"/>
      <c r="I120" s="512"/>
      <c r="J120" s="512"/>
      <c r="K120" s="512"/>
      <c r="L120" s="513"/>
      <c r="M120" s="514"/>
      <c r="N120" s="2965"/>
      <c r="O120" s="2965"/>
      <c r="P120" s="2989"/>
      <c r="Q120" s="2956"/>
      <c r="R120" s="2957"/>
      <c r="S120" s="2957"/>
      <c r="T120" s="2957"/>
      <c r="U120" s="2957"/>
      <c r="V120" s="2957"/>
      <c r="W120" s="2957"/>
      <c r="X120" s="2957"/>
      <c r="Y120" s="2957"/>
      <c r="Z120" s="2957"/>
      <c r="AA120" s="2957"/>
      <c r="AB120" s="2957"/>
      <c r="AC120" s="2957"/>
      <c r="AD120" s="2957"/>
      <c r="AE120" s="2957"/>
    </row>
    <row r="121" spans="1:31" s="430" customFormat="1" ht="15.75" thickBot="1">
      <c r="A121" s="525"/>
      <c r="B121" s="655"/>
      <c r="C121" s="527"/>
      <c r="D121" s="527"/>
      <c r="E121" s="527"/>
      <c r="F121" s="527"/>
      <c r="G121" s="548"/>
      <c r="H121" s="548"/>
      <c r="I121" s="548"/>
      <c r="J121" s="548"/>
      <c r="K121" s="548"/>
      <c r="L121" s="548"/>
      <c r="M121" s="549"/>
      <c r="N121" s="2965"/>
      <c r="O121" s="2965"/>
      <c r="P121" s="2989"/>
      <c r="Q121" s="2956"/>
      <c r="R121" s="2957"/>
      <c r="S121" s="2957"/>
      <c r="T121" s="2957"/>
      <c r="U121" s="2957"/>
      <c r="V121" s="2957"/>
      <c r="W121" s="2957"/>
      <c r="X121" s="2957"/>
      <c r="Y121" s="2957"/>
      <c r="Z121" s="2957"/>
      <c r="AA121" s="2957"/>
      <c r="AB121" s="2957"/>
      <c r="AC121" s="2957"/>
      <c r="AD121" s="2957"/>
      <c r="AE121" s="2957"/>
    </row>
    <row r="122" spans="1:31">
      <c r="N122" s="2935"/>
      <c r="O122" s="2935"/>
      <c r="P122" s="2935"/>
      <c r="Q122" s="2935"/>
      <c r="R122" s="2935"/>
      <c r="S122" s="2935"/>
      <c r="T122" s="2935"/>
      <c r="U122" s="2935"/>
      <c r="V122" s="2935"/>
      <c r="W122" s="2935"/>
      <c r="X122" s="2935"/>
      <c r="Y122" s="2935"/>
      <c r="Z122" s="2935"/>
      <c r="AA122" s="2935"/>
      <c r="AB122" s="2935"/>
      <c r="AC122" s="2935"/>
      <c r="AD122" s="2935"/>
      <c r="AE122" s="2935"/>
    </row>
    <row r="123" spans="1:31">
      <c r="P123" s="2935"/>
      <c r="Q123" s="2935"/>
      <c r="R123" s="2935"/>
      <c r="S123" s="2935"/>
      <c r="T123" s="2935"/>
      <c r="U123" s="2935"/>
      <c r="V123" s="2935"/>
      <c r="W123" s="2935"/>
      <c r="X123" s="2935"/>
      <c r="Y123" s="2935"/>
      <c r="Z123" s="2935"/>
      <c r="AA123" s="2935"/>
      <c r="AB123" s="2935"/>
      <c r="AC123" s="2935"/>
      <c r="AD123" s="2935"/>
      <c r="AE123" s="293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7" customWidth="1"/>
    <col min="33" max="36" width="9.375" style="2240" customWidth="1"/>
    <col min="37" max="38" width="9.375" style="2174" customWidth="1"/>
    <col min="39" max="16384" width="12" style="2174"/>
  </cols>
  <sheetData>
    <row r="1" spans="1:36" ht="28.5">
      <c r="A1" s="202" t="s">
        <v>2624</v>
      </c>
      <c r="B1" s="203"/>
      <c r="C1" s="207" t="s">
        <v>2625</v>
      </c>
      <c r="D1" s="348">
        <f>SUM(D29:D30,D33:D39)</f>
        <v>0</v>
      </c>
      <c r="E1" s="2171"/>
      <c r="F1" s="2171"/>
      <c r="G1" s="2171"/>
      <c r="H1" s="2171"/>
      <c r="I1" s="2171"/>
      <c r="J1" s="2171"/>
      <c r="K1" s="1275"/>
      <c r="L1" s="2172" t="s">
        <v>2626</v>
      </c>
      <c r="M1" s="992">
        <f>SUMPRODUCT((区片价!B5:B9=I2)*(区片价!C3:F3=E2)*(区片价!C5:F9))</f>
        <v>0</v>
      </c>
      <c r="N1" s="995">
        <f>SUMPRODUCT((因素修正幅度!B5:B9=I2)*(因素修正幅度!C3:F3=E2)*(因素修正幅度!C5:F9))</f>
        <v>0</v>
      </c>
      <c r="O1" s="2173"/>
      <c r="P1" s="2173"/>
      <c r="Q1" s="1275"/>
      <c r="R1" s="1369" t="s">
        <v>2627</v>
      </c>
      <c r="S1" s="1369" t="s">
        <v>2628</v>
      </c>
      <c r="T1" s="1369" t="s">
        <v>2629</v>
      </c>
      <c r="U1" s="1369" t="s">
        <v>2630</v>
      </c>
      <c r="V1" s="1369" t="s">
        <v>2631</v>
      </c>
      <c r="W1" s="1373"/>
      <c r="X1" s="1373"/>
      <c r="Y1" s="1373"/>
      <c r="Z1" s="1373"/>
      <c r="AA1" s="1373"/>
      <c r="AB1" s="1373"/>
      <c r="AC1" s="1374"/>
      <c r="AD1" s="1375"/>
      <c r="AE1" s="1375"/>
      <c r="AF1" s="1375"/>
      <c r="AG1" s="1375"/>
      <c r="AH1" s="1375"/>
      <c r="AI1" s="1375"/>
      <c r="AJ1" s="1376"/>
    </row>
    <row r="2" spans="1:36" ht="15.75">
      <c r="A2" s="207" t="s">
        <v>2632</v>
      </c>
      <c r="B2" s="210" t="e">
        <f>C26</f>
        <v>#DIV/0!</v>
      </c>
      <c r="C2" s="2175" t="s">
        <v>2633</v>
      </c>
      <c r="D2" s="2176" t="s">
        <v>2634</v>
      </c>
      <c r="E2" s="2177"/>
      <c r="F2" s="2176" t="s">
        <v>2635</v>
      </c>
      <c r="G2" s="2178">
        <f>IF(E2="商业",项目基本情况!B37,IF(E2="办公",项目基本情况!C37,IF(E2="住宅",项目基本情况!D37,项目基本情况!E37)))</f>
        <v>0</v>
      </c>
      <c r="H2" s="2176" t="s">
        <v>2636</v>
      </c>
      <c r="I2" s="2178">
        <f>IF(E2="商业",项目基本情况!B38,IF(E2="办公",项目基本情况!C38,IF(E2="住宅",项目基本情况!D38,项目基本情况!E38)))</f>
        <v>0</v>
      </c>
      <c r="J2" s="2179"/>
      <c r="K2" s="1275"/>
      <c r="L2" s="2180" t="s">
        <v>2637</v>
      </c>
      <c r="M2" s="993">
        <f>SUMPRODUCT((区片价!B10:B28=I2)*(区片价!C3:F3=E2)*(区片价!C10:F28))</f>
        <v>0</v>
      </c>
      <c r="N2" s="995">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2638</v>
      </c>
      <c r="B3" s="210" t="e">
        <f>ROUND(B2*10000/D1,0)</f>
        <v>#DIV/0!</v>
      </c>
      <c r="C3" s="2175" t="s">
        <v>2639</v>
      </c>
      <c r="D3" s="2176" t="s">
        <v>2640</v>
      </c>
      <c r="E3" s="2181"/>
      <c r="F3" s="2182" t="s">
        <v>2641</v>
      </c>
      <c r="G3" s="853">
        <f>IF(F3="宗地容积率",'数据-汇总表'!I4,IF(F3="估价对象容积率",'数据-汇总表'!I6,'数据-汇总表'!I7))</f>
        <v>8.7899999999999991</v>
      </c>
      <c r="H3" s="175" t="s">
        <v>2642</v>
      </c>
      <c r="I3" s="879"/>
      <c r="J3" s="2179" t="s">
        <v>2643</v>
      </c>
      <c r="K3" s="1275"/>
      <c r="L3" s="2180" t="s">
        <v>2644</v>
      </c>
      <c r="M3" s="993">
        <f>SUMPRODUCT((区片价!B29:B48=I2)*(区片价!C3:F3=E2)*(区片价!C29:F48))</f>
        <v>0</v>
      </c>
      <c r="N3" s="995">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409"/>
      <c r="B4" s="3410"/>
      <c r="C4" s="3410"/>
      <c r="D4" s="3411"/>
      <c r="E4" s="3411"/>
      <c r="F4" s="3411"/>
      <c r="G4" s="3411"/>
      <c r="H4" s="3411"/>
      <c r="I4" s="3411"/>
      <c r="J4" s="3412"/>
      <c r="K4" s="1275"/>
      <c r="L4" s="2180" t="s">
        <v>2645</v>
      </c>
      <c r="M4" s="993">
        <f>SUMPRODUCT((区片价!B49:B75=I2)*(区片价!C3:F3=E2)*(区片价!C49:F75))</f>
        <v>0</v>
      </c>
      <c r="N4" s="995">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2" customFormat="1" ht="15.75" thickBot="1">
      <c r="A5" s="2183" t="s">
        <v>807</v>
      </c>
      <c r="B5" s="2184" t="s">
        <v>2646</v>
      </c>
      <c r="C5" s="854" t="e">
        <f>ROUND(IF(E2="商业",C6*C7+C16,(IF(E2="住宅",C6*C12+C16,C6+C16))),0)</f>
        <v>#DIV/0!</v>
      </c>
      <c r="D5" s="1516" t="e">
        <f>ROUND(C6+C16,0)</f>
        <v>#DIV/0!</v>
      </c>
      <c r="E5" s="1516"/>
      <c r="F5" s="2185"/>
      <c r="G5" s="2186"/>
      <c r="H5" s="2186"/>
      <c r="I5" s="2186"/>
      <c r="J5" s="2187"/>
      <c r="K5" s="2188"/>
      <c r="L5" s="2180" t="s">
        <v>2647</v>
      </c>
      <c r="M5" s="993">
        <f>SUMPRODUCT((区片价!B76:B109=I2)*(区片价!C3:F3=E2)*(区片价!C76:F109))</f>
        <v>0</v>
      </c>
      <c r="N5" s="995">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89"/>
      <c r="AD5" s="2190"/>
      <c r="AE5" s="2190"/>
      <c r="AF5" s="2190"/>
      <c r="AG5" s="2190"/>
      <c r="AH5" s="2190"/>
      <c r="AI5" s="2190"/>
      <c r="AJ5" s="2191"/>
    </row>
    <row r="6" spans="1:36" ht="15.75" thickBot="1">
      <c r="A6" s="2193" t="s">
        <v>2648</v>
      </c>
      <c r="B6" s="2194" t="s">
        <v>2649</v>
      </c>
      <c r="C6" s="855">
        <f>SUMIF(L1:L12,G2,M1:M12)</f>
        <v>0</v>
      </c>
      <c r="D6" s="2195" t="s">
        <v>2650</v>
      </c>
      <c r="E6" s="2196"/>
      <c r="F6" s="2196"/>
      <c r="G6" s="2197"/>
      <c r="H6" s="2197"/>
      <c r="I6" s="2197"/>
      <c r="J6" s="2198"/>
      <c r="K6" s="1561"/>
      <c r="L6" s="2180" t="s">
        <v>2651</v>
      </c>
      <c r="M6" s="993">
        <f>SUMPRODUCT((区片价!B110:B157=I2)*(区片价!C3:F3=E2)*(区片价!C110:F157))</f>
        <v>0</v>
      </c>
      <c r="N6" s="995">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89"/>
      <c r="AD6" s="2190"/>
      <c r="AE6" s="2190"/>
      <c r="AF6" s="2190"/>
      <c r="AG6" s="2190"/>
      <c r="AH6" s="2190"/>
      <c r="AI6" s="2190"/>
      <c r="AJ6" s="2191"/>
    </row>
    <row r="7" spans="1:36" ht="24">
      <c r="A7" s="3390" t="str">
        <f>IF(E2="商业",IF(C8="不临58条商业街","",2),"")</f>
        <v/>
      </c>
      <c r="B7" s="2199" t="s">
        <v>2652</v>
      </c>
      <c r="C7" s="856" t="e">
        <f>IF(C8="不临58条商业街",1,ROUND(1+(1.6*E8+1.2*E9+0.8*E10+0.4*E11)*C9,4))</f>
        <v>#DIV/0!</v>
      </c>
      <c r="D7" s="2200" t="s">
        <v>2653</v>
      </c>
      <c r="E7" s="880"/>
      <c r="F7" s="2201"/>
      <c r="G7" s="2202"/>
      <c r="H7" s="2202"/>
      <c r="I7" s="2202"/>
      <c r="J7" s="2203"/>
      <c r="K7" s="1561"/>
      <c r="L7" s="2180" t="s">
        <v>2654</v>
      </c>
      <c r="M7" s="993">
        <f>SUMPRODUCT((区片价!B158:B205=I2)*(区片价!C3:F3=E2)*(区片价!C158:F205))</f>
        <v>0</v>
      </c>
      <c r="N7" s="995">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5" t="s">
        <v>2655</v>
      </c>
      <c r="X7" s="1371">
        <f>G2</f>
        <v>0</v>
      </c>
      <c r="Y7" s="1371" t="s">
        <v>2656</v>
      </c>
      <c r="Z7" s="1372">
        <f>G3</f>
        <v>8.7899999999999991</v>
      </c>
      <c r="AA7" s="1373"/>
      <c r="AB7" s="1373"/>
      <c r="AC7" s="1374"/>
      <c r="AD7" s="1375"/>
      <c r="AE7" s="1375"/>
      <c r="AF7" s="1375"/>
      <c r="AG7" s="1375"/>
      <c r="AH7" s="1375"/>
      <c r="AI7" s="1375"/>
      <c r="AJ7" s="1376"/>
    </row>
    <row r="8" spans="1:36" ht="15">
      <c r="A8" s="3413"/>
      <c r="B8" s="175" t="s">
        <v>2657</v>
      </c>
      <c r="C8" s="2204"/>
      <c r="D8" s="857" t="s">
        <v>139</v>
      </c>
      <c r="E8" s="858" t="e">
        <f>ROUND(C11/E7,4)</f>
        <v>#DIV/0!</v>
      </c>
      <c r="F8" s="2205" t="s">
        <v>2658</v>
      </c>
      <c r="G8" s="2206"/>
      <c r="H8" s="2206"/>
      <c r="I8" s="2206"/>
      <c r="J8" s="2207"/>
      <c r="K8" s="1275"/>
      <c r="L8" s="2180" t="s">
        <v>2659</v>
      </c>
      <c r="M8" s="993">
        <f>SUMPRODUCT((区片价!B206:B244=I2)*(区片价!C3:F3=E2)*(区片价!C206:F244))</f>
        <v>0</v>
      </c>
      <c r="N8" s="995">
        <f>SUMPRODUCT((因素修正幅度!B206:B244=I2)*(因素修正幅度!C3:F3=E2)*(因素修正幅度!C206:F244))</f>
        <v>0</v>
      </c>
      <c r="O8" s="1275"/>
      <c r="P8" s="1275"/>
      <c r="Q8" s="1275"/>
      <c r="R8" s="1369">
        <v>7</v>
      </c>
      <c r="S8" s="1370"/>
      <c r="T8" s="1369" t="e">
        <f t="shared" si="0"/>
        <v>#DIV/0!</v>
      </c>
      <c r="U8" s="1370"/>
      <c r="V8" s="1369" t="e">
        <f t="shared" si="1"/>
        <v>#DIV/0!</v>
      </c>
      <c r="W8" s="3406" t="s">
        <v>2660</v>
      </c>
      <c r="X8" s="3407"/>
      <c r="Y8" s="1377" t="s">
        <v>2661</v>
      </c>
      <c r="Z8" s="1377" t="s">
        <v>2662</v>
      </c>
      <c r="AA8" s="1377" t="s">
        <v>2663</v>
      </c>
      <c r="AB8" s="1377" t="s">
        <v>2664</v>
      </c>
      <c r="AC8" s="1377" t="s">
        <v>2665</v>
      </c>
      <c r="AD8" s="1377" t="s">
        <v>2666</v>
      </c>
      <c r="AE8" s="1377" t="s">
        <v>2667</v>
      </c>
      <c r="AF8" s="1377" t="s">
        <v>2668</v>
      </c>
      <c r="AG8" s="1377" t="s">
        <v>2669</v>
      </c>
      <c r="AH8" s="1377" t="s">
        <v>2670</v>
      </c>
      <c r="AI8" s="1377" t="s">
        <v>2671</v>
      </c>
      <c r="AJ8" s="1377" t="s">
        <v>2672</v>
      </c>
    </row>
    <row r="9" spans="1:36" ht="15">
      <c r="A9" s="3413"/>
      <c r="B9" s="175" t="s">
        <v>2673</v>
      </c>
      <c r="C9" s="859">
        <f>SUMIF(修正!C59:C119,C8,修正!E59:E119)</f>
        <v>0</v>
      </c>
      <c r="D9" s="176" t="s">
        <v>140</v>
      </c>
      <c r="E9" s="176" t="e">
        <f>ROUND(C11/E7,4)</f>
        <v>#DIV/0!</v>
      </c>
      <c r="F9" s="2205" t="s">
        <v>2674</v>
      </c>
      <c r="G9" s="2206"/>
      <c r="H9" s="2206"/>
      <c r="I9" s="2206"/>
      <c r="J9" s="2207"/>
      <c r="K9" s="1275"/>
      <c r="L9" s="2180" t="s">
        <v>2675</v>
      </c>
      <c r="M9" s="993">
        <f>SUMPRODUCT((区片价!B245:B289=I2)*(区片价!C3:F3=E2)*(区片价!C245:F289))</f>
        <v>0</v>
      </c>
      <c r="N9" s="995">
        <f>SUMPRODUCT((因素修正幅度!B245:B289=I2)*(因素修正幅度!C3:F3=E2)*(因素修正幅度!C245:F289))</f>
        <v>0</v>
      </c>
      <c r="O9" s="1275"/>
      <c r="P9" s="1275"/>
      <c r="Q9" s="1275"/>
      <c r="R9" s="1369">
        <v>8</v>
      </c>
      <c r="S9" s="1370"/>
      <c r="T9" s="1369" t="e">
        <f t="shared" si="0"/>
        <v>#DIV/0!</v>
      </c>
      <c r="U9" s="1370"/>
      <c r="V9" s="1369" t="e">
        <f t="shared" si="1"/>
        <v>#DIV/0!</v>
      </c>
      <c r="W9" s="3408" t="s">
        <v>2676</v>
      </c>
      <c r="X9" s="1378" t="s">
        <v>2677</v>
      </c>
      <c r="Y9" s="1501"/>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13"/>
      <c r="B10" s="175" t="s">
        <v>2678</v>
      </c>
      <c r="C10" s="176">
        <f>SUMIF(修正!C59:C119,C8,修正!F59:F119)</f>
        <v>0</v>
      </c>
      <c r="D10" s="176" t="s">
        <v>141</v>
      </c>
      <c r="E10" s="176" t="e">
        <f>ROUND(C11/E7,4)</f>
        <v>#DIV/0!</v>
      </c>
      <c r="F10" s="2205" t="s">
        <v>2679</v>
      </c>
      <c r="G10" s="2206"/>
      <c r="H10" s="2206"/>
      <c r="I10" s="2206"/>
      <c r="J10" s="2207"/>
      <c r="K10" s="1275"/>
      <c r="L10" s="2180" t="s">
        <v>2680</v>
      </c>
      <c r="M10" s="993">
        <f>SUMPRODUCT((区片价!B290:B316=I2)*(区片价!C3:F3=E2)*(区片价!C290:F316))</f>
        <v>0</v>
      </c>
      <c r="N10" s="995">
        <f>SUMPRODUCT((因素修正幅度!B290:B316=I2)*(因素修正幅度!C3:F3=E2)*(因素修正幅度!C290:F316))</f>
        <v>0</v>
      </c>
      <c r="O10" s="1275"/>
      <c r="P10" s="1275"/>
      <c r="Q10" s="1275"/>
      <c r="R10" s="1369">
        <v>9</v>
      </c>
      <c r="S10" s="1370"/>
      <c r="T10" s="1369" t="e">
        <f t="shared" si="0"/>
        <v>#DIV/0!</v>
      </c>
      <c r="U10" s="1370"/>
      <c r="V10" s="1369" t="e">
        <f t="shared" si="1"/>
        <v>#DIV/0!</v>
      </c>
      <c r="W10" s="3408"/>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13"/>
      <c r="B11" s="2208" t="s">
        <v>2681</v>
      </c>
      <c r="C11" s="860">
        <f>C10/4</f>
        <v>0</v>
      </c>
      <c r="D11" s="860" t="s">
        <v>142</v>
      </c>
      <c r="E11" s="860" t="e">
        <f>ROUND(C11/E7,4)</f>
        <v>#DIV/0!</v>
      </c>
      <c r="F11" s="2209" t="s">
        <v>2682</v>
      </c>
      <c r="G11" s="2210"/>
      <c r="H11" s="2210"/>
      <c r="I11" s="2210"/>
      <c r="J11" s="2211"/>
      <c r="K11" s="1275"/>
      <c r="L11" s="2180" t="s">
        <v>2683</v>
      </c>
      <c r="M11" s="993">
        <f>SUMPRODUCT((区片价!B317:B337=I2)*(区片价!C3:F3=E2)*(区片价!C317:F337))</f>
        <v>0</v>
      </c>
      <c r="N11" s="995">
        <f>SUMPRODUCT((因素修正幅度!B317:B337=I2)*(因素修正幅度!C3:F3=E2)*(因素修正幅度!C317:F337))</f>
        <v>0</v>
      </c>
      <c r="O11" s="1275"/>
      <c r="P11" s="1275"/>
      <c r="Q11" s="1275"/>
      <c r="R11" s="1369">
        <v>10</v>
      </c>
      <c r="S11" s="1370"/>
      <c r="T11" s="1369" t="e">
        <f t="shared" si="0"/>
        <v>#DIV/0!</v>
      </c>
      <c r="U11" s="1370"/>
      <c r="V11" s="1369" t="e">
        <f t="shared" si="1"/>
        <v>#DIV/0!</v>
      </c>
      <c r="W11" s="3408" t="s">
        <v>2684</v>
      </c>
      <c r="X11" s="1381" t="s">
        <v>2685</v>
      </c>
      <c r="Y11" s="1382">
        <f>$G$3</f>
        <v>8.7899999999999991</v>
      </c>
      <c r="Z11" s="1382">
        <f t="shared" ref="Z11:AJ11" si="3">$G$3</f>
        <v>8.7899999999999991</v>
      </c>
      <c r="AA11" s="1382">
        <f t="shared" si="3"/>
        <v>8.7899999999999991</v>
      </c>
      <c r="AB11" s="1382">
        <f t="shared" si="3"/>
        <v>8.7899999999999991</v>
      </c>
      <c r="AC11" s="1382">
        <f t="shared" si="3"/>
        <v>8.7899999999999991</v>
      </c>
      <c r="AD11" s="1382">
        <f t="shared" si="3"/>
        <v>8.7899999999999991</v>
      </c>
      <c r="AE11" s="1382">
        <f t="shared" si="3"/>
        <v>8.7899999999999991</v>
      </c>
      <c r="AF11" s="1382">
        <f t="shared" si="3"/>
        <v>8.7899999999999991</v>
      </c>
      <c r="AG11" s="1382">
        <f t="shared" si="3"/>
        <v>8.7899999999999991</v>
      </c>
      <c r="AH11" s="1382">
        <f t="shared" si="3"/>
        <v>8.7899999999999991</v>
      </c>
      <c r="AI11" s="1382">
        <f t="shared" si="3"/>
        <v>8.7899999999999991</v>
      </c>
      <c r="AJ11" s="1382">
        <f t="shared" si="3"/>
        <v>8.7899999999999991</v>
      </c>
    </row>
    <row r="12" spans="1:36" ht="25.5" thickBot="1">
      <c r="A12" s="3390" t="s">
        <v>2686</v>
      </c>
      <c r="B12" s="2212" t="s">
        <v>2687</v>
      </c>
      <c r="C12" s="856">
        <f>ROUND(C15*D15*E15*F15*G15*H15*I15*J15,4)</f>
        <v>1</v>
      </c>
      <c r="D12" s="2213" t="s">
        <v>2688</v>
      </c>
      <c r="E12" s="2214"/>
      <c r="F12" s="2214"/>
      <c r="G12" s="2215"/>
      <c r="H12" s="2215"/>
      <c r="I12" s="2215"/>
      <c r="J12" s="2216"/>
      <c r="K12" s="1275"/>
      <c r="L12" s="2217" t="s">
        <v>2689</v>
      </c>
      <c r="M12" s="994">
        <f>SUMPRODUCT((区片价!B338:B344=I2)*(区片价!C3:F3=E2)*(区片价!C338:F344))</f>
        <v>0</v>
      </c>
      <c r="N12" s="995">
        <f>SUMPRODUCT((因素修正幅度!B338:B344=I2)*(因素修正幅度!C3:F3=E2)*(因素修正幅度!C338:F344))</f>
        <v>0</v>
      </c>
      <c r="O12" s="1275"/>
      <c r="P12" s="1275"/>
      <c r="Q12" s="1275"/>
      <c r="R12" s="1369">
        <v>11</v>
      </c>
      <c r="S12" s="1370"/>
      <c r="T12" s="1369" t="e">
        <f t="shared" si="0"/>
        <v>#DIV/0!</v>
      </c>
      <c r="U12" s="1370"/>
      <c r="V12" s="1369" t="e">
        <f t="shared" si="1"/>
        <v>#DIV/0!</v>
      </c>
      <c r="W12" s="3408"/>
      <c r="X12" s="1383" t="s">
        <v>2690</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14"/>
      <c r="B13" s="2218" t="s">
        <v>2691</v>
      </c>
      <c r="C13" s="2219" t="s">
        <v>2692</v>
      </c>
      <c r="D13" s="1527" t="s">
        <v>2693</v>
      </c>
      <c r="E13" s="1527" t="s">
        <v>2694</v>
      </c>
      <c r="F13" s="30" t="s">
        <v>2695</v>
      </c>
      <c r="G13" s="2220" t="s">
        <v>2696</v>
      </c>
      <c r="H13" s="2220" t="s">
        <v>2696</v>
      </c>
      <c r="I13" s="2220" t="s">
        <v>2696</v>
      </c>
      <c r="J13" s="2221" t="s">
        <v>2696</v>
      </c>
      <c r="K13" s="1275"/>
      <c r="L13" s="1275"/>
      <c r="M13" s="1275"/>
      <c r="N13" s="1275"/>
      <c r="O13" s="1275"/>
      <c r="P13" s="1275"/>
      <c r="Q13" s="1275"/>
      <c r="R13" s="1369">
        <v>12</v>
      </c>
      <c r="S13" s="1370"/>
      <c r="T13" s="1369" t="e">
        <f t="shared" si="0"/>
        <v>#DIV/0!</v>
      </c>
      <c r="U13" s="1370"/>
      <c r="V13" s="1369" t="e">
        <f t="shared" si="1"/>
        <v>#DIV/0!</v>
      </c>
      <c r="W13" s="3408"/>
      <c r="X13" s="1383"/>
      <c r="Y13" s="1380">
        <f>(-0.163*(Y12^2)-0.59*Y12+7617)*(10^(-4))/Y11</f>
        <v>8.6655290102389093E-2</v>
      </c>
      <c r="Z13" s="1380">
        <f t="shared" ref="Z13:AJ13" si="5">(-0.163*(Z12^2)-0.59*Z12+7617)*(10^(-4))/Z11</f>
        <v>8.6655290102389093E-2</v>
      </c>
      <c r="AA13" s="1380">
        <f t="shared" si="5"/>
        <v>8.6655290102389093E-2</v>
      </c>
      <c r="AB13" s="1380">
        <f t="shared" si="5"/>
        <v>8.6655290102389093E-2</v>
      </c>
      <c r="AC13" s="1380">
        <f t="shared" si="5"/>
        <v>8.6655290102389093E-2</v>
      </c>
      <c r="AD13" s="1380">
        <f t="shared" si="5"/>
        <v>8.6655290102389093E-2</v>
      </c>
      <c r="AE13" s="1380">
        <f t="shared" si="5"/>
        <v>8.6655290102389093E-2</v>
      </c>
      <c r="AF13" s="1380">
        <f t="shared" si="5"/>
        <v>8.6655290102389093E-2</v>
      </c>
      <c r="AG13" s="1380">
        <f t="shared" si="5"/>
        <v>8.6655290102389093E-2</v>
      </c>
      <c r="AH13" s="1380">
        <f t="shared" si="5"/>
        <v>8.6655290102389093E-2</v>
      </c>
      <c r="AI13" s="1380">
        <f t="shared" si="5"/>
        <v>8.6655290102389093E-2</v>
      </c>
      <c r="AJ13" s="1380">
        <f t="shared" si="5"/>
        <v>8.6655290102389093E-2</v>
      </c>
    </row>
    <row r="14" spans="1:36" ht="15">
      <c r="A14" s="3414"/>
      <c r="B14" s="2222"/>
      <c r="C14" s="2223"/>
      <c r="D14" s="2224"/>
      <c r="E14" s="2224"/>
      <c r="F14" s="2225"/>
      <c r="G14" s="2226" t="s">
        <v>2697</v>
      </c>
      <c r="H14" s="2227"/>
      <c r="I14" s="2228"/>
      <c r="J14" s="2229"/>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1"/>
      <c r="AE14" s="3001"/>
      <c r="AF14" s="3001"/>
      <c r="AG14" s="3001"/>
      <c r="AH14" s="3001"/>
      <c r="AI14" s="3001"/>
      <c r="AJ14" s="3002"/>
    </row>
    <row r="15" spans="1:36" ht="15.75" thickBot="1">
      <c r="A15" s="3415"/>
      <c r="B15" s="2230" t="s">
        <v>2698</v>
      </c>
      <c r="C15" s="193">
        <f>IF(C14="有",1.1,1)</f>
        <v>1</v>
      </c>
      <c r="D15" s="193">
        <f>IF(D14="有",1.1,1)</f>
        <v>1</v>
      </c>
      <c r="E15" s="193">
        <f>IF(E14="有",1.1,1)</f>
        <v>1</v>
      </c>
      <c r="F15" s="193">
        <f>IF(F14="500米范围内",1.2,IF(F14="500-1000米",1.1,1))</f>
        <v>1</v>
      </c>
      <c r="G15" s="881">
        <v>1</v>
      </c>
      <c r="H15" s="881">
        <v>1</v>
      </c>
      <c r="I15" s="881">
        <v>1</v>
      </c>
      <c r="J15" s="882">
        <v>1</v>
      </c>
      <c r="K15" s="1275"/>
      <c r="L15" s="2173"/>
      <c r="M15" s="2173"/>
      <c r="N15" s="2173"/>
      <c r="O15" s="2173"/>
      <c r="P15" s="2173"/>
      <c r="Q15" s="1275"/>
      <c r="R15" s="1369">
        <v>14</v>
      </c>
      <c r="S15" s="1370"/>
      <c r="T15" s="1369" t="e">
        <f t="shared" si="0"/>
        <v>#DIV/0!</v>
      </c>
      <c r="U15" s="1370"/>
      <c r="V15" s="1369" t="e">
        <f t="shared" si="1"/>
        <v>#DIV/0!</v>
      </c>
      <c r="W15" s="1373"/>
      <c r="X15" s="1373"/>
      <c r="Y15" s="1373"/>
      <c r="Z15" s="1373"/>
      <c r="AA15" s="1373"/>
      <c r="AB15" s="1373"/>
      <c r="AC15" s="1374"/>
      <c r="AD15" s="3001"/>
      <c r="AE15" s="3001"/>
      <c r="AF15" s="3001"/>
      <c r="AG15" s="3001"/>
      <c r="AH15" s="3001"/>
      <c r="AI15" s="3001"/>
      <c r="AJ15" s="3002"/>
    </row>
    <row r="16" spans="1:36" ht="24.6" customHeight="1">
      <c r="A16" s="3390" t="s">
        <v>2703</v>
      </c>
      <c r="B16" s="2199" t="s">
        <v>2704</v>
      </c>
      <c r="C16" s="2361" t="e">
        <f>ROUND(IF(F17="与级别开发程度一致",0,(G17-E17)/C17),0)</f>
        <v>#DIV/0!</v>
      </c>
      <c r="D16" s="3403" t="s">
        <v>2708</v>
      </c>
      <c r="E16" s="3404"/>
      <c r="F16" s="3403" t="s">
        <v>2705</v>
      </c>
      <c r="G16" s="3404"/>
      <c r="H16" s="2231"/>
      <c r="I16" s="2231"/>
      <c r="J16" s="2365"/>
      <c r="K16" s="2231"/>
      <c r="L16" s="2231"/>
      <c r="M16" s="2231"/>
      <c r="N16" s="2231"/>
      <c r="O16" s="2232"/>
      <c r="P16" s="2173"/>
      <c r="Q16" s="1275"/>
      <c r="R16" s="1369">
        <v>15</v>
      </c>
      <c r="S16" s="1370"/>
      <c r="T16" s="1369" t="e">
        <f t="shared" si="0"/>
        <v>#DIV/0!</v>
      </c>
      <c r="U16" s="1370"/>
      <c r="V16" s="1369" t="e">
        <f t="shared" si="1"/>
        <v>#DIV/0!</v>
      </c>
      <c r="W16" s="1373"/>
      <c r="X16" s="1373"/>
      <c r="Y16" s="1373"/>
      <c r="Z16" s="1373"/>
      <c r="AA16" s="1373"/>
      <c r="AB16" s="1373"/>
      <c r="AC16" s="1374"/>
      <c r="AD16" s="3001"/>
      <c r="AE16" s="3001"/>
      <c r="AF16" s="3001"/>
      <c r="AG16" s="3001"/>
      <c r="AH16" s="3001"/>
      <c r="AI16" s="3001"/>
      <c r="AJ16" s="3002"/>
    </row>
    <row r="17" spans="1:37" ht="13.5" thickBot="1">
      <c r="A17" s="3391"/>
      <c r="B17" s="2372" t="s">
        <v>2707</v>
      </c>
      <c r="C17" s="2373">
        <f>SUMPRODUCT((修正!A2:A5=E2)*(修正!B1:M1=G2)*(修正!B2:M5))</f>
        <v>0</v>
      </c>
      <c r="D17" s="193" t="str">
        <f>IF(OR(G2="八级",G2="九级",G2="十级",G2="十一级",G2="十二级"),"五通一平","七通一平")</f>
        <v>七通一平</v>
      </c>
      <c r="E17" s="2362">
        <f>SUMPRODUCT((修正!B1:M1=G2)*(修正!B15:M15))</f>
        <v>0</v>
      </c>
      <c r="F17" s="2363"/>
      <c r="G17" s="2364">
        <f>SUM(H17:O17)</f>
        <v>0</v>
      </c>
      <c r="H17" s="2373">
        <f>SUMPRODUCT((七通一平=H16)*(修正!B1:M1=G2)*(修正!B6:M14))</f>
        <v>0</v>
      </c>
      <c r="I17" s="2373">
        <f>SUMPRODUCT((七通一平=I16)*(修正!B1:M1=G2)*(修正!B6:M14))</f>
        <v>0</v>
      </c>
      <c r="J17" s="2374">
        <f>SUMPRODUCT((七通一平=J16)*(修正!B1:M1=G2)*(修正!B6:M14))</f>
        <v>0</v>
      </c>
      <c r="K17" s="2373">
        <f>SUMPRODUCT((七通一平=K16)*(修正!B1:M1=G2)*(修正!B6:M14))</f>
        <v>0</v>
      </c>
      <c r="L17" s="2373">
        <f>SUMPRODUCT((七通一平=L16)*(修正!B1:M1=G2)*(修正!B6:M14))</f>
        <v>0</v>
      </c>
      <c r="M17" s="2373">
        <f>SUMPRODUCT((七通一平=M16)*(修正!B1:M1=G2)*(修正!B6:M14))</f>
        <v>0</v>
      </c>
      <c r="N17" s="2373">
        <f>SUMPRODUCT((七通一平=N16)*(修正!B1:M1=G2)*(修正!B6:M14))</f>
        <v>0</v>
      </c>
      <c r="O17" s="2375">
        <f>SUMPRODUCT((七通一平=O16)*(修正!B1:M1=G2)*(修正!B6:M14))</f>
        <v>0</v>
      </c>
      <c r="P17" s="2173"/>
      <c r="Q17" s="1275"/>
      <c r="R17" s="1275"/>
      <c r="S17" s="1275"/>
      <c r="T17" s="1275"/>
      <c r="U17" s="1275"/>
      <c r="V17" s="1275"/>
      <c r="W17" s="1275"/>
      <c r="X17" s="1275"/>
      <c r="Y17" s="1275"/>
      <c r="Z17" s="1276"/>
      <c r="AA17" s="1276"/>
      <c r="AB17" s="1276"/>
      <c r="AC17" s="1276"/>
      <c r="AD17" s="1276"/>
      <c r="AE17" s="1275"/>
      <c r="AF17" s="1275"/>
      <c r="AG17" s="2173"/>
      <c r="AH17" s="2173"/>
      <c r="AI17" s="2173"/>
      <c r="AJ17" s="2173"/>
    </row>
    <row r="18" spans="1:37" s="2192" customFormat="1" ht="15.75" thickBot="1">
      <c r="A18" s="2366" t="s">
        <v>808</v>
      </c>
      <c r="B18" s="2367" t="s">
        <v>2710</v>
      </c>
      <c r="C18" s="2368">
        <f>SUMIF(修正!C18:C39,E3,修正!E18:E39)</f>
        <v>0</v>
      </c>
      <c r="D18" s="2369"/>
      <c r="E18" s="2370"/>
      <c r="F18" s="2370"/>
      <c r="G18" s="2370"/>
      <c r="H18" s="2370"/>
      <c r="I18" s="2370"/>
      <c r="J18" s="2371"/>
      <c r="K18" s="1282"/>
      <c r="L18" s="3000"/>
      <c r="M18" s="3000"/>
      <c r="N18" s="3000"/>
      <c r="O18" s="1280"/>
      <c r="P18" s="1280"/>
      <c r="Q18" s="1281"/>
      <c r="R18" s="1281"/>
      <c r="S18" s="1281"/>
      <c r="T18" s="1276"/>
      <c r="U18" s="1276"/>
      <c r="V18" s="1276"/>
      <c r="W18" s="1275"/>
      <c r="X18" s="1275"/>
      <c r="Y18" s="1275"/>
      <c r="Z18" s="1282"/>
      <c r="AA18" s="1282"/>
      <c r="AB18" s="1282"/>
      <c r="AC18" s="1282"/>
      <c r="AD18" s="1282"/>
      <c r="AE18" s="1276"/>
      <c r="AF18" s="1276"/>
      <c r="AG18" s="2330"/>
      <c r="AH18" s="2330"/>
      <c r="AI18" s="2330"/>
      <c r="AJ18" s="3000"/>
    </row>
    <row r="19" spans="1:37" s="2192" customFormat="1" ht="27.75" thickBot="1">
      <c r="A19" s="2236" t="s">
        <v>809</v>
      </c>
      <c r="B19" s="2237" t="s">
        <v>2711</v>
      </c>
      <c r="C19" s="861" t="e">
        <f>ROUND(IF(H19="按公示增长率计算",SUMPRODUCT((地价!A3:A34=YEAR(G19)&amp;"-"&amp;ROUNDUP(MONTH(G19)/3,0))*(地价!X2:AB2=E2)*(地价!X3:AB34)),IF(H19="地价指数",M20/M19,(1+I19)^O19)),4)</f>
        <v>#VALUE!</v>
      </c>
      <c r="D19" s="2241" t="s">
        <v>2712</v>
      </c>
      <c r="E19" s="862">
        <v>41640</v>
      </c>
      <c r="F19" s="2241" t="s">
        <v>2713</v>
      </c>
      <c r="G19" s="863">
        <f>'数据-取费表'!B2</f>
        <v>44336</v>
      </c>
      <c r="H19" s="2242"/>
      <c r="I19" s="864" t="str">
        <f>IF(H19="季度增幅（自定义）",SUMIF(N21:N24,E2,O21:O24),"")</f>
        <v/>
      </c>
      <c r="J19" s="2239"/>
      <c r="K19" s="1282"/>
      <c r="L19" s="2243" t="s">
        <v>2714</v>
      </c>
      <c r="M19" s="1490">
        <f>ROUND(SUMIF(地价!B2:F2,E2,地价!B34:F34),0)</f>
        <v>0</v>
      </c>
      <c r="N19" s="2244" t="s">
        <v>2715</v>
      </c>
      <c r="O19" s="865">
        <f>ROUNDDOWN(DATEDIF(E19,G19,"M")/3,0)</f>
        <v>29</v>
      </c>
      <c r="P19" s="1279"/>
      <c r="Q19" s="1281"/>
      <c r="R19" s="1281"/>
      <c r="S19" s="1281"/>
      <c r="T19" s="1276"/>
      <c r="U19" s="1276"/>
      <c r="V19" s="1276"/>
      <c r="W19" s="1275"/>
      <c r="X19" s="1275"/>
      <c r="Y19" s="1275"/>
      <c r="Z19" s="1282"/>
      <c r="AA19" s="1282"/>
      <c r="AB19" s="1282"/>
      <c r="AC19" s="1282"/>
      <c r="AD19" s="1282"/>
      <c r="AE19" s="1282"/>
      <c r="AF19" s="1281"/>
      <c r="AG19" s="3003"/>
      <c r="AH19" s="2330"/>
      <c r="AI19" s="3004"/>
      <c r="AJ19" s="3004"/>
      <c r="AK19" s="2245"/>
    </row>
    <row r="20" spans="1:37" s="2192" customFormat="1" ht="27.75" thickBot="1">
      <c r="A20" s="2246" t="s">
        <v>810</v>
      </c>
      <c r="B20" s="2247" t="s">
        <v>2716</v>
      </c>
      <c r="C20" s="866" t="e">
        <f>ROUND(POWER(1+G20,J20-I20)*(POWER(1+G20,I20)-1)/(POWER(1+G20,J20)-1),4)</f>
        <v>#DIV/0!</v>
      </c>
      <c r="D20" s="2248" t="s">
        <v>2717</v>
      </c>
      <c r="E20" s="1499">
        <f>存贷款利率!E18/100</f>
        <v>4.3499999999999997E-2</v>
      </c>
      <c r="F20" s="2248" t="s">
        <v>2709</v>
      </c>
      <c r="G20" s="871">
        <f>SUMIF(M26:P26,E2,M28:P28)</f>
        <v>0</v>
      </c>
      <c r="H20" s="2248" t="s">
        <v>2718</v>
      </c>
      <c r="I20" s="872" t="e">
        <f>SUMIF('数据-取费表'!C6:C15,E2,'数据-取费表'!F6:F15)/COUNTIF('数据-取费表'!C6:C15,E2)</f>
        <v>#DIV/0!</v>
      </c>
      <c r="J20" s="873">
        <f>IF(E2="住宅",70,IF(E2="商业",40,50))</f>
        <v>50</v>
      </c>
      <c r="K20" s="1282"/>
      <c r="L20" s="2249" t="s">
        <v>2719</v>
      </c>
      <c r="M20" s="1491">
        <f>ROUND(SUMPRODUCT((地价!A4:A34=YEAR(G19)&amp;"-"&amp;ROUNDUP(MONTH(G19)/3,0))*(地价!B2:F2=E2)*(地价!B4:F34)),0)</f>
        <v>0</v>
      </c>
      <c r="N20" s="2250" t="s">
        <v>2720</v>
      </c>
      <c r="O20" s="2251" t="s">
        <v>2721</v>
      </c>
      <c r="P20" s="2252" t="s">
        <v>2722</v>
      </c>
      <c r="Q20" s="3000"/>
      <c r="R20" s="1281"/>
      <c r="S20" s="1281"/>
      <c r="T20" s="1276"/>
      <c r="U20" s="1276"/>
      <c r="V20" s="1276"/>
      <c r="W20" s="1275"/>
      <c r="X20" s="1275"/>
      <c r="Y20" s="1275"/>
      <c r="Z20" s="1282"/>
      <c r="AA20" s="1282"/>
      <c r="AB20" s="1282"/>
      <c r="AC20" s="1282"/>
      <c r="AD20" s="1282"/>
      <c r="AE20" s="1282"/>
      <c r="AF20" s="1282"/>
      <c r="AG20" s="3000"/>
      <c r="AH20" s="3000"/>
      <c r="AI20" s="3000"/>
      <c r="AJ20" s="3000"/>
    </row>
    <row r="21" spans="1:37" s="2192" customFormat="1" ht="15">
      <c r="A21" s="2253" t="s">
        <v>811</v>
      </c>
      <c r="B21" s="2254" t="s">
        <v>2723</v>
      </c>
      <c r="C21" s="874">
        <f>IF(B21="容积率修正",IF(G3&lt;=10,D22,J22),C23)</f>
        <v>0</v>
      </c>
      <c r="D21" s="2255"/>
      <c r="E21" s="2255"/>
      <c r="F21" s="2255"/>
      <c r="G21" s="2255"/>
      <c r="H21" s="2255"/>
      <c r="I21" s="2255"/>
      <c r="J21" s="2256"/>
      <c r="K21" s="1282"/>
      <c r="L21" s="3000"/>
      <c r="M21" s="3000"/>
      <c r="N21" s="2257" t="s">
        <v>2724</v>
      </c>
      <c r="O21" s="1330"/>
      <c r="P21" s="1331">
        <f>SUMPRODUCT((地价!A3:A34=YEAR(G19)&amp;"-"&amp;ROUNDUP(MONTH(G19)/3,0))*(地价!AD2:AH2=N21)*(地价!AD3:AH34))</f>
        <v>1.09E-2</v>
      </c>
      <c r="Q21" s="3000"/>
      <c r="R21" s="1281"/>
      <c r="S21" s="1281"/>
      <c r="T21" s="1276"/>
      <c r="U21" s="1276"/>
      <c r="V21" s="1276"/>
      <c r="W21" s="1275"/>
      <c r="X21" s="1275"/>
      <c r="Y21" s="1275"/>
      <c r="Z21" s="1282"/>
      <c r="AA21" s="1282"/>
      <c r="AB21" s="1282"/>
      <c r="AC21" s="1282"/>
      <c r="AD21" s="1282"/>
      <c r="AE21" s="1282"/>
      <c r="AF21" s="1282"/>
      <c r="AG21" s="3000"/>
      <c r="AH21" s="3000"/>
      <c r="AI21" s="3000"/>
      <c r="AJ21" s="3000"/>
    </row>
    <row r="22" spans="1:37" s="2192" customFormat="1" ht="14.25">
      <c r="A22" s="2131" t="s">
        <v>2725</v>
      </c>
      <c r="B22" s="2258" t="s">
        <v>2726</v>
      </c>
      <c r="C22" s="1529" t="s">
        <v>2727</v>
      </c>
      <c r="D22" s="1529">
        <f>IF(E22=G22,F22,IF(G3&lt;=10,ROUND(F22+(H22-F22)*(G3-E22)/(G22-E22),4),"——"))</f>
        <v>0</v>
      </c>
      <c r="E22" s="853">
        <f>ROUNDDOWN(G3,1)</f>
        <v>8.6999999999999993</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8.7999999999999989</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5" t="str">
        <f>IF(G3&gt;10,D113,"——")</f>
        <v>——</v>
      </c>
      <c r="K22" s="1282"/>
      <c r="L22" s="3000"/>
      <c r="M22" s="3000"/>
      <c r="N22" s="2257" t="s">
        <v>2728</v>
      </c>
      <c r="O22" s="1330"/>
      <c r="P22" s="1331">
        <f>SUMPRODUCT((地价!A3:A34=YEAR(G19)&amp;"-"&amp;ROUNDUP(MONTH(G19)/3,0))*(地价!AD2:AH2=N22)*(地价!AD3:AH34))</f>
        <v>1.09E-2</v>
      </c>
      <c r="Q22" s="3000"/>
      <c r="R22" s="1281"/>
      <c r="S22" s="1281"/>
      <c r="T22" s="1276"/>
      <c r="U22" s="1276"/>
      <c r="V22" s="1276"/>
      <c r="W22" s="1275"/>
      <c r="X22" s="1275"/>
      <c r="Y22" s="1275"/>
      <c r="Z22" s="1282"/>
      <c r="AA22" s="1282"/>
      <c r="AB22" s="1282"/>
      <c r="AC22" s="1282"/>
      <c r="AD22" s="1282"/>
      <c r="AE22" s="1282"/>
      <c r="AF22" s="1282"/>
      <c r="AG22" s="3000"/>
      <c r="AH22" s="3000"/>
      <c r="AI22" s="3000"/>
      <c r="AJ22" s="3000"/>
    </row>
    <row r="23" spans="1:37" ht="27.75" thickBot="1">
      <c r="A23" s="2131" t="s">
        <v>2729</v>
      </c>
      <c r="B23" s="2259" t="s">
        <v>2730</v>
      </c>
      <c r="C23" s="948">
        <f>ROUND(IF(G3&gt;1,IF(I3&lt;7,SUMPRODUCT((B93:B98=I3)*(C92:N92=G2)*(C93:N98)),SUMIF(C92:N92,G2,C100:N100)),IF(I3&lt;7,SUMPRODUCT((B102:B107=I3)*(C92:N92=G2)*(C102:N107)),SUMIF(C92:N92,G2,C109:N109))),4)</f>
        <v>0</v>
      </c>
      <c r="D23" s="2227"/>
      <c r="E23" s="2227"/>
      <c r="F23" s="2260"/>
      <c r="G23" s="2261"/>
      <c r="H23" s="2262"/>
      <c r="I23" s="2263"/>
      <c r="J23" s="2264"/>
      <c r="K23" s="1275"/>
      <c r="L23" s="2173"/>
      <c r="M23" s="2173"/>
      <c r="N23" s="2257" t="s">
        <v>2731</v>
      </c>
      <c r="O23" s="1330"/>
      <c r="P23" s="1331">
        <f>SUMPRODUCT((地价!A3:A34=YEAR(G19)&amp;"-"&amp;ROUNDUP(MONTH(G19)/3,0))*(地价!AD2:AH2=N23)*(地价!AD3:AH34))</f>
        <v>1.9E-2</v>
      </c>
      <c r="Q23" s="2173"/>
      <c r="R23" s="1281"/>
      <c r="S23" s="1281"/>
      <c r="T23" s="1276"/>
      <c r="U23" s="1276"/>
      <c r="V23" s="1276"/>
      <c r="W23" s="1275"/>
      <c r="X23" s="1275"/>
      <c r="Y23" s="1275"/>
      <c r="Z23" s="1282"/>
      <c r="AA23" s="1282"/>
      <c r="AB23" s="1282"/>
      <c r="AC23" s="1282"/>
      <c r="AD23" s="1282"/>
      <c r="AE23" s="1276"/>
      <c r="AF23" s="1276"/>
      <c r="AG23" s="2330"/>
      <c r="AH23" s="2330"/>
      <c r="AI23" s="2330"/>
      <c r="AJ23" s="2330"/>
      <c r="AK23" s="2240"/>
    </row>
    <row r="24" spans="1:37" s="2192" customFormat="1" ht="15.75" thickBot="1">
      <c r="A24" s="2246" t="s">
        <v>812</v>
      </c>
      <c r="B24" s="2237" t="s">
        <v>2732</v>
      </c>
      <c r="C24" s="861">
        <f>SUMIF(A45:A88,E2,B45:B88)</f>
        <v>0</v>
      </c>
      <c r="D24" s="2238"/>
      <c r="E24" s="2265"/>
      <c r="F24" s="2265"/>
      <c r="G24" s="2265"/>
      <c r="H24" s="2265"/>
      <c r="I24" s="2265"/>
      <c r="J24" s="2266"/>
      <c r="K24" s="1282"/>
      <c r="L24" s="3000"/>
      <c r="M24" s="3000"/>
      <c r="N24" s="2267" t="s">
        <v>2733</v>
      </c>
      <c r="O24" s="1332"/>
      <c r="P24" s="1333">
        <f>SUMPRODUCT((地价!A3:A34=YEAR(G19)&amp;"-"&amp;ROUNDUP(MONTH(G19)/3,0))*(地价!AD2:AH2=N24)*(地价!AD3:AH34))</f>
        <v>1.2500000000000001E-2</v>
      </c>
      <c r="Q24" s="3000"/>
      <c r="R24" s="1281"/>
      <c r="S24" s="1281"/>
      <c r="T24" s="1276"/>
      <c r="U24" s="1276"/>
      <c r="V24" s="1276"/>
      <c r="W24" s="1275"/>
      <c r="X24" s="1275"/>
      <c r="Y24" s="1275"/>
      <c r="Z24" s="1282"/>
      <c r="AA24" s="1282"/>
      <c r="AB24" s="1282"/>
      <c r="AC24" s="1282"/>
      <c r="AD24" s="1282"/>
      <c r="AE24" s="1282"/>
      <c r="AF24" s="1282"/>
      <c r="AG24" s="3000"/>
      <c r="AH24" s="3000"/>
      <c r="AI24" s="3000"/>
      <c r="AJ24" s="3000"/>
    </row>
    <row r="25" spans="1:37" ht="15.75" thickBot="1">
      <c r="A25" s="2246" t="s">
        <v>813</v>
      </c>
      <c r="B25" s="2268" t="s">
        <v>2734</v>
      </c>
      <c r="C25" s="867"/>
      <c r="D25" s="2202"/>
      <c r="E25" s="2202"/>
      <c r="F25" s="2269"/>
      <c r="G25" s="2202"/>
      <c r="H25" s="2202"/>
      <c r="I25" s="2202"/>
      <c r="J25" s="2203"/>
      <c r="K25" s="1275"/>
      <c r="L25" s="2173"/>
      <c r="M25" s="2173"/>
      <c r="N25" s="2995" t="s">
        <v>2735</v>
      </c>
      <c r="O25" s="2996"/>
      <c r="P25" s="2997">
        <f>SUMPRODUCT((地价!A3:A34=YEAR(G19)&amp;"-"&amp;ROUNDUP(MONTH(G19)/3,0))*(地价!AD2:AH2=N25)*(地价!AD3:AH34))</f>
        <v>1.7299999999999999E-2</v>
      </c>
      <c r="Q25" s="2173"/>
      <c r="R25" s="1281"/>
      <c r="S25" s="1281"/>
      <c r="T25" s="1276"/>
      <c r="U25" s="1276"/>
      <c r="V25" s="1276"/>
      <c r="W25" s="1275"/>
      <c r="X25" s="1275"/>
      <c r="Y25" s="1275"/>
      <c r="Z25" s="1282"/>
      <c r="AA25" s="1282"/>
      <c r="AB25" s="1282"/>
      <c r="AC25" s="1282"/>
      <c r="AD25" s="1282"/>
      <c r="AE25" s="1276"/>
      <c r="AF25" s="1276"/>
      <c r="AG25" s="2330"/>
      <c r="AH25" s="2330"/>
      <c r="AI25" s="2330"/>
      <c r="AJ25" s="2330"/>
    </row>
    <row r="26" spans="1:37" ht="15">
      <c r="A26" s="2270"/>
      <c r="B26" s="2258" t="s">
        <v>2736</v>
      </c>
      <c r="C26" s="2532" t="e">
        <f>IF(B21="容积率修正",E29+SUM(E33:E39),SUM(V2:V16)+SUM(E33:E39))</f>
        <v>#DIV/0!</v>
      </c>
      <c r="D26" s="2271"/>
      <c r="E26" s="2227"/>
      <c r="F26" s="2272"/>
      <c r="G26" s="2227"/>
      <c r="H26" s="2227"/>
      <c r="I26" s="2227"/>
      <c r="J26" s="2273"/>
      <c r="K26" s="1275"/>
      <c r="L26" s="2998" t="s">
        <v>2634</v>
      </c>
      <c r="M26" s="2200" t="s">
        <v>2699</v>
      </c>
      <c r="N26" s="2200" t="s">
        <v>2700</v>
      </c>
      <c r="O26" s="2200" t="s">
        <v>2701</v>
      </c>
      <c r="P26" s="2999" t="s">
        <v>2702</v>
      </c>
      <c r="Q26" s="2173"/>
      <c r="R26" s="1281"/>
      <c r="S26" s="1281"/>
      <c r="T26" s="1276"/>
      <c r="U26" s="1276"/>
      <c r="V26" s="1276"/>
      <c r="W26" s="1275"/>
      <c r="X26" s="1275"/>
      <c r="Y26" s="1275"/>
      <c r="Z26" s="1282"/>
      <c r="AA26" s="1282"/>
      <c r="AB26" s="1282"/>
      <c r="AC26" s="1282"/>
      <c r="AD26" s="1282"/>
      <c r="AE26" s="1276"/>
      <c r="AF26" s="1276"/>
      <c r="AG26" s="2330"/>
      <c r="AH26" s="2330"/>
      <c r="AI26" s="2330"/>
      <c r="AJ26" s="2330"/>
    </row>
    <row r="27" spans="1:37" ht="15.75" thickBot="1">
      <c r="A27" s="2270"/>
      <c r="B27" s="2274" t="s">
        <v>2737</v>
      </c>
      <c r="C27" s="868" t="e">
        <f>E30+SUM(I33:I39)</f>
        <v>#DIV/0!</v>
      </c>
      <c r="D27" s="2275"/>
      <c r="E27" s="2276"/>
      <c r="F27" s="2277"/>
      <c r="G27" s="2276"/>
      <c r="H27" s="2276"/>
      <c r="I27" s="2276"/>
      <c r="J27" s="2278"/>
      <c r="K27" s="1275"/>
      <c r="L27" s="2233" t="s">
        <v>2706</v>
      </c>
      <c r="M27" s="859">
        <v>0.25</v>
      </c>
      <c r="N27" s="859">
        <v>0.2</v>
      </c>
      <c r="O27" s="859">
        <v>0.15</v>
      </c>
      <c r="P27" s="1274">
        <v>0.1</v>
      </c>
      <c r="Q27" s="1281"/>
      <c r="R27" s="1281"/>
      <c r="S27" s="1281"/>
      <c r="T27" s="1276"/>
      <c r="U27" s="1276"/>
      <c r="V27" s="1276"/>
      <c r="W27" s="1275"/>
      <c r="X27" s="1275"/>
      <c r="Y27" s="1275"/>
      <c r="Z27" s="1282"/>
      <c r="AA27" s="1282"/>
      <c r="AB27" s="1282"/>
      <c r="AC27" s="1282"/>
      <c r="AD27" s="1282"/>
      <c r="AE27" s="1276"/>
      <c r="AF27" s="1276"/>
      <c r="AG27" s="2330"/>
      <c r="AH27" s="2330"/>
      <c r="AI27" s="2330"/>
      <c r="AJ27" s="2330"/>
    </row>
    <row r="28" spans="1:37" ht="15.75" thickBot="1">
      <c r="A28" s="2279"/>
      <c r="B28" s="2280" t="s">
        <v>2738</v>
      </c>
      <c r="C28" s="2281" t="s">
        <v>2739</v>
      </c>
      <c r="D28" s="2281" t="s">
        <v>2740</v>
      </c>
      <c r="E28" s="2282" t="s">
        <v>2741</v>
      </c>
      <c r="F28" s="2283"/>
      <c r="G28" s="2215"/>
      <c r="H28" s="2215"/>
      <c r="I28" s="2215"/>
      <c r="J28" s="2216"/>
      <c r="K28" s="1275"/>
      <c r="L28" s="2234" t="s">
        <v>2709</v>
      </c>
      <c r="M28" s="183">
        <f>ROUND($E$20*(1+M27),3)</f>
        <v>5.3999999999999999E-2</v>
      </c>
      <c r="N28" s="183">
        <f>ROUND($E$20*(1+N27),3)</f>
        <v>5.1999999999999998E-2</v>
      </c>
      <c r="O28" s="183">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0"/>
      <c r="AH28" s="2330"/>
      <c r="AI28" s="2330"/>
      <c r="AJ28" s="2330"/>
    </row>
    <row r="29" spans="1:37" ht="22.5" customHeight="1">
      <c r="A29" s="2284"/>
      <c r="B29" s="2285" t="s">
        <v>2742</v>
      </c>
      <c r="C29" s="180" t="e">
        <f>ROUND(C5*C18*C19*C20*C21*C24,0)</f>
        <v>#DIV/0!</v>
      </c>
      <c r="D29" s="2286"/>
      <c r="E29" s="877" t="e">
        <f>ROUND(C29*D29/10000,0)</f>
        <v>#DIV/0!</v>
      </c>
      <c r="F29" s="2287" t="s">
        <v>2743</v>
      </c>
      <c r="G29" s="2288"/>
      <c r="H29" s="2288"/>
      <c r="I29" s="2288"/>
      <c r="J29" s="2289"/>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3"/>
      <c r="AH29" s="2173"/>
      <c r="AI29" s="2173"/>
      <c r="AJ29" s="2173"/>
    </row>
    <row r="30" spans="1:37" ht="25.5" thickBot="1">
      <c r="A30" s="2290"/>
      <c r="B30" s="2291" t="s">
        <v>2744</v>
      </c>
      <c r="C30" s="193" t="e">
        <f>ROUND(IF(E2="工业",C29*M39,C29*M38),0)</f>
        <v>#DIV/0!</v>
      </c>
      <c r="D30" s="2292"/>
      <c r="E30" s="877" t="e">
        <f>ROUND(C30*D30/10000,0)</f>
        <v>#DIV/0!</v>
      </c>
      <c r="F30" s="2293" t="s">
        <v>2745</v>
      </c>
      <c r="G30" s="2294"/>
      <c r="H30" s="2294"/>
      <c r="I30" s="2294"/>
      <c r="J30" s="2295"/>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3"/>
      <c r="AH30" s="2173"/>
      <c r="AI30" s="2173"/>
      <c r="AJ30" s="2173"/>
    </row>
    <row r="31" spans="1:37" ht="14.25">
      <c r="A31" s="2296"/>
      <c r="B31" s="2297" t="s">
        <v>2746</v>
      </c>
      <c r="C31" s="2298" t="s">
        <v>2747</v>
      </c>
      <c r="D31" s="2215"/>
      <c r="E31" s="2298"/>
      <c r="F31" s="2298"/>
      <c r="G31" s="2213" t="s">
        <v>2748</v>
      </c>
      <c r="H31" s="2215"/>
      <c r="I31" s="2299"/>
      <c r="J31" s="2216"/>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3"/>
      <c r="AH31" s="2173"/>
      <c r="AI31" s="2173"/>
      <c r="AJ31" s="2173"/>
    </row>
    <row r="32" spans="1:37" ht="24">
      <c r="A32" s="2284"/>
      <c r="B32" s="2300"/>
      <c r="C32" s="458" t="s">
        <v>2739</v>
      </c>
      <c r="D32" s="455" t="s">
        <v>2740</v>
      </c>
      <c r="E32" s="455" t="s">
        <v>2741</v>
      </c>
      <c r="F32" s="348" t="s">
        <v>2749</v>
      </c>
      <c r="G32" s="2301" t="s">
        <v>2739</v>
      </c>
      <c r="H32" s="2301" t="s">
        <v>2740</v>
      </c>
      <c r="I32" s="2301" t="s">
        <v>2741</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3"/>
      <c r="AH32" s="2173"/>
      <c r="AI32" s="2173"/>
      <c r="AJ32" s="2173"/>
    </row>
    <row r="33" spans="1:37" ht="36" customHeight="1">
      <c r="A33" s="3400"/>
      <c r="B33" s="2302" t="s">
        <v>2750</v>
      </c>
      <c r="C33" s="180" t="e">
        <f>ROUND(D5*C19*C20*C24*F33,0)</f>
        <v>#DIV/0!</v>
      </c>
      <c r="D33" s="2286"/>
      <c r="E33" s="176" t="e">
        <f>ROUND(C33*D33/10000,0)</f>
        <v>#DIV/0!</v>
      </c>
      <c r="F33" s="176">
        <f>SUMIF(修正!A45:A56,G2,修正!B45:B56)</f>
        <v>0</v>
      </c>
      <c r="G33" s="176" t="e">
        <f t="shared" ref="G33" si="6">ROUND(IF(E2="工业",C33*$M$39,C33*$M$38),0)</f>
        <v>#DIV/0!</v>
      </c>
      <c r="H33" s="176">
        <f>D33</f>
        <v>0</v>
      </c>
      <c r="I33" s="176" t="e">
        <f>ROUND(G33*H33/10000,0)</f>
        <v>#DIV/0!</v>
      </c>
      <c r="J33" s="3405" t="s">
        <v>3047</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0"/>
      <c r="AH33" s="2330"/>
      <c r="AI33" s="2330"/>
      <c r="AJ33" s="2330"/>
    </row>
    <row r="34" spans="1:37" ht="14.25">
      <c r="A34" s="3401"/>
      <c r="B34" s="2219" t="s">
        <v>2751</v>
      </c>
      <c r="C34" s="180" t="e">
        <f>ROUND(D5*C19*C20*C24*F34,0)</f>
        <v>#DIV/0!</v>
      </c>
      <c r="D34" s="228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1"/>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0"/>
      <c r="AH34" s="2330"/>
      <c r="AI34" s="2330"/>
      <c r="AJ34" s="2330"/>
    </row>
    <row r="35" spans="1:37">
      <c r="A35" s="3401"/>
      <c r="B35" s="2219" t="s">
        <v>2752</v>
      </c>
      <c r="C35" s="180" t="e">
        <f>ROUND(D5*C19*C20*C24*F35,0)</f>
        <v>#DIV/0!</v>
      </c>
      <c r="D35" s="2286"/>
      <c r="E35" s="176" t="e">
        <f t="shared" si="7"/>
        <v>#DIV/0!</v>
      </c>
      <c r="F35" s="176">
        <f>SUMIF(修正!A45:A56,G2,修正!D45:D56)</f>
        <v>0</v>
      </c>
      <c r="G35" s="176" t="e">
        <f>ROUND(IF(E2="工业",C35*$M$39,C35*$M$38),0)</f>
        <v>#DIV/0!</v>
      </c>
      <c r="H35" s="176">
        <f t="shared" si="8"/>
        <v>0</v>
      </c>
      <c r="I35" s="176" t="e">
        <f t="shared" si="9"/>
        <v>#DIV/0!</v>
      </c>
      <c r="J35" s="3401"/>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0"/>
      <c r="AH35" s="2330"/>
      <c r="AI35" s="2330"/>
      <c r="AJ35" s="2330"/>
    </row>
    <row r="36" spans="1:37" ht="13.5" thickBot="1">
      <c r="A36" s="3402"/>
      <c r="B36" s="2219" t="s">
        <v>2753</v>
      </c>
      <c r="C36" s="180" t="e">
        <f>ROUND(D5*C19*C20*C24*F36,0)</f>
        <v>#DIV/0!</v>
      </c>
      <c r="D36" s="2286"/>
      <c r="E36" s="176" t="e">
        <f t="shared" si="7"/>
        <v>#DIV/0!</v>
      </c>
      <c r="F36" s="176">
        <f>SUMIF(修正!A45:A56,G2,修正!E45:E56)</f>
        <v>0</v>
      </c>
      <c r="G36" s="176" t="e">
        <f>ROUND(IF(E2="工业",C36*$M$39,C36*$M$38),0)</f>
        <v>#DIV/0!</v>
      </c>
      <c r="H36" s="176">
        <f t="shared" si="8"/>
        <v>0</v>
      </c>
      <c r="I36" s="176" t="e">
        <f t="shared" si="9"/>
        <v>#DIV/0!</v>
      </c>
      <c r="J36" s="3402"/>
      <c r="K36" s="1275"/>
      <c r="L36" s="2173"/>
      <c r="M36" s="2173"/>
      <c r="N36" s="1275"/>
      <c r="O36" s="1275"/>
      <c r="P36" s="1275"/>
      <c r="Q36" s="1275"/>
      <c r="R36" s="1275"/>
      <c r="S36" s="1275"/>
      <c r="T36" s="1275"/>
      <c r="U36" s="1275"/>
      <c r="V36" s="1275"/>
      <c r="W36" s="1275"/>
      <c r="X36" s="1275"/>
      <c r="Y36" s="1275"/>
      <c r="Z36" s="1276"/>
      <c r="AA36" s="1276"/>
      <c r="AB36" s="1276"/>
      <c r="AC36" s="1276"/>
      <c r="AD36" s="1276"/>
      <c r="AE36" s="1276"/>
      <c r="AF36" s="1276"/>
      <c r="AG36" s="2330"/>
      <c r="AH36" s="2330"/>
      <c r="AI36" s="2330"/>
      <c r="AJ36" s="2330"/>
    </row>
    <row r="37" spans="1:37">
      <c r="A37" s="2304"/>
      <c r="B37" s="2219" t="s">
        <v>2754</v>
      </c>
      <c r="C37" s="176" t="e">
        <f>ROUND(D5*C19*C20*C24*F37,0)</f>
        <v>#DIV/0!</v>
      </c>
      <c r="D37" s="2286"/>
      <c r="E37" s="176" t="e">
        <f t="shared" si="7"/>
        <v>#DIV/0!</v>
      </c>
      <c r="F37" s="180">
        <f>SUMIF(修正!A45:A56,G2,修正!F45:F56)</f>
        <v>0</v>
      </c>
      <c r="G37" s="176" t="e">
        <f>ROUND(IF(E2="工业",C37*$M$39,C37*$M$38),0)</f>
        <v>#DIV/0!</v>
      </c>
      <c r="H37" s="176">
        <f t="shared" si="8"/>
        <v>0</v>
      </c>
      <c r="I37" s="176" t="e">
        <f t="shared" si="9"/>
        <v>#DIV/0!</v>
      </c>
      <c r="J37" s="2303"/>
      <c r="K37" s="1275"/>
      <c r="L37" s="2305" t="s">
        <v>2755</v>
      </c>
      <c r="M37" s="2306"/>
      <c r="N37" s="1275"/>
      <c r="O37" s="1275"/>
      <c r="P37" s="1275"/>
      <c r="Q37" s="1275"/>
      <c r="R37" s="1275"/>
      <c r="S37" s="1275"/>
      <c r="T37" s="1275"/>
      <c r="U37" s="1275"/>
      <c r="V37" s="1275"/>
      <c r="W37" s="1275"/>
      <c r="X37" s="1275"/>
      <c r="Y37" s="1275"/>
      <c r="Z37" s="1276"/>
      <c r="AA37" s="1276"/>
      <c r="AB37" s="1276"/>
      <c r="AC37" s="1276"/>
      <c r="AD37" s="1276"/>
      <c r="AE37" s="1276"/>
      <c r="AF37" s="1276"/>
      <c r="AG37" s="2330"/>
      <c r="AH37" s="2330"/>
      <c r="AI37" s="2330"/>
      <c r="AJ37" s="2330"/>
    </row>
    <row r="38" spans="1:37">
      <c r="A38" s="2304"/>
      <c r="B38" s="2219" t="s">
        <v>2756</v>
      </c>
      <c r="C38" s="176" t="e">
        <f>ROUND(D5*C19*C41*C24*F38,0)</f>
        <v>#DIV/0!</v>
      </c>
      <c r="D38" s="2286"/>
      <c r="E38" s="176" t="e">
        <f t="shared" si="7"/>
        <v>#DIV/0!</v>
      </c>
      <c r="F38" s="180">
        <f>SUMIF(修正!A45:A56,G2,修正!G45:G56)</f>
        <v>0</v>
      </c>
      <c r="G38" s="176" t="e">
        <f>ROUND(IF(E2="工业",C38*$M$39,C38*$M$38),0)</f>
        <v>#DIV/0!</v>
      </c>
      <c r="H38" s="176">
        <f t="shared" si="8"/>
        <v>0</v>
      </c>
      <c r="I38" s="176" t="e">
        <f t="shared" si="9"/>
        <v>#DIV/0!</v>
      </c>
      <c r="J38" s="2303"/>
      <c r="K38" s="1275"/>
      <c r="L38" s="1598" t="s">
        <v>2757</v>
      </c>
      <c r="M38" s="2307">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0"/>
      <c r="B39" s="2308" t="s">
        <v>2758</v>
      </c>
      <c r="C39" s="193" t="e">
        <f>ROUND(D5*C19*C41*C24*F39,0)</f>
        <v>#DIV/0!</v>
      </c>
      <c r="D39" s="2292"/>
      <c r="E39" s="193" t="e">
        <f t="shared" si="7"/>
        <v>#DIV/0!</v>
      </c>
      <c r="F39" s="869">
        <f>SUMIF(修正!A45:A56,G2,修正!H45:H56)</f>
        <v>0</v>
      </c>
      <c r="G39" s="193" t="e">
        <f>ROUND(IF(E2="工业",C39*$M$39,C39*$M$38),0)</f>
        <v>#DIV/0!</v>
      </c>
      <c r="H39" s="193">
        <f t="shared" si="8"/>
        <v>0</v>
      </c>
      <c r="I39" s="193" t="e">
        <f t="shared" si="9"/>
        <v>#DIV/0!</v>
      </c>
      <c r="J39" s="2309"/>
      <c r="K39" s="1275"/>
      <c r="L39" s="2310" t="s">
        <v>2702</v>
      </c>
      <c r="M39" s="2311">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0" t="s">
        <v>2859</v>
      </c>
      <c r="C41" s="348" t="e">
        <f>ROUND(POWER(1+E41,H41-G41)*(POWER(1+E41,G41)-1)/(POWER(1+E41,H41)-1),4)</f>
        <v>#DIV/0!</v>
      </c>
      <c r="D41" s="176" t="s">
        <v>2709</v>
      </c>
      <c r="E41" s="2359">
        <f>G20</f>
        <v>0</v>
      </c>
      <c r="F41" s="176" t="s">
        <v>2718</v>
      </c>
      <c r="G41" s="189"/>
      <c r="H41" s="176">
        <v>50</v>
      </c>
      <c r="Z41" s="1276"/>
      <c r="AA41" s="1276"/>
      <c r="AB41" s="1276"/>
      <c r="AC41" s="1276"/>
      <c r="AD41" s="1276"/>
      <c r="AE41" s="1276"/>
      <c r="AF41" s="1276"/>
      <c r="AG41" s="1276"/>
      <c r="AH41" s="1276"/>
      <c r="AI41" s="1276"/>
      <c r="AJ41" s="1276"/>
    </row>
    <row r="42" spans="1:37" s="1275" customFormat="1">
      <c r="A42" s="1276"/>
      <c r="B42" s="2312"/>
      <c r="Z42" s="1276"/>
      <c r="AA42" s="1276"/>
      <c r="AB42" s="1276"/>
      <c r="AC42" s="1276"/>
      <c r="AD42" s="1276"/>
      <c r="AE42" s="1276"/>
      <c r="AF42" s="1276"/>
      <c r="AG42" s="1276"/>
      <c r="AH42" s="1276"/>
      <c r="AI42" s="1276"/>
      <c r="AJ42" s="1276"/>
    </row>
    <row r="43" spans="1:37" s="1275" customFormat="1">
      <c r="A43" s="1276"/>
      <c r="B43" s="2312"/>
      <c r="Z43" s="1276"/>
      <c r="AA43" s="1276"/>
      <c r="AB43" s="1276"/>
      <c r="AC43" s="1276"/>
      <c r="AD43" s="1276"/>
      <c r="AE43" s="1276"/>
      <c r="AF43" s="1276"/>
      <c r="AG43" s="1276"/>
      <c r="AH43" s="1276"/>
      <c r="AI43" s="1276"/>
      <c r="AJ43" s="1276"/>
    </row>
    <row r="44" spans="1:37" s="1275" customFormat="1">
      <c r="A44" s="1276"/>
      <c r="B44" s="2312"/>
      <c r="Z44" s="1276"/>
      <c r="AA44" s="1276"/>
      <c r="AB44" s="1276"/>
      <c r="AC44" s="1276"/>
      <c r="AD44" s="1276"/>
      <c r="AE44" s="1276"/>
      <c r="AF44" s="1276"/>
      <c r="AG44" s="1276"/>
      <c r="AH44" s="1276"/>
      <c r="AI44" s="1276"/>
      <c r="AJ44" s="1276"/>
    </row>
    <row r="45" spans="1:37" s="1275" customFormat="1" ht="15.75" thickBot="1">
      <c r="A45" s="2313" t="s">
        <v>2759</v>
      </c>
      <c r="B45" s="2314"/>
      <c r="C45" s="7"/>
      <c r="D45" s="7"/>
      <c r="E45" s="7"/>
      <c r="F45" s="6"/>
      <c r="G45" s="6"/>
      <c r="H45" s="6"/>
      <c r="I45" s="2000"/>
      <c r="J45" s="2000"/>
      <c r="K45" s="2000"/>
      <c r="L45" s="2000"/>
      <c r="M45" s="2000"/>
      <c r="Z45" s="1276"/>
      <c r="AA45" s="1276"/>
      <c r="AB45" s="1276"/>
      <c r="AC45" s="1276"/>
      <c r="AD45" s="1276"/>
      <c r="AE45" s="1276"/>
      <c r="AF45" s="1276"/>
      <c r="AG45" s="1276"/>
      <c r="AH45" s="1276"/>
      <c r="AI45" s="1276"/>
      <c r="AJ45" s="1276"/>
    </row>
    <row r="46" spans="1:37" s="1275" customFormat="1" ht="15">
      <c r="A46" s="2315" t="s">
        <v>2760</v>
      </c>
      <c r="B46" s="2316">
        <f>1+E48</f>
        <v>1</v>
      </c>
      <c r="C46" s="2317"/>
      <c r="D46" s="751"/>
      <c r="E46" s="752"/>
      <c r="F46" s="2318"/>
      <c r="G46" s="6"/>
      <c r="H46" s="7"/>
      <c r="I46" s="2000"/>
      <c r="J46" s="2000"/>
      <c r="K46" s="2000"/>
      <c r="L46" s="2000"/>
      <c r="M46" s="2000"/>
      <c r="Z46" s="1276"/>
      <c r="AA46" s="1276"/>
      <c r="AB46" s="1276"/>
      <c r="AC46" s="1276"/>
      <c r="AD46" s="1276"/>
      <c r="AE46" s="1276"/>
      <c r="AF46" s="1276"/>
      <c r="AG46" s="1276"/>
      <c r="AH46" s="1276"/>
      <c r="AI46" s="1276"/>
      <c r="AJ46" s="1276"/>
    </row>
    <row r="47" spans="1:37" s="1275" customFormat="1" ht="24.75">
      <c r="A47" s="2319" t="s">
        <v>2761</v>
      </c>
      <c r="B47" s="1528" t="s">
        <v>2762</v>
      </c>
      <c r="C47" s="1528" t="s">
        <v>2763</v>
      </c>
      <c r="D47" s="1528" t="s">
        <v>2764</v>
      </c>
      <c r="E47" s="756" t="s">
        <v>2765</v>
      </c>
      <c r="F47" s="2320" t="s">
        <v>2766</v>
      </c>
      <c r="G47" s="1528" t="s">
        <v>754</v>
      </c>
      <c r="H47" s="2321" t="s">
        <v>2767</v>
      </c>
      <c r="I47" s="1528" t="s">
        <v>2768</v>
      </c>
      <c r="J47" s="560" t="s">
        <v>2417</v>
      </c>
      <c r="K47" s="560" t="s">
        <v>2418</v>
      </c>
      <c r="L47" s="560" t="s">
        <v>2419</v>
      </c>
      <c r="M47" s="560" t="s">
        <v>2420</v>
      </c>
      <c r="N47" s="560" t="s">
        <v>2421</v>
      </c>
      <c r="AA47" s="1276"/>
      <c r="AB47" s="1276"/>
      <c r="AC47" s="1276"/>
      <c r="AD47" s="1276"/>
      <c r="AE47" s="1276"/>
      <c r="AF47" s="1276"/>
      <c r="AG47" s="1276"/>
      <c r="AH47" s="1276"/>
      <c r="AI47" s="1276"/>
      <c r="AJ47" s="1276"/>
      <c r="AK47" s="1276"/>
    </row>
    <row r="48" spans="1:37" s="1275" customFormat="1" ht="63.75">
      <c r="A48" s="2319" t="s">
        <v>2769</v>
      </c>
      <c r="B48" s="2322" t="str">
        <f>估价对象房地状况!C4</f>
        <v>估价对象位于平阳路，周边商业氛围较成熟，有赛格科技广场、尚品购物中心等商业项目，人流量较大，商业繁华度较好</v>
      </c>
      <c r="C48" s="2224"/>
      <c r="D48" s="1191">
        <f t="shared" ref="D48:D56" si="10">SUMIF($J$47:$N$47,C48,J48:N48)</f>
        <v>0</v>
      </c>
      <c r="E48" s="758">
        <f>ROUND(SUM(D48:D56),4)</f>
        <v>0</v>
      </c>
      <c r="F48" s="1993" t="str">
        <f>IF(E2="商业",SUMIF(L1:L12,G2,N1:N12),"——")</f>
        <v>——</v>
      </c>
      <c r="G48" s="1189"/>
      <c r="H48" s="1193" t="str">
        <f t="shared" ref="H48:H56" si="11">IFERROR(ROUNDDOWN($F$48*I48/2,4),"——")</f>
        <v>——</v>
      </c>
      <c r="I48" s="757">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63.75">
      <c r="A49" s="2319" t="s">
        <v>2770</v>
      </c>
      <c r="B49" s="2323" t="str">
        <f>估价对象房地状况!C18</f>
        <v>估价对象紧邻平阳路，有13、39、56、65、901等公交线路，项目有地面停车场，综合评价交通便捷度较好。</v>
      </c>
      <c r="C49" s="2224"/>
      <c r="D49" s="1191">
        <f t="shared" si="10"/>
        <v>0</v>
      </c>
      <c r="E49" s="759"/>
      <c r="F49" s="1993"/>
      <c r="G49" s="1189"/>
      <c r="H49" s="1193" t="str">
        <f t="shared" si="11"/>
        <v>——</v>
      </c>
      <c r="I49" s="757">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19" t="s">
        <v>2771</v>
      </c>
      <c r="B50" s="2323">
        <f>估价对象房地状况!C19</f>
        <v>0</v>
      </c>
      <c r="C50" s="2224"/>
      <c r="D50" s="1191">
        <f t="shared" si="10"/>
        <v>0</v>
      </c>
      <c r="E50" s="759"/>
      <c r="F50" s="1993"/>
      <c r="G50" s="1189"/>
      <c r="H50" s="1193" t="str">
        <f t="shared" si="11"/>
        <v>——</v>
      </c>
      <c r="I50" s="757">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19" t="s">
        <v>2772</v>
      </c>
      <c r="B51" s="2324" t="s">
        <v>2773</v>
      </c>
      <c r="C51" s="2224"/>
      <c r="D51" s="1191">
        <f t="shared" si="10"/>
        <v>0</v>
      </c>
      <c r="E51" s="759"/>
      <c r="F51" s="1993"/>
      <c r="G51" s="1189"/>
      <c r="H51" s="1193" t="str">
        <f t="shared" si="11"/>
        <v>——</v>
      </c>
      <c r="I51" s="757">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19" t="s">
        <v>2774</v>
      </c>
      <c r="B52" s="2323" t="str">
        <f>估价对象房地状况!C24</f>
        <v>城市主干道平阳路</v>
      </c>
      <c r="C52" s="2224"/>
      <c r="D52" s="1191">
        <f t="shared" si="10"/>
        <v>0</v>
      </c>
      <c r="E52" s="759"/>
      <c r="F52" s="1993"/>
      <c r="G52" s="1189"/>
      <c r="H52" s="1193" t="str">
        <f t="shared" si="11"/>
        <v>——</v>
      </c>
      <c r="I52" s="757">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19" t="s">
        <v>2775</v>
      </c>
      <c r="B53" s="2325" t="s">
        <v>2776</v>
      </c>
      <c r="C53" s="2224"/>
      <c r="D53" s="1191">
        <f t="shared" si="10"/>
        <v>0</v>
      </c>
      <c r="E53" s="759"/>
      <c r="F53" s="1993"/>
      <c r="G53" s="1189"/>
      <c r="H53" s="1193" t="str">
        <f t="shared" si="11"/>
        <v>——</v>
      </c>
      <c r="I53" s="757">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26" t="s">
        <v>2777</v>
      </c>
      <c r="B54" s="1488" t="str">
        <f>估价对象房地状况!C21</f>
        <v>估价对象所在区域公共配套设施齐备情况</v>
      </c>
      <c r="C54" s="2224"/>
      <c r="D54" s="1191">
        <f t="shared" si="10"/>
        <v>0</v>
      </c>
      <c r="E54" s="759"/>
      <c r="F54" s="1993"/>
      <c r="G54" s="1189"/>
      <c r="H54" s="1193" t="str">
        <f t="shared" si="11"/>
        <v>——</v>
      </c>
      <c r="I54" s="757">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5.5">
      <c r="A55" s="2326" t="s">
        <v>2778</v>
      </c>
      <c r="B55" s="2323" t="str">
        <f>估价对象房地状况!C22</f>
        <v>估价对象所在区域基础设施水平</v>
      </c>
      <c r="C55" s="2224"/>
      <c r="D55" s="1191">
        <f t="shared" si="10"/>
        <v>0</v>
      </c>
      <c r="E55" s="759"/>
      <c r="F55" s="1993"/>
      <c r="G55" s="1189"/>
      <c r="H55" s="1193" t="str">
        <f t="shared" si="11"/>
        <v>——</v>
      </c>
      <c r="I55" s="757">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51.75" thickBot="1">
      <c r="A56" s="2327" t="s">
        <v>2779</v>
      </c>
      <c r="B56" s="2328" t="str">
        <f>估价对象房地状况!C20</f>
        <v>估价对象周边有盆景园、太原汾河景区等自然景观、更有菊花坪、凉亭等人文景观、环境状况较好</v>
      </c>
      <c r="C56" s="2224"/>
      <c r="D56" s="1191">
        <f t="shared" si="10"/>
        <v>0</v>
      </c>
      <c r="E56" s="762"/>
      <c r="F56" s="1993"/>
      <c r="G56" s="1189"/>
      <c r="H56" s="1193" t="str">
        <f t="shared" si="11"/>
        <v>——</v>
      </c>
      <c r="I56" s="761">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5" t="s">
        <v>2780</v>
      </c>
      <c r="B57" s="2316">
        <f>1+E59</f>
        <v>1</v>
      </c>
      <c r="C57" s="751"/>
      <c r="D57" s="751"/>
      <c r="E57" s="752"/>
      <c r="F57" s="2318"/>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19" t="s">
        <v>2761</v>
      </c>
      <c r="B58" s="1528"/>
      <c r="C58" s="1528" t="s">
        <v>2763</v>
      </c>
      <c r="D58" s="1528" t="s">
        <v>2764</v>
      </c>
      <c r="E58" s="756" t="s">
        <v>2765</v>
      </c>
      <c r="F58" s="2320" t="s">
        <v>2781</v>
      </c>
      <c r="G58" s="1528" t="s">
        <v>754</v>
      </c>
      <c r="H58" s="2321" t="s">
        <v>2767</v>
      </c>
      <c r="I58" s="1528" t="s">
        <v>2768</v>
      </c>
      <c r="J58" s="560" t="s">
        <v>2417</v>
      </c>
      <c r="K58" s="560" t="s">
        <v>2418</v>
      </c>
      <c r="L58" s="560" t="s">
        <v>2419</v>
      </c>
      <c r="M58" s="560" t="s">
        <v>2420</v>
      </c>
      <c r="N58" s="560" t="s">
        <v>2421</v>
      </c>
      <c r="AA58" s="1276"/>
      <c r="AB58" s="1276"/>
      <c r="AC58" s="1276"/>
      <c r="AD58" s="1276"/>
      <c r="AE58" s="1276"/>
      <c r="AF58" s="1276"/>
      <c r="AG58" s="1276"/>
      <c r="AH58" s="1276"/>
      <c r="AI58" s="1276"/>
      <c r="AJ58" s="1276"/>
      <c r="AK58" s="1276"/>
    </row>
    <row r="59" spans="1:37" s="1275" customFormat="1" ht="24">
      <c r="A59" s="2319" t="s">
        <v>2782</v>
      </c>
      <c r="B59" s="2322">
        <f>估价对象房地状况!C17</f>
        <v>0</v>
      </c>
      <c r="C59" s="2224"/>
      <c r="D59" s="1191">
        <f t="shared" ref="D59:D67" si="15">SUMIF($J$58:$N$58,C59,J59:N59)</f>
        <v>0</v>
      </c>
      <c r="E59" s="758">
        <f>ROUND(SUM(D59:D67),4)</f>
        <v>0</v>
      </c>
      <c r="F59" s="1993" t="str">
        <f>IF(E2="办公",SUMIF(L1:L12,G2,N1:N12),"——")</f>
        <v>——</v>
      </c>
      <c r="G59" s="1189"/>
      <c r="H59" s="1193" t="str">
        <f t="shared" ref="H59:H67" si="16">IFERROR(ROUNDDOWN($F$59*I59/2,4),"——")</f>
        <v>——</v>
      </c>
      <c r="I59" s="757">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63.75">
      <c r="A60" s="2319" t="s">
        <v>2770</v>
      </c>
      <c r="B60" s="2323" t="str">
        <f>估价对象房地状况!C18</f>
        <v>估价对象紧邻平阳路，有13、39、56、65、901等公交线路，项目有地面停车场，综合评价交通便捷度较好。</v>
      </c>
      <c r="C60" s="2224"/>
      <c r="D60" s="1191">
        <f t="shared" si="15"/>
        <v>0</v>
      </c>
      <c r="E60" s="759"/>
      <c r="F60" s="1993"/>
      <c r="G60" s="1189"/>
      <c r="H60" s="1193" t="str">
        <f t="shared" si="16"/>
        <v>——</v>
      </c>
      <c r="I60" s="757">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19" t="s">
        <v>2771</v>
      </c>
      <c r="B61" s="2323">
        <f>估价对象房地状况!C19</f>
        <v>0</v>
      </c>
      <c r="C61" s="2224"/>
      <c r="D61" s="1191">
        <f t="shared" si="15"/>
        <v>0</v>
      </c>
      <c r="E61" s="759"/>
      <c r="F61" s="1993"/>
      <c r="G61" s="1189"/>
      <c r="H61" s="1193" t="str">
        <f t="shared" si="16"/>
        <v>——</v>
      </c>
      <c r="I61" s="757">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19" t="s">
        <v>2772</v>
      </c>
      <c r="B62" s="2324" t="s">
        <v>2773</v>
      </c>
      <c r="C62" s="2224"/>
      <c r="D62" s="1191">
        <f t="shared" si="15"/>
        <v>0</v>
      </c>
      <c r="E62" s="759"/>
      <c r="F62" s="1993"/>
      <c r="G62" s="1189"/>
      <c r="H62" s="1193" t="str">
        <f t="shared" si="16"/>
        <v>——</v>
      </c>
      <c r="I62" s="757">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19" t="s">
        <v>2774</v>
      </c>
      <c r="B63" s="2323" t="str">
        <f>估价对象房地状况!C24</f>
        <v>城市主干道平阳路</v>
      </c>
      <c r="C63" s="2224"/>
      <c r="D63" s="1191">
        <f t="shared" si="15"/>
        <v>0</v>
      </c>
      <c r="E63" s="759"/>
      <c r="F63" s="1993"/>
      <c r="G63" s="1189"/>
      <c r="H63" s="1193" t="str">
        <f t="shared" si="16"/>
        <v>——</v>
      </c>
      <c r="I63" s="757">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19" t="s">
        <v>2775</v>
      </c>
      <c r="B64" s="2325" t="s">
        <v>2776</v>
      </c>
      <c r="C64" s="2224"/>
      <c r="D64" s="1191">
        <f t="shared" si="15"/>
        <v>0</v>
      </c>
      <c r="E64" s="759"/>
      <c r="F64" s="1993"/>
      <c r="G64" s="1189"/>
      <c r="H64" s="1193" t="str">
        <f t="shared" si="16"/>
        <v>——</v>
      </c>
      <c r="I64" s="757">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19" t="s">
        <v>2777</v>
      </c>
      <c r="B65" s="1488" t="str">
        <f>估价对象房地状况!C21</f>
        <v>估价对象所在区域公共配套设施齐备情况</v>
      </c>
      <c r="C65" s="2224"/>
      <c r="D65" s="1191">
        <f t="shared" si="15"/>
        <v>0</v>
      </c>
      <c r="E65" s="759"/>
      <c r="F65" s="1993"/>
      <c r="G65" s="1189"/>
      <c r="H65" s="1193" t="str">
        <f t="shared" si="16"/>
        <v>——</v>
      </c>
      <c r="I65" s="757">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5.5">
      <c r="A66" s="2319" t="s">
        <v>2778</v>
      </c>
      <c r="B66" s="1488" t="str">
        <f>估价对象房地状况!C22</f>
        <v>估价对象所在区域基础设施水平</v>
      </c>
      <c r="C66" s="2224"/>
      <c r="D66" s="1191">
        <f t="shared" si="15"/>
        <v>0</v>
      </c>
      <c r="E66" s="759"/>
      <c r="F66" s="1993"/>
      <c r="G66" s="1189"/>
      <c r="H66" s="1193" t="str">
        <f t="shared" si="16"/>
        <v>——</v>
      </c>
      <c r="I66" s="757">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51.75" thickBot="1">
      <c r="A67" s="2327" t="s">
        <v>2779</v>
      </c>
      <c r="B67" s="2329" t="str">
        <f>估价对象房地状况!C20</f>
        <v>估价对象周边有盆景园、太原汾河景区等自然景观、更有菊花坪、凉亭等人文景观、环境状况较好</v>
      </c>
      <c r="C67" s="2224"/>
      <c r="D67" s="1191">
        <f t="shared" si="15"/>
        <v>0</v>
      </c>
      <c r="E67" s="762"/>
      <c r="F67" s="1993"/>
      <c r="G67" s="1189"/>
      <c r="H67" s="1193" t="str">
        <f t="shared" si="16"/>
        <v>——</v>
      </c>
      <c r="I67" s="761">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5" t="s">
        <v>2783</v>
      </c>
      <c r="B68" s="2316">
        <f>1+E70</f>
        <v>1</v>
      </c>
      <c r="C68" s="751"/>
      <c r="D68" s="751"/>
      <c r="E68" s="752"/>
      <c r="F68" s="2318"/>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19" t="s">
        <v>2761</v>
      </c>
      <c r="B69" s="1528"/>
      <c r="C69" s="1528" t="s">
        <v>2763</v>
      </c>
      <c r="D69" s="1528" t="s">
        <v>2764</v>
      </c>
      <c r="E69" s="756" t="s">
        <v>2765</v>
      </c>
      <c r="F69" s="2320" t="s">
        <v>2781</v>
      </c>
      <c r="G69" s="1528" t="s">
        <v>754</v>
      </c>
      <c r="H69" s="2321" t="s">
        <v>2767</v>
      </c>
      <c r="I69" s="1528" t="s">
        <v>2768</v>
      </c>
      <c r="J69" s="560" t="s">
        <v>2417</v>
      </c>
      <c r="K69" s="560" t="s">
        <v>2418</v>
      </c>
      <c r="L69" s="560" t="s">
        <v>2419</v>
      </c>
      <c r="M69" s="560" t="s">
        <v>2420</v>
      </c>
      <c r="N69" s="560" t="s">
        <v>2421</v>
      </c>
      <c r="AA69" s="1276"/>
      <c r="AB69" s="1276"/>
      <c r="AC69" s="1276"/>
      <c r="AD69" s="1276"/>
      <c r="AE69" s="1276"/>
      <c r="AF69" s="1276"/>
      <c r="AG69" s="1276"/>
      <c r="AH69" s="1276"/>
      <c r="AI69" s="1276"/>
      <c r="AJ69" s="1276"/>
      <c r="AK69" s="1276"/>
    </row>
    <row r="70" spans="1:37" s="1275" customFormat="1" ht="24">
      <c r="A70" s="2319" t="s">
        <v>2784</v>
      </c>
      <c r="B70" s="2322">
        <f>估价对象房地状况!C15</f>
        <v>0</v>
      </c>
      <c r="C70" s="2224"/>
      <c r="D70" s="1191">
        <f t="shared" ref="D70:D78" si="20">SUMIF($J$69:$N$69,C70,J70:N70)</f>
        <v>0</v>
      </c>
      <c r="E70" s="758">
        <f>ROUND(SUM(D70:D78),4)</f>
        <v>0</v>
      </c>
      <c r="F70" s="1993" t="str">
        <f>IF(E2="住宅",SUMIF(L1:L12,G2,N1:N12),"——")</f>
        <v>——</v>
      </c>
      <c r="G70" s="1189"/>
      <c r="H70" s="1193" t="str">
        <f t="shared" ref="H70:H78" si="21">IFERROR(ROUNDDOWN($F$70*I70/2,4),"——")</f>
        <v>——</v>
      </c>
      <c r="I70" s="757">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63.75">
      <c r="A71" s="2319" t="s">
        <v>2770</v>
      </c>
      <c r="B71" s="2323" t="str">
        <f>估价对象房地状况!C18</f>
        <v>估价对象紧邻平阳路，有13、39、56、65、901等公交线路，项目有地面停车场，综合评价交通便捷度较好。</v>
      </c>
      <c r="C71" s="2224"/>
      <c r="D71" s="1191">
        <f t="shared" si="20"/>
        <v>0</v>
      </c>
      <c r="E71" s="763"/>
      <c r="F71" s="1993"/>
      <c r="G71" s="1189"/>
      <c r="H71" s="1193" t="str">
        <f t="shared" si="21"/>
        <v>——</v>
      </c>
      <c r="I71" s="757">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19" t="s">
        <v>2771</v>
      </c>
      <c r="B72" s="2323">
        <f>估价对象房地状况!C19</f>
        <v>0</v>
      </c>
      <c r="C72" s="2224"/>
      <c r="D72" s="1191">
        <f t="shared" si="20"/>
        <v>0</v>
      </c>
      <c r="E72" s="763"/>
      <c r="F72" s="1993"/>
      <c r="G72" s="1189"/>
      <c r="H72" s="1193" t="str">
        <f t="shared" si="21"/>
        <v>——</v>
      </c>
      <c r="I72" s="757">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19" t="s">
        <v>2785</v>
      </c>
      <c r="B73" s="2323" t="str">
        <f>估价对象房地状况!C24</f>
        <v>城市主干道平阳路</v>
      </c>
      <c r="C73" s="2224"/>
      <c r="D73" s="1191">
        <f t="shared" si="20"/>
        <v>0</v>
      </c>
      <c r="E73" s="763"/>
      <c r="F73" s="1993"/>
      <c r="G73" s="1189"/>
      <c r="H73" s="1193" t="str">
        <f t="shared" si="21"/>
        <v>——</v>
      </c>
      <c r="I73" s="757">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19" t="s">
        <v>2777</v>
      </c>
      <c r="B74" s="1488" t="str">
        <f>估价对象房地状况!C21</f>
        <v>估价对象所在区域公共配套设施齐备情况</v>
      </c>
      <c r="C74" s="2224"/>
      <c r="D74" s="1191">
        <f t="shared" si="20"/>
        <v>0</v>
      </c>
      <c r="E74" s="763"/>
      <c r="F74" s="1993"/>
      <c r="G74" s="1189"/>
      <c r="H74" s="1193" t="str">
        <f t="shared" si="21"/>
        <v>——</v>
      </c>
      <c r="I74" s="757">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5.5">
      <c r="A75" s="2319" t="s">
        <v>2778</v>
      </c>
      <c r="B75" s="1488" t="str">
        <f>估价对象房地状况!C22</f>
        <v>估价对象所在区域基础设施水平</v>
      </c>
      <c r="C75" s="2224"/>
      <c r="D75" s="1191">
        <f t="shared" si="20"/>
        <v>0</v>
      </c>
      <c r="E75" s="763"/>
      <c r="F75" s="1993"/>
      <c r="G75" s="1189"/>
      <c r="H75" s="1193" t="str">
        <f t="shared" si="21"/>
        <v>——</v>
      </c>
      <c r="I75" s="757">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3" customFormat="1" ht="24">
      <c r="A76" s="2319" t="s">
        <v>2775</v>
      </c>
      <c r="B76" s="2325" t="s">
        <v>2776</v>
      </c>
      <c r="C76" s="2224"/>
      <c r="D76" s="1191">
        <f t="shared" si="20"/>
        <v>0</v>
      </c>
      <c r="E76" s="763"/>
      <c r="F76" s="1993"/>
      <c r="G76" s="1189"/>
      <c r="H76" s="1193" t="str">
        <f t="shared" si="21"/>
        <v>——</v>
      </c>
      <c r="I76" s="757">
        <v>0.05</v>
      </c>
      <c r="J76" s="1190">
        <f t="shared" si="22"/>
        <v>0</v>
      </c>
      <c r="K76" s="1190">
        <f t="shared" si="23"/>
        <v>0</v>
      </c>
      <c r="L76" s="1190">
        <v>0</v>
      </c>
      <c r="M76" s="1190">
        <f t="shared" si="24"/>
        <v>0</v>
      </c>
      <c r="N76" s="1190">
        <f t="shared" si="24"/>
        <v>0</v>
      </c>
      <c r="AA76" s="2330"/>
      <c r="AB76" s="1276"/>
      <c r="AC76" s="1276"/>
      <c r="AD76" s="1276"/>
      <c r="AE76" s="1276"/>
      <c r="AF76" s="1276"/>
      <c r="AG76" s="1276"/>
      <c r="AH76" s="2330"/>
      <c r="AI76" s="2330"/>
      <c r="AJ76" s="2330"/>
      <c r="AK76" s="2330"/>
    </row>
    <row r="77" spans="1:37" ht="51">
      <c r="A77" s="2319" t="s">
        <v>2779</v>
      </c>
      <c r="B77" s="2322" t="str">
        <f>估价对象房地状况!C20</f>
        <v>估价对象周边有盆景园、太原汾河景区等自然景观、更有菊花坪、凉亭等人文景观、环境状况较好</v>
      </c>
      <c r="C77" s="2224"/>
      <c r="D77" s="1191">
        <f t="shared" si="20"/>
        <v>0</v>
      </c>
      <c r="E77" s="763"/>
      <c r="F77" s="1993"/>
      <c r="G77" s="1189"/>
      <c r="H77" s="1193" t="str">
        <f t="shared" si="21"/>
        <v>——</v>
      </c>
      <c r="I77" s="757">
        <v>0.15</v>
      </c>
      <c r="J77" s="1190">
        <f t="shared" si="22"/>
        <v>0</v>
      </c>
      <c r="K77" s="1190">
        <f t="shared" si="23"/>
        <v>0</v>
      </c>
      <c r="L77" s="1190">
        <v>0</v>
      </c>
      <c r="M77" s="1190">
        <f t="shared" si="24"/>
        <v>0</v>
      </c>
      <c r="N77" s="1190">
        <f t="shared" si="24"/>
        <v>0</v>
      </c>
      <c r="Z77" s="2174"/>
      <c r="AA77" s="2240"/>
      <c r="AG77" s="1277"/>
      <c r="AK77" s="2240"/>
    </row>
    <row r="78" spans="1:37" ht="24.75" thickBot="1">
      <c r="A78" s="2327" t="s">
        <v>2786</v>
      </c>
      <c r="B78" s="2331"/>
      <c r="C78" s="2224"/>
      <c r="D78" s="1191">
        <f t="shared" si="20"/>
        <v>0</v>
      </c>
      <c r="E78" s="764"/>
      <c r="F78" s="1993"/>
      <c r="G78" s="1189"/>
      <c r="H78" s="1193" t="str">
        <f t="shared" si="21"/>
        <v>——</v>
      </c>
      <c r="I78" s="761">
        <v>0.04</v>
      </c>
      <c r="J78" s="1190">
        <f t="shared" si="22"/>
        <v>0</v>
      </c>
      <c r="K78" s="1190">
        <f t="shared" si="23"/>
        <v>0</v>
      </c>
      <c r="L78" s="1190">
        <v>0</v>
      </c>
      <c r="M78" s="1190">
        <f t="shared" si="24"/>
        <v>0</v>
      </c>
      <c r="N78" s="1190">
        <f t="shared" si="24"/>
        <v>0</v>
      </c>
      <c r="Z78" s="2174"/>
      <c r="AA78" s="2240"/>
      <c r="AG78" s="1277"/>
      <c r="AK78" s="2240"/>
    </row>
    <row r="79" spans="1:37" ht="15">
      <c r="A79" s="2315" t="s">
        <v>2787</v>
      </c>
      <c r="B79" s="2316">
        <f>1+E81</f>
        <v>1</v>
      </c>
      <c r="C79" s="751"/>
      <c r="D79" s="751"/>
      <c r="E79" s="752"/>
      <c r="F79" s="2318"/>
      <c r="G79" s="6"/>
      <c r="H79" s="6"/>
      <c r="I79" s="6"/>
      <c r="J79" s="7"/>
      <c r="K79" s="7"/>
      <c r="L79" s="7"/>
      <c r="M79" s="7"/>
      <c r="N79" s="7"/>
      <c r="Z79" s="2174"/>
      <c r="AA79" s="2240"/>
      <c r="AG79" s="1277"/>
      <c r="AK79" s="2240"/>
    </row>
    <row r="80" spans="1:37" ht="24.75">
      <c r="A80" s="2319" t="s">
        <v>2761</v>
      </c>
      <c r="B80" s="1528"/>
      <c r="C80" s="1528" t="s">
        <v>2763</v>
      </c>
      <c r="D80" s="1528" t="s">
        <v>2764</v>
      </c>
      <c r="E80" s="756" t="s">
        <v>2765</v>
      </c>
      <c r="F80" s="2320" t="s">
        <v>2781</v>
      </c>
      <c r="G80" s="1528" t="s">
        <v>754</v>
      </c>
      <c r="H80" s="2321" t="s">
        <v>2767</v>
      </c>
      <c r="I80" s="1528" t="s">
        <v>2768</v>
      </c>
      <c r="J80" s="560" t="s">
        <v>2417</v>
      </c>
      <c r="K80" s="560" t="s">
        <v>2418</v>
      </c>
      <c r="L80" s="560" t="s">
        <v>2419</v>
      </c>
      <c r="M80" s="560" t="s">
        <v>2420</v>
      </c>
      <c r="N80" s="560" t="s">
        <v>2421</v>
      </c>
      <c r="Z80" s="2174"/>
      <c r="AA80" s="2240"/>
      <c r="AG80" s="1277"/>
      <c r="AK80" s="2240"/>
    </row>
    <row r="81" spans="1:37" ht="38.25">
      <c r="A81" s="2319" t="s">
        <v>2788</v>
      </c>
      <c r="B81" s="2323" t="str">
        <f>估价对象房地状况!G15</f>
        <v>估价对象位于XX开发区，园区建设成熟度XX，产业集聚程度XX</v>
      </c>
      <c r="C81" s="2224"/>
      <c r="D81" s="1191">
        <f t="shared" ref="D81:D88" si="25">SUMIF($J$80:$N$80,C81,J81:N81)</f>
        <v>0</v>
      </c>
      <c r="E81" s="758">
        <f>ROUND(SUM(D81:D88),4)</f>
        <v>0</v>
      </c>
      <c r="F81" s="1993" t="str">
        <f>IF(E2="工业",SUMIF(L1:L12,G2,N1:N12),"——")</f>
        <v>——</v>
      </c>
      <c r="G81" s="1189"/>
      <c r="H81" s="1193" t="str">
        <f t="shared" ref="H81:H88" si="26">IFERROR(ROUNDDOWN($F$81*I81/2,4),"——")</f>
        <v>——</v>
      </c>
      <c r="I81" s="757">
        <v>0.26</v>
      </c>
      <c r="J81" s="1190">
        <f t="shared" ref="J81:J88" si="27">K81+$G81</f>
        <v>0</v>
      </c>
      <c r="K81" s="1190">
        <f t="shared" ref="K81:K88" si="28">$L81+$G81</f>
        <v>0</v>
      </c>
      <c r="L81" s="1190">
        <v>0</v>
      </c>
      <c r="M81" s="1190">
        <f t="shared" ref="M81:N88" si="29">L81-$G81</f>
        <v>0</v>
      </c>
      <c r="N81" s="1190">
        <f t="shared" si="29"/>
        <v>0</v>
      </c>
      <c r="Z81" s="2174"/>
      <c r="AA81" s="2240"/>
      <c r="AG81" s="1277"/>
      <c r="AK81" s="2240"/>
    </row>
    <row r="82" spans="1:37" ht="51">
      <c r="A82" s="2319" t="s">
        <v>2770</v>
      </c>
      <c r="B82" s="2323" t="str">
        <f>估价对象房地状况!G16</f>
        <v>估价对象周边道路状况、公共交通通达情况、停车便捷程度，综合评价交通便捷度较好</v>
      </c>
      <c r="C82" s="2224"/>
      <c r="D82" s="1191">
        <f t="shared" si="25"/>
        <v>0</v>
      </c>
      <c r="E82" s="763"/>
      <c r="F82" s="1993"/>
      <c r="G82" s="1189"/>
      <c r="H82" s="1193" t="str">
        <f t="shared" si="26"/>
        <v>——</v>
      </c>
      <c r="I82" s="757">
        <v>0.33</v>
      </c>
      <c r="J82" s="1190">
        <f t="shared" si="27"/>
        <v>0</v>
      </c>
      <c r="K82" s="1190">
        <f t="shared" si="28"/>
        <v>0</v>
      </c>
      <c r="L82" s="1190">
        <v>0</v>
      </c>
      <c r="M82" s="1190">
        <f t="shared" si="29"/>
        <v>0</v>
      </c>
      <c r="N82" s="1190">
        <f t="shared" si="29"/>
        <v>0</v>
      </c>
      <c r="Z82" s="2174"/>
      <c r="AA82" s="2240"/>
      <c r="AG82" s="1277"/>
      <c r="AK82" s="2240"/>
    </row>
    <row r="83" spans="1:37" ht="24">
      <c r="A83" s="2319" t="s">
        <v>2771</v>
      </c>
      <c r="B83" s="2323">
        <f>估价对象房地状况!G17</f>
        <v>0</v>
      </c>
      <c r="C83" s="2224"/>
      <c r="D83" s="1191">
        <f t="shared" si="25"/>
        <v>0</v>
      </c>
      <c r="E83" s="763"/>
      <c r="F83" s="1993"/>
      <c r="G83" s="1189"/>
      <c r="H83" s="1193" t="str">
        <f t="shared" si="26"/>
        <v>——</v>
      </c>
      <c r="I83" s="757">
        <v>0.05</v>
      </c>
      <c r="J83" s="1190">
        <f t="shared" si="27"/>
        <v>0</v>
      </c>
      <c r="K83" s="1190">
        <f t="shared" si="28"/>
        <v>0</v>
      </c>
      <c r="L83" s="1190">
        <v>0</v>
      </c>
      <c r="M83" s="1190">
        <f t="shared" si="29"/>
        <v>0</v>
      </c>
      <c r="N83" s="1190">
        <f t="shared" si="29"/>
        <v>0</v>
      </c>
      <c r="Z83" s="2174"/>
      <c r="AA83" s="2240"/>
      <c r="AG83" s="1277"/>
      <c r="AK83" s="2240"/>
    </row>
    <row r="84" spans="1:37" ht="14.25">
      <c r="A84" s="2319" t="s">
        <v>2785</v>
      </c>
      <c r="B84" s="2323">
        <f>估价对象房地状况!G22</f>
        <v>0</v>
      </c>
      <c r="C84" s="2224"/>
      <c r="D84" s="1191">
        <f t="shared" si="25"/>
        <v>0</v>
      </c>
      <c r="E84" s="763"/>
      <c r="F84" s="1993"/>
      <c r="G84" s="1189"/>
      <c r="H84" s="1193" t="str">
        <f t="shared" si="26"/>
        <v>——</v>
      </c>
      <c r="I84" s="757">
        <v>0.04</v>
      </c>
      <c r="J84" s="1190">
        <f t="shared" si="27"/>
        <v>0</v>
      </c>
      <c r="K84" s="1190">
        <f t="shared" si="28"/>
        <v>0</v>
      </c>
      <c r="L84" s="1190">
        <v>0</v>
      </c>
      <c r="M84" s="1190">
        <f t="shared" si="29"/>
        <v>0</v>
      </c>
      <c r="N84" s="1190">
        <f t="shared" si="29"/>
        <v>0</v>
      </c>
      <c r="Z84" s="2174"/>
      <c r="AA84" s="2240"/>
      <c r="AG84" s="1277"/>
      <c r="AK84" s="2240"/>
    </row>
    <row r="85" spans="1:37" ht="25.5">
      <c r="A85" s="2319" t="s">
        <v>2777</v>
      </c>
      <c r="B85" s="1488" t="str">
        <f>估价对象房地状况!G19</f>
        <v>估价对象所在区域公共配套设施齐备情况</v>
      </c>
      <c r="C85" s="2224"/>
      <c r="D85" s="1191">
        <f t="shared" si="25"/>
        <v>0</v>
      </c>
      <c r="E85" s="763"/>
      <c r="F85" s="1993"/>
      <c r="G85" s="1189"/>
      <c r="H85" s="1193" t="str">
        <f t="shared" si="26"/>
        <v>——</v>
      </c>
      <c r="I85" s="757">
        <v>0.06</v>
      </c>
      <c r="J85" s="1190">
        <f t="shared" si="27"/>
        <v>0</v>
      </c>
      <c r="K85" s="1190">
        <f t="shared" si="28"/>
        <v>0</v>
      </c>
      <c r="L85" s="1190">
        <v>0</v>
      </c>
      <c r="M85" s="1190">
        <f t="shared" si="29"/>
        <v>0</v>
      </c>
      <c r="N85" s="1190">
        <f t="shared" si="29"/>
        <v>0</v>
      </c>
      <c r="Z85" s="2174"/>
      <c r="AA85" s="2240"/>
      <c r="AG85" s="1277"/>
      <c r="AK85" s="2240"/>
    </row>
    <row r="86" spans="1:37" ht="25.5">
      <c r="A86" s="2319" t="s">
        <v>2778</v>
      </c>
      <c r="B86" s="1488" t="str">
        <f>估价对象房地状况!G20</f>
        <v>估价对象所在区域基础设施水平</v>
      </c>
      <c r="C86" s="2224"/>
      <c r="D86" s="1191">
        <f t="shared" si="25"/>
        <v>0</v>
      </c>
      <c r="E86" s="763"/>
      <c r="F86" s="1993"/>
      <c r="G86" s="1189"/>
      <c r="H86" s="1193" t="str">
        <f t="shared" si="26"/>
        <v>——</v>
      </c>
      <c r="I86" s="757">
        <v>0.15</v>
      </c>
      <c r="J86" s="1190">
        <f t="shared" si="27"/>
        <v>0</v>
      </c>
      <c r="K86" s="1190">
        <f t="shared" si="28"/>
        <v>0</v>
      </c>
      <c r="L86" s="1190">
        <v>0</v>
      </c>
      <c r="M86" s="1190">
        <f t="shared" si="29"/>
        <v>0</v>
      </c>
      <c r="N86" s="1190">
        <f t="shared" si="29"/>
        <v>0</v>
      </c>
      <c r="Z86" s="2174"/>
      <c r="AA86" s="2240"/>
      <c r="AG86" s="1277"/>
      <c r="AK86" s="2240"/>
    </row>
    <row r="87" spans="1:37" ht="24">
      <c r="A87" s="2319" t="s">
        <v>2775</v>
      </c>
      <c r="B87" s="2325" t="s">
        <v>2789</v>
      </c>
      <c r="C87" s="2224"/>
      <c r="D87" s="1191">
        <f t="shared" si="25"/>
        <v>0</v>
      </c>
      <c r="E87" s="763"/>
      <c r="F87" s="1993"/>
      <c r="G87" s="1189"/>
      <c r="H87" s="1193" t="str">
        <f t="shared" si="26"/>
        <v>——</v>
      </c>
      <c r="I87" s="757">
        <v>0.05</v>
      </c>
      <c r="J87" s="1190">
        <f t="shared" si="27"/>
        <v>0</v>
      </c>
      <c r="K87" s="1190">
        <f t="shared" si="28"/>
        <v>0</v>
      </c>
      <c r="L87" s="1190">
        <v>0</v>
      </c>
      <c r="M87" s="1190">
        <f t="shared" si="29"/>
        <v>0</v>
      </c>
      <c r="N87" s="1190">
        <f t="shared" si="29"/>
        <v>0</v>
      </c>
      <c r="Z87" s="2174"/>
      <c r="AA87" s="2240"/>
      <c r="AG87" s="1277"/>
      <c r="AK87" s="2240"/>
    </row>
    <row r="88" spans="1:37" ht="39" thickBot="1">
      <c r="A88" s="2327" t="s">
        <v>2790</v>
      </c>
      <c r="B88" s="2332" t="str">
        <f>估价对象房地状况!G18</f>
        <v>该园区内是否有污染型企业，绿化情况，卫生条件，整体环境状况判断</v>
      </c>
      <c r="C88" s="2224"/>
      <c r="D88" s="1191">
        <f t="shared" si="25"/>
        <v>0</v>
      </c>
      <c r="E88" s="764"/>
      <c r="F88" s="1993"/>
      <c r="G88" s="1189"/>
      <c r="H88" s="1193" t="str">
        <f t="shared" si="26"/>
        <v>——</v>
      </c>
      <c r="I88" s="761">
        <v>0.06</v>
      </c>
      <c r="J88" s="1190">
        <f t="shared" si="27"/>
        <v>0</v>
      </c>
      <c r="K88" s="1190">
        <f t="shared" si="28"/>
        <v>0</v>
      </c>
      <c r="L88" s="1190">
        <v>0</v>
      </c>
      <c r="M88" s="1190">
        <f t="shared" si="29"/>
        <v>0</v>
      </c>
      <c r="N88" s="1190">
        <f t="shared" si="29"/>
        <v>0</v>
      </c>
      <c r="Z88" s="2174"/>
      <c r="AA88" s="2240"/>
      <c r="AG88" s="1277"/>
      <c r="AK88" s="2240"/>
    </row>
    <row r="90" spans="1:37">
      <c r="A90" s="3392" t="s">
        <v>2791</v>
      </c>
      <c r="B90" s="3392"/>
      <c r="C90" s="3392"/>
      <c r="D90" s="3392"/>
      <c r="E90" s="3392"/>
      <c r="F90" s="3392"/>
      <c r="G90" s="3392"/>
      <c r="H90" s="3392"/>
      <c r="I90" s="3392"/>
      <c r="J90" s="3392"/>
      <c r="K90" s="2333"/>
      <c r="L90" s="2333"/>
      <c r="M90" s="2333"/>
      <c r="N90" s="2333"/>
    </row>
    <row r="91" spans="1:37">
      <c r="A91" s="3394" t="s">
        <v>2792</v>
      </c>
      <c r="B91" s="3394" t="s">
        <v>2793</v>
      </c>
      <c r="C91" s="2287" t="s">
        <v>2794</v>
      </c>
      <c r="D91" s="2288"/>
      <c r="E91" s="2288"/>
      <c r="F91" s="2288"/>
      <c r="G91" s="2288"/>
      <c r="H91" s="2288"/>
      <c r="I91" s="2288"/>
      <c r="J91" s="2334"/>
      <c r="K91" s="2335"/>
      <c r="L91" s="2335"/>
      <c r="M91" s="2335"/>
      <c r="N91" s="2335"/>
    </row>
    <row r="92" spans="1:37">
      <c r="A92" s="3394"/>
      <c r="B92" s="3394"/>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395" t="s">
        <v>2795</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96"/>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96"/>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96"/>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96"/>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96"/>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96"/>
      <c r="B99" s="2336" t="s">
        <v>2677</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97"/>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95" t="s">
        <v>2796</v>
      </c>
      <c r="B101" s="2340" t="s">
        <v>2797</v>
      </c>
      <c r="C101" s="2341">
        <f>$G$3</f>
        <v>8.7899999999999991</v>
      </c>
      <c r="D101" s="2341">
        <f t="shared" ref="D101:N101" si="31">$G$3</f>
        <v>8.7899999999999991</v>
      </c>
      <c r="E101" s="2341">
        <f t="shared" si="31"/>
        <v>8.7899999999999991</v>
      </c>
      <c r="F101" s="2341">
        <f t="shared" si="31"/>
        <v>8.7899999999999991</v>
      </c>
      <c r="G101" s="2341">
        <f t="shared" si="31"/>
        <v>8.7899999999999991</v>
      </c>
      <c r="H101" s="2341">
        <f t="shared" si="31"/>
        <v>8.7899999999999991</v>
      </c>
      <c r="I101" s="2341">
        <f t="shared" si="31"/>
        <v>8.7899999999999991</v>
      </c>
      <c r="J101" s="2341">
        <f t="shared" si="31"/>
        <v>8.7899999999999991</v>
      </c>
      <c r="K101" s="2341">
        <f t="shared" si="31"/>
        <v>8.7899999999999991</v>
      </c>
      <c r="L101" s="2341">
        <f t="shared" si="31"/>
        <v>8.7899999999999991</v>
      </c>
      <c r="M101" s="2341">
        <f t="shared" si="31"/>
        <v>8.7899999999999991</v>
      </c>
      <c r="N101" s="2341">
        <f t="shared" si="31"/>
        <v>8.7899999999999991</v>
      </c>
    </row>
    <row r="102" spans="1:14">
      <c r="A102" s="3396"/>
      <c r="B102" s="2336">
        <v>1</v>
      </c>
      <c r="C102" s="2337">
        <f>1.9362/C101</f>
        <v>0.22027303754266214</v>
      </c>
      <c r="D102" s="2337">
        <f>1.9362/D101</f>
        <v>0.22027303754266214</v>
      </c>
      <c r="E102" s="2337">
        <f>1.8629/E101</f>
        <v>0.21193401592719002</v>
      </c>
      <c r="F102" s="2337">
        <f>1.8629/F101</f>
        <v>0.21193401592719002</v>
      </c>
      <c r="G102" s="2337">
        <f>1.8629/G101</f>
        <v>0.21193401592719002</v>
      </c>
      <c r="H102" s="2337">
        <f>1.8629/H101</f>
        <v>0.21193401592719002</v>
      </c>
      <c r="I102" s="2337">
        <f>1.8629/I101</f>
        <v>0.21193401592719002</v>
      </c>
      <c r="J102" s="2337">
        <f>1.942/J101</f>
        <v>0.22093287827076225</v>
      </c>
      <c r="K102" s="2337">
        <f>1.942/K101</f>
        <v>0.22093287827076225</v>
      </c>
      <c r="L102" s="2337">
        <f>1.942/L101</f>
        <v>0.22093287827076225</v>
      </c>
      <c r="M102" s="2337">
        <f>1.942/M101</f>
        <v>0.22093287827076225</v>
      </c>
      <c r="N102" s="2337">
        <f>1.942/N101</f>
        <v>0.22093287827076225</v>
      </c>
    </row>
    <row r="103" spans="1:14">
      <c r="A103" s="3396"/>
      <c r="B103" s="2336">
        <v>2</v>
      </c>
      <c r="C103" s="2337">
        <f>1.4198/C101</f>
        <v>0.16152445961319684</v>
      </c>
      <c r="D103" s="2337">
        <f>1.4198/D101</f>
        <v>0.16152445961319684</v>
      </c>
      <c r="E103" s="2337">
        <f>1.3372/E101</f>
        <v>0.15212741751990899</v>
      </c>
      <c r="F103" s="2337">
        <f>1.3372/F101</f>
        <v>0.15212741751990899</v>
      </c>
      <c r="G103" s="2337">
        <f>1.3372/G101</f>
        <v>0.15212741751990899</v>
      </c>
      <c r="H103" s="2337">
        <f>1.3372/H101</f>
        <v>0.15212741751990899</v>
      </c>
      <c r="I103" s="2337">
        <f>1.3372/I101</f>
        <v>0.15212741751990899</v>
      </c>
      <c r="J103" s="2337">
        <f>1.2799/J101</f>
        <v>0.145608646188851</v>
      </c>
      <c r="K103" s="2337">
        <f>1.2799/K101</f>
        <v>0.145608646188851</v>
      </c>
      <c r="L103" s="2337">
        <f>1.2799/L101</f>
        <v>0.145608646188851</v>
      </c>
      <c r="M103" s="2337">
        <f>1.2799/M101</f>
        <v>0.145608646188851</v>
      </c>
      <c r="N103" s="2337">
        <f>1.2799/N101</f>
        <v>0.145608646188851</v>
      </c>
    </row>
    <row r="104" spans="1:14">
      <c r="A104" s="3396"/>
      <c r="B104" s="2336">
        <v>3</v>
      </c>
      <c r="C104" s="2337">
        <f>1.1594/C101</f>
        <v>0.13189988623435722</v>
      </c>
      <c r="D104" s="2337">
        <f>1.1594/D101</f>
        <v>0.13189988623435722</v>
      </c>
      <c r="E104" s="2337">
        <f>1.0788/E101</f>
        <v>0.12273037542662117</v>
      </c>
      <c r="F104" s="2337">
        <f>1.0788/F101</f>
        <v>0.12273037542662117</v>
      </c>
      <c r="G104" s="2337">
        <f>1.0788/G101</f>
        <v>0.12273037542662117</v>
      </c>
      <c r="H104" s="2337">
        <f>1.0788/H101</f>
        <v>0.12273037542662117</v>
      </c>
      <c r="I104" s="2337">
        <f>1.0788/I101</f>
        <v>0.12273037542662117</v>
      </c>
      <c r="J104" s="2337">
        <f>1.0072/J101</f>
        <v>0.11458475540386806</v>
      </c>
      <c r="K104" s="2337">
        <f>1.0072/K101</f>
        <v>0.11458475540386806</v>
      </c>
      <c r="L104" s="2337">
        <f>1.0072/L101</f>
        <v>0.11458475540386806</v>
      </c>
      <c r="M104" s="2337">
        <f>1.0072/M101</f>
        <v>0.11458475540386806</v>
      </c>
      <c r="N104" s="2337">
        <f>1.0072/N101</f>
        <v>0.11458475540386806</v>
      </c>
    </row>
    <row r="105" spans="1:14">
      <c r="A105" s="3396"/>
      <c r="B105" s="2336">
        <v>4</v>
      </c>
      <c r="C105" s="2337">
        <f>0.9622/C101</f>
        <v>0.10946530147895338</v>
      </c>
      <c r="D105" s="2337">
        <f>0.9622/D101</f>
        <v>0.10946530147895338</v>
      </c>
      <c r="E105" s="2337">
        <f>0.8656/E101</f>
        <v>9.8475540386803201E-2</v>
      </c>
      <c r="F105" s="2337">
        <f>0.8656/F101</f>
        <v>9.8475540386803201E-2</v>
      </c>
      <c r="G105" s="2337">
        <f>0.8656/G101</f>
        <v>9.8475540386803201E-2</v>
      </c>
      <c r="H105" s="2337">
        <f>0.8656/H101</f>
        <v>9.8475540386803201E-2</v>
      </c>
      <c r="I105" s="2337">
        <f>0.8656/I101</f>
        <v>9.8475540386803201E-2</v>
      </c>
      <c r="J105" s="2337">
        <f>0.7525/J101</f>
        <v>8.5608646188850973E-2</v>
      </c>
      <c r="K105" s="2337">
        <f>0.7525/K101</f>
        <v>8.5608646188850973E-2</v>
      </c>
      <c r="L105" s="2337">
        <f>0.7525/L101</f>
        <v>8.5608646188850973E-2</v>
      </c>
      <c r="M105" s="2337">
        <f>0.7525/M101</f>
        <v>8.5608646188850973E-2</v>
      </c>
      <c r="N105" s="2337">
        <f>0.7525/N101</f>
        <v>8.5608646188850973E-2</v>
      </c>
    </row>
    <row r="106" spans="1:14">
      <c r="A106" s="3396"/>
      <c r="B106" s="2336">
        <v>5</v>
      </c>
      <c r="C106" s="2337">
        <f>0.8417/C101</f>
        <v>9.5756541524459629E-2</v>
      </c>
      <c r="D106" s="2337">
        <f>0.8417/D101</f>
        <v>9.5756541524459629E-2</v>
      </c>
      <c r="E106" s="2337">
        <f>0.7371/E101</f>
        <v>8.3856655290102389E-2</v>
      </c>
      <c r="F106" s="2337">
        <f>0.7371/F101</f>
        <v>8.3856655290102389E-2</v>
      </c>
      <c r="G106" s="2337">
        <f>0.7371/G101</f>
        <v>8.3856655290102389E-2</v>
      </c>
      <c r="H106" s="2337">
        <f>0.7371/H101</f>
        <v>8.3856655290102389E-2</v>
      </c>
      <c r="I106" s="2337">
        <f>0.7371/I101</f>
        <v>8.3856655290102389E-2</v>
      </c>
      <c r="J106" s="2337">
        <f>0.5659/J101</f>
        <v>6.4379977246871445E-2</v>
      </c>
      <c r="K106" s="2337">
        <f>0.5659/K101</f>
        <v>6.4379977246871445E-2</v>
      </c>
      <c r="L106" s="2337">
        <f>0.5659/L101</f>
        <v>6.4379977246871445E-2</v>
      </c>
      <c r="M106" s="2337">
        <f>0.5659/M101</f>
        <v>6.4379977246871445E-2</v>
      </c>
      <c r="N106" s="2337">
        <f>0.5659/N101</f>
        <v>6.4379977246871445E-2</v>
      </c>
    </row>
    <row r="107" spans="1:14">
      <c r="A107" s="3396"/>
      <c r="B107" s="2336">
        <v>6</v>
      </c>
      <c r="C107" s="2337">
        <f>0.7608/C101</f>
        <v>8.6552901023890794E-2</v>
      </c>
      <c r="D107" s="2337">
        <f>0.7608/D101</f>
        <v>8.6552901023890794E-2</v>
      </c>
      <c r="E107" s="2337">
        <f>0.6482/E101</f>
        <v>7.3742889647326518E-2</v>
      </c>
      <c r="F107" s="2337">
        <f>0.6482/F101</f>
        <v>7.3742889647326518E-2</v>
      </c>
      <c r="G107" s="2337">
        <f>0.6482/G101</f>
        <v>7.3742889647326518E-2</v>
      </c>
      <c r="H107" s="2337">
        <f>0.6482/H101</f>
        <v>7.3742889647326518E-2</v>
      </c>
      <c r="I107" s="2337">
        <f>0.6482/I101</f>
        <v>7.3742889647326518E-2</v>
      </c>
      <c r="J107" s="2337">
        <f>0.4525/J101</f>
        <v>5.1478953356086467E-2</v>
      </c>
      <c r="K107" s="2337">
        <f>0.4525/K101</f>
        <v>5.1478953356086467E-2</v>
      </c>
      <c r="L107" s="2337">
        <f>0.4525/L101</f>
        <v>5.1478953356086467E-2</v>
      </c>
      <c r="M107" s="2337">
        <f>0.4525/M101</f>
        <v>5.1478953356086467E-2</v>
      </c>
      <c r="N107" s="2337">
        <f>0.4525/N101</f>
        <v>5.1478953356086467E-2</v>
      </c>
    </row>
    <row r="108" spans="1:14">
      <c r="A108" s="3396"/>
      <c r="B108" s="3398" t="s">
        <v>2798</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97"/>
      <c r="B109" s="3399"/>
      <c r="C109" s="2339">
        <f>(-0.163*(C108^2)-0.59*C108+7617)*(10^(-4))/C101</f>
        <v>8.6655290102389093E-2</v>
      </c>
      <c r="D109" s="2339">
        <f>(-0.163*(D108^2)-0.59*D108+7617)*(10^(-4))/D101</f>
        <v>8.6655290102389093E-2</v>
      </c>
      <c r="E109" s="2339">
        <f>(-0.161*(E108^2)-7.509*E108+6533)*(10^(-4))/E101</f>
        <v>7.4323094425483516E-2</v>
      </c>
      <c r="F109" s="2339">
        <f>(-0.161*(F108^2)-7.509*F108+6533)*(10^(-4))/F101</f>
        <v>7.4323094425483516E-2</v>
      </c>
      <c r="G109" s="2339">
        <f>(-0.161*(G108^2)-7.509*G108+6533)*(10^(-4))/G101</f>
        <v>7.4323094425483516E-2</v>
      </c>
      <c r="H109" s="2339">
        <f>(-0.161*(H108^2)-7.509*H108+6533)*(10^(-4))/H101</f>
        <v>7.4323094425483516E-2</v>
      </c>
      <c r="I109" s="2339">
        <f>(-0.161*(I108^2)-7.509*I108+6533)*(10^(-4))/I101</f>
        <v>7.4323094425483516E-2</v>
      </c>
      <c r="J109" s="2339">
        <f>(-0.214*(J108^2)-21.991*J108+4665)*(10^(-4))/J101</f>
        <v>5.3071672354948814E-2</v>
      </c>
      <c r="K109" s="2339">
        <f>(-0.214*(K108^2)-21.991*K108+4665)*(10^(-4))/K101</f>
        <v>5.3071672354948814E-2</v>
      </c>
      <c r="L109" s="2339">
        <f>(-0.214*(L108^2)-21.991*L108+4665)*(10^(-4))/L101</f>
        <v>5.3071672354948814E-2</v>
      </c>
      <c r="M109" s="2339">
        <f>(-0.214*(M108^2)-21.991*M108+4665)*(10^(-4))/M101</f>
        <v>5.3071672354948814E-2</v>
      </c>
      <c r="N109" s="2339">
        <f>(-0.214*(N108^2)-21.991*N108+4665)*(10^(-4))/N101</f>
        <v>5.3071672354948814E-2</v>
      </c>
    </row>
    <row r="110" spans="1:14">
      <c r="A110" s="3393" t="s">
        <v>2799</v>
      </c>
      <c r="B110" s="3393"/>
      <c r="C110" s="3393"/>
      <c r="D110" s="3393"/>
      <c r="E110" s="3393"/>
      <c r="F110" s="3393"/>
      <c r="G110" s="3393"/>
      <c r="H110" s="3393"/>
      <c r="I110" s="3393"/>
      <c r="J110" s="3393"/>
      <c r="K110" s="2342"/>
      <c r="L110" s="2342"/>
      <c r="M110" s="2342"/>
      <c r="N110" s="2342"/>
    </row>
    <row r="112" spans="1:14" ht="13.5" thickBot="1"/>
    <row r="113" spans="1:13" ht="25.5" thickBot="1">
      <c r="A113" s="840" t="s">
        <v>2800</v>
      </c>
      <c r="B113" s="1192">
        <f>G3</f>
        <v>8.7899999999999991</v>
      </c>
      <c r="C113" s="841" t="s">
        <v>2801</v>
      </c>
      <c r="D113" s="842">
        <f>SUMPRODUCT((A115:A118=F113)*(B114:M114=H113)*B115:M118)</f>
        <v>0</v>
      </c>
      <c r="E113" s="2178" t="s">
        <v>2634</v>
      </c>
      <c r="F113" s="2344">
        <f>E2</f>
        <v>0</v>
      </c>
      <c r="G113" s="2178" t="s">
        <v>2635</v>
      </c>
      <c r="H113" s="2344">
        <f>G2</f>
        <v>0</v>
      </c>
      <c r="I113" s="2178"/>
      <c r="J113" s="2345"/>
      <c r="K113" s="2345"/>
      <c r="L113" s="2345"/>
      <c r="M113" s="2345"/>
    </row>
    <row r="114" spans="1:13">
      <c r="A114" s="845"/>
      <c r="B114" s="2346" t="s">
        <v>2802</v>
      </c>
      <c r="C114" s="2346" t="s">
        <v>2803</v>
      </c>
      <c r="D114" s="2346" t="s">
        <v>2804</v>
      </c>
      <c r="E114" s="2347" t="s">
        <v>2805</v>
      </c>
      <c r="F114" s="2347" t="s">
        <v>2806</v>
      </c>
      <c r="G114" s="2347" t="s">
        <v>2807</v>
      </c>
      <c r="H114" s="2348" t="s">
        <v>2808</v>
      </c>
      <c r="I114" s="2348" t="s">
        <v>2809</v>
      </c>
      <c r="J114" s="2349" t="s">
        <v>2810</v>
      </c>
      <c r="K114" s="2349" t="s">
        <v>2811</v>
      </c>
      <c r="L114" s="2349" t="s">
        <v>2812</v>
      </c>
      <c r="M114" s="2350" t="s">
        <v>2813</v>
      </c>
    </row>
    <row r="115" spans="1:13">
      <c r="A115" s="846" t="s">
        <v>2699</v>
      </c>
      <c r="B115" s="847">
        <f>ROUND(0.9335-0.0094*B113,4)</f>
        <v>0.85089999999999999</v>
      </c>
      <c r="C115" s="847">
        <f>B115</f>
        <v>0.85089999999999999</v>
      </c>
      <c r="D115" s="847">
        <f>ROUND(0.8331-0.0109*B113,4)</f>
        <v>0.73729999999999996</v>
      </c>
      <c r="E115" s="847">
        <f>D115</f>
        <v>0.73729999999999996</v>
      </c>
      <c r="F115" s="847">
        <f>E115</f>
        <v>0.73729999999999996</v>
      </c>
      <c r="G115" s="847">
        <f>F115</f>
        <v>0.73729999999999996</v>
      </c>
      <c r="H115" s="847">
        <f>G115</f>
        <v>0.73729999999999996</v>
      </c>
      <c r="I115" s="847">
        <f>ROUND(0.689-0.0155*B113,4)</f>
        <v>0.55279999999999996</v>
      </c>
      <c r="J115" s="847">
        <f t="shared" ref="J115:M118" si="33">I115</f>
        <v>0.55279999999999996</v>
      </c>
      <c r="K115" s="847">
        <f t="shared" si="33"/>
        <v>0.55279999999999996</v>
      </c>
      <c r="L115" s="847">
        <f t="shared" si="33"/>
        <v>0.55279999999999996</v>
      </c>
      <c r="M115" s="848">
        <f t="shared" si="33"/>
        <v>0.55279999999999996</v>
      </c>
    </row>
    <row r="116" spans="1:13">
      <c r="A116" s="846" t="s">
        <v>2700</v>
      </c>
      <c r="B116" s="847">
        <f>ROUND(0.949-0.012*B113,4)</f>
        <v>0.84350000000000003</v>
      </c>
      <c r="C116" s="847">
        <f>B116</f>
        <v>0.84350000000000003</v>
      </c>
      <c r="D116" s="847">
        <f>ROUND(0.8567-0.013*B113,4)</f>
        <v>0.74239999999999995</v>
      </c>
      <c r="E116" s="847">
        <f t="shared" ref="E116:H117" si="34">D116</f>
        <v>0.74239999999999995</v>
      </c>
      <c r="F116" s="847">
        <f t="shared" si="34"/>
        <v>0.74239999999999995</v>
      </c>
      <c r="G116" s="847">
        <f t="shared" si="34"/>
        <v>0.74239999999999995</v>
      </c>
      <c r="H116" s="847">
        <f t="shared" si="34"/>
        <v>0.74239999999999995</v>
      </c>
      <c r="I116" s="847">
        <f>ROUND(0.7694-0.014*B113,4)</f>
        <v>0.64629999999999999</v>
      </c>
      <c r="J116" s="847">
        <f t="shared" si="33"/>
        <v>0.64629999999999999</v>
      </c>
      <c r="K116" s="847">
        <f t="shared" si="33"/>
        <v>0.64629999999999999</v>
      </c>
      <c r="L116" s="847">
        <f t="shared" si="33"/>
        <v>0.64629999999999999</v>
      </c>
      <c r="M116" s="848">
        <f t="shared" si="33"/>
        <v>0.64629999999999999</v>
      </c>
    </row>
    <row r="117" spans="1:13">
      <c r="A117" s="846" t="s">
        <v>2701</v>
      </c>
      <c r="B117" s="847">
        <f>ROUND(0.8808-0.006*B113,4)</f>
        <v>0.82809999999999995</v>
      </c>
      <c r="C117" s="847">
        <f>B117</f>
        <v>0.82809999999999995</v>
      </c>
      <c r="D117" s="847">
        <f>ROUND(0.8748-0.008*B113,4)</f>
        <v>0.80449999999999999</v>
      </c>
      <c r="E117" s="847">
        <f t="shared" si="34"/>
        <v>0.80449999999999999</v>
      </c>
      <c r="F117" s="847">
        <f t="shared" si="34"/>
        <v>0.80449999999999999</v>
      </c>
      <c r="G117" s="847">
        <f t="shared" si="34"/>
        <v>0.80449999999999999</v>
      </c>
      <c r="H117" s="847">
        <f t="shared" si="34"/>
        <v>0.80449999999999999</v>
      </c>
      <c r="I117" s="847">
        <f>ROUND(0.7412-0.0095*B113,4)</f>
        <v>0.65769999999999995</v>
      </c>
      <c r="J117" s="847">
        <f t="shared" si="33"/>
        <v>0.65769999999999995</v>
      </c>
      <c r="K117" s="847">
        <f t="shared" si="33"/>
        <v>0.65769999999999995</v>
      </c>
      <c r="L117" s="847">
        <f t="shared" si="33"/>
        <v>0.65769999999999995</v>
      </c>
      <c r="M117" s="848">
        <f t="shared" si="33"/>
        <v>0.65769999999999995</v>
      </c>
    </row>
    <row r="118" spans="1:13" ht="13.5" thickBot="1">
      <c r="A118" s="668" t="s">
        <v>2702</v>
      </c>
      <c r="B118" s="849">
        <f>ROUND(0.7275-0.01*B113,4)</f>
        <v>0.63959999999999995</v>
      </c>
      <c r="C118" s="849">
        <f>B118</f>
        <v>0.63959999999999995</v>
      </c>
      <c r="D118" s="849">
        <f>ROUND(0.7043-0.012*B113,4)</f>
        <v>0.5988</v>
      </c>
      <c r="E118" s="849">
        <f>D118</f>
        <v>0.5988</v>
      </c>
      <c r="F118" s="849">
        <f>E118</f>
        <v>0.5988</v>
      </c>
      <c r="G118" s="849">
        <f>ROUND(0.6299-0.0122*B113,4)</f>
        <v>0.52270000000000005</v>
      </c>
      <c r="H118" s="849">
        <f>G118</f>
        <v>0.52270000000000005</v>
      </c>
      <c r="I118" s="849">
        <f>ROUND(0.5667-0.0136*B113,4)</f>
        <v>0.44719999999999999</v>
      </c>
      <c r="J118" s="849">
        <f t="shared" si="33"/>
        <v>0.44719999999999999</v>
      </c>
      <c r="K118" s="849">
        <f t="shared" si="33"/>
        <v>0.44719999999999999</v>
      </c>
      <c r="L118" s="849">
        <f t="shared" si="33"/>
        <v>0.44719999999999999</v>
      </c>
      <c r="M118" s="850">
        <f t="shared" si="33"/>
        <v>0.44719999999999999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6" t="s">
        <v>183</v>
      </c>
      <c r="B18" s="819" t="s">
        <v>560</v>
      </c>
      <c r="C18" s="820" t="s">
        <v>561</v>
      </c>
      <c r="D18" s="821"/>
      <c r="E18" s="819">
        <v>1</v>
      </c>
      <c r="F18" s="822" t="s">
        <v>562</v>
      </c>
      <c r="G18" s="823"/>
      <c r="H18" s="815"/>
      <c r="I18" s="815"/>
    </row>
    <row r="19" spans="1:9" s="824" customFormat="1" ht="19.5" customHeight="1">
      <c r="A19" s="3416"/>
      <c r="B19" s="3416" t="s">
        <v>563</v>
      </c>
      <c r="C19" s="820" t="s">
        <v>564</v>
      </c>
      <c r="D19" s="821"/>
      <c r="E19" s="819">
        <v>0.9</v>
      </c>
      <c r="F19" s="822" t="s">
        <v>565</v>
      </c>
      <c r="G19" s="823"/>
      <c r="H19" s="815"/>
      <c r="I19" s="815"/>
    </row>
    <row r="20" spans="1:9" s="824" customFormat="1" ht="19.5" customHeight="1">
      <c r="A20" s="3416"/>
      <c r="B20" s="3416"/>
      <c r="C20" s="820" t="s">
        <v>566</v>
      </c>
      <c r="D20" s="821"/>
      <c r="E20" s="819">
        <v>1.1000000000000001</v>
      </c>
      <c r="F20" s="822" t="s">
        <v>567</v>
      </c>
      <c r="G20" s="823"/>
      <c r="H20" s="815"/>
      <c r="I20" s="815"/>
    </row>
    <row r="21" spans="1:9" s="824" customFormat="1" ht="19.5" customHeight="1">
      <c r="A21" s="3416"/>
      <c r="B21" s="3416"/>
      <c r="C21" s="820" t="s">
        <v>568</v>
      </c>
      <c r="D21" s="821"/>
      <c r="E21" s="819">
        <v>0.8</v>
      </c>
      <c r="F21" s="822" t="s">
        <v>569</v>
      </c>
      <c r="G21" s="823"/>
      <c r="H21" s="815"/>
      <c r="I21" s="815"/>
    </row>
    <row r="22" spans="1:9" s="824" customFormat="1" ht="19.5" customHeight="1">
      <c r="A22" s="3416"/>
      <c r="B22" s="3416"/>
      <c r="C22" s="820" t="s">
        <v>570</v>
      </c>
      <c r="D22" s="821"/>
      <c r="E22" s="819">
        <v>0.5</v>
      </c>
      <c r="F22" s="822"/>
      <c r="G22" s="823"/>
      <c r="H22" s="815"/>
      <c r="I22" s="815"/>
    </row>
    <row r="23" spans="1:9" s="824" customFormat="1" ht="19.5" customHeight="1">
      <c r="A23" s="3416" t="s">
        <v>184</v>
      </c>
      <c r="B23" s="819" t="s">
        <v>560</v>
      </c>
      <c r="C23" s="820" t="s">
        <v>571</v>
      </c>
      <c r="D23" s="821"/>
      <c r="E23" s="819">
        <v>1</v>
      </c>
      <c r="F23" s="822" t="s">
        <v>572</v>
      </c>
      <c r="G23" s="823"/>
      <c r="H23" s="815"/>
      <c r="I23" s="815"/>
    </row>
    <row r="24" spans="1:9" s="824" customFormat="1" ht="19.5" customHeight="1">
      <c r="A24" s="3416"/>
      <c r="B24" s="3416" t="s">
        <v>563</v>
      </c>
      <c r="C24" s="820" t="s">
        <v>573</v>
      </c>
      <c r="D24" s="821"/>
      <c r="E24" s="819">
        <v>0.5</v>
      </c>
      <c r="F24" s="822"/>
      <c r="G24" s="823"/>
      <c r="H24" s="815"/>
      <c r="I24" s="815"/>
    </row>
    <row r="25" spans="1:9" s="824" customFormat="1" ht="19.5" customHeight="1">
      <c r="A25" s="3416"/>
      <c r="B25" s="3416"/>
      <c r="C25" s="820" t="s">
        <v>574</v>
      </c>
      <c r="D25" s="821"/>
      <c r="E25" s="819">
        <v>1.1000000000000001</v>
      </c>
      <c r="F25" s="822"/>
      <c r="G25" s="823"/>
      <c r="H25" s="815"/>
      <c r="I25" s="815"/>
    </row>
    <row r="26" spans="1:9" s="824" customFormat="1" ht="19.5" customHeight="1">
      <c r="A26" s="3416"/>
      <c r="B26" s="3416"/>
      <c r="C26" s="820" t="s">
        <v>575</v>
      </c>
      <c r="D26" s="821"/>
      <c r="E26" s="819">
        <v>1.1000000000000001</v>
      </c>
      <c r="F26" s="822"/>
      <c r="G26" s="823"/>
      <c r="H26" s="815"/>
      <c r="I26" s="815"/>
    </row>
    <row r="27" spans="1:9" s="824" customFormat="1" ht="19.5" customHeight="1">
      <c r="A27" s="3416"/>
      <c r="B27" s="3416"/>
      <c r="C27" s="820" t="s">
        <v>576</v>
      </c>
      <c r="D27" s="821"/>
      <c r="E27" s="819">
        <v>0.9</v>
      </c>
      <c r="F27" s="822" t="s">
        <v>577</v>
      </c>
      <c r="G27" s="823"/>
      <c r="H27" s="815"/>
      <c r="I27" s="815"/>
    </row>
    <row r="28" spans="1:9" s="824" customFormat="1" ht="19.5" customHeight="1">
      <c r="A28" s="3416"/>
      <c r="B28" s="3416"/>
      <c r="C28" s="820" t="s">
        <v>578</v>
      </c>
      <c r="D28" s="821"/>
      <c r="E28" s="819">
        <v>0.9</v>
      </c>
      <c r="F28" s="822" t="s">
        <v>579</v>
      </c>
      <c r="G28" s="823"/>
      <c r="H28" s="815"/>
      <c r="I28" s="815"/>
    </row>
    <row r="29" spans="1:9" s="824" customFormat="1" ht="19.5" customHeight="1">
      <c r="A29" s="3416"/>
      <c r="B29" s="3416"/>
      <c r="C29" s="820" t="s">
        <v>580</v>
      </c>
      <c r="D29" s="821"/>
      <c r="E29" s="819">
        <v>0.9</v>
      </c>
      <c r="F29" s="822" t="s">
        <v>581</v>
      </c>
      <c r="G29" s="823"/>
      <c r="H29" s="815"/>
      <c r="I29" s="815"/>
    </row>
    <row r="30" spans="1:9" s="824" customFormat="1" ht="19.5" customHeight="1">
      <c r="A30" s="3416"/>
      <c r="B30" s="3416"/>
      <c r="C30" s="820" t="s">
        <v>582</v>
      </c>
      <c r="D30" s="821"/>
      <c r="E30" s="819">
        <v>0.9</v>
      </c>
      <c r="F30" s="822" t="s">
        <v>583</v>
      </c>
      <c r="G30" s="823"/>
      <c r="H30" s="815"/>
      <c r="I30" s="815"/>
    </row>
    <row r="31" spans="1:9" s="824" customFormat="1" ht="19.5" customHeight="1">
      <c r="A31" s="3416"/>
      <c r="B31" s="3416"/>
      <c r="C31" s="820" t="s">
        <v>584</v>
      </c>
      <c r="D31" s="821"/>
      <c r="E31" s="819">
        <v>0.8</v>
      </c>
      <c r="F31" s="822" t="s">
        <v>585</v>
      </c>
      <c r="G31" s="823"/>
      <c r="H31" s="815"/>
      <c r="I31" s="815"/>
    </row>
    <row r="32" spans="1:9" s="824" customFormat="1" ht="19.5" customHeight="1">
      <c r="A32" s="3416"/>
      <c r="B32" s="3416"/>
      <c r="C32" s="820" t="s">
        <v>586</v>
      </c>
      <c r="D32" s="821"/>
      <c r="E32" s="819">
        <v>0.8</v>
      </c>
      <c r="F32" s="822" t="s">
        <v>587</v>
      </c>
      <c r="G32" s="823"/>
      <c r="H32" s="815"/>
      <c r="I32" s="815"/>
    </row>
    <row r="33" spans="1:9" s="824" customFormat="1" ht="19.5" customHeight="1">
      <c r="A33" s="3416" t="s">
        <v>185</v>
      </c>
      <c r="B33" s="819" t="s">
        <v>560</v>
      </c>
      <c r="C33" s="820" t="s">
        <v>588</v>
      </c>
      <c r="D33" s="821"/>
      <c r="E33" s="819">
        <v>1</v>
      </c>
      <c r="F33" s="822" t="s">
        <v>589</v>
      </c>
      <c r="G33" s="823"/>
      <c r="H33" s="815"/>
      <c r="I33" s="815"/>
    </row>
    <row r="34" spans="1:9" s="824" customFormat="1" ht="19.5" customHeight="1">
      <c r="A34" s="3416"/>
      <c r="B34" s="819" t="s">
        <v>563</v>
      </c>
      <c r="C34" s="820" t="s">
        <v>590</v>
      </c>
      <c r="D34" s="821"/>
      <c r="E34" s="819">
        <v>1.5</v>
      </c>
      <c r="F34" s="822" t="s">
        <v>591</v>
      </c>
      <c r="G34" s="823"/>
      <c r="H34" s="815"/>
      <c r="I34" s="815"/>
    </row>
    <row r="35" spans="1:9" s="824" customFormat="1" ht="19.5" customHeight="1">
      <c r="A35" s="3416" t="s">
        <v>186</v>
      </c>
      <c r="B35" s="819" t="s">
        <v>560</v>
      </c>
      <c r="C35" s="820" t="s">
        <v>592</v>
      </c>
      <c r="D35" s="821"/>
      <c r="E35" s="819">
        <v>1</v>
      </c>
      <c r="F35" s="822" t="s">
        <v>593</v>
      </c>
      <c r="G35" s="823"/>
      <c r="H35" s="815"/>
      <c r="I35" s="815"/>
    </row>
    <row r="36" spans="1:9" s="824" customFormat="1" ht="19.5" customHeight="1">
      <c r="A36" s="3416"/>
      <c r="B36" s="3416" t="s">
        <v>563</v>
      </c>
      <c r="C36" s="820" t="s">
        <v>594</v>
      </c>
      <c r="D36" s="821"/>
      <c r="E36" s="819">
        <v>1</v>
      </c>
      <c r="F36" s="822" t="s">
        <v>595</v>
      </c>
      <c r="G36" s="823"/>
      <c r="H36" s="815"/>
      <c r="I36" s="815"/>
    </row>
    <row r="37" spans="1:9" s="824" customFormat="1" ht="19.5" customHeight="1">
      <c r="A37" s="3416"/>
      <c r="B37" s="3416"/>
      <c r="C37" s="820" t="s">
        <v>596</v>
      </c>
      <c r="D37" s="821"/>
      <c r="E37" s="819">
        <v>1.5</v>
      </c>
      <c r="F37" s="822" t="s">
        <v>597</v>
      </c>
      <c r="G37" s="823"/>
      <c r="H37" s="815"/>
      <c r="I37" s="815"/>
    </row>
    <row r="38" spans="1:9" s="824" customFormat="1" ht="19.5" customHeight="1">
      <c r="A38" s="3416"/>
      <c r="B38" s="3416"/>
      <c r="C38" s="820" t="s">
        <v>598</v>
      </c>
      <c r="D38" s="821"/>
      <c r="E38" s="819">
        <v>1</v>
      </c>
      <c r="F38" s="822" t="s">
        <v>599</v>
      </c>
      <c r="G38" s="823"/>
      <c r="H38" s="815"/>
      <c r="I38" s="815"/>
    </row>
    <row r="39" spans="1:9" s="824" customFormat="1" ht="19.5" customHeight="1">
      <c r="A39" s="3416"/>
      <c r="B39" s="341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6" t="s">
        <v>614</v>
      </c>
      <c r="C61" s="755" t="s">
        <v>615</v>
      </c>
      <c r="D61" s="755" t="s">
        <v>616</v>
      </c>
      <c r="E61" s="832">
        <v>0.5</v>
      </c>
      <c r="F61" s="819">
        <v>80</v>
      </c>
    </row>
    <row r="62" spans="1:8" s="815" customFormat="1" ht="24">
      <c r="A62" s="819">
        <v>2</v>
      </c>
      <c r="B62" s="3416"/>
      <c r="C62" s="755" t="s">
        <v>617</v>
      </c>
      <c r="D62" s="755" t="s">
        <v>618</v>
      </c>
      <c r="E62" s="832">
        <v>0.5</v>
      </c>
      <c r="F62" s="819">
        <v>80</v>
      </c>
    </row>
    <row r="63" spans="1:8" s="815" customFormat="1" ht="36">
      <c r="A63" s="819">
        <v>3</v>
      </c>
      <c r="B63" s="3416"/>
      <c r="C63" s="755" t="s">
        <v>619</v>
      </c>
      <c r="D63" s="755" t="s">
        <v>620</v>
      </c>
      <c r="E63" s="832">
        <v>0.5</v>
      </c>
      <c r="F63" s="819">
        <v>80</v>
      </c>
    </row>
    <row r="64" spans="1:8" s="815" customFormat="1" ht="36">
      <c r="A64" s="819">
        <v>4</v>
      </c>
      <c r="B64" s="3416"/>
      <c r="C64" s="755" t="s">
        <v>621</v>
      </c>
      <c r="D64" s="755" t="s">
        <v>622</v>
      </c>
      <c r="E64" s="832">
        <v>0.4</v>
      </c>
      <c r="F64" s="819">
        <v>60</v>
      </c>
    </row>
    <row r="65" spans="1:6" s="815" customFormat="1" ht="36">
      <c r="A65" s="819">
        <v>5</v>
      </c>
      <c r="B65" s="3416"/>
      <c r="C65" s="755" t="s">
        <v>623</v>
      </c>
      <c r="D65" s="755" t="s">
        <v>624</v>
      </c>
      <c r="E65" s="832">
        <v>0.2</v>
      </c>
      <c r="F65" s="819">
        <v>30</v>
      </c>
    </row>
    <row r="66" spans="1:6" s="815" customFormat="1" ht="36">
      <c r="A66" s="819">
        <v>6</v>
      </c>
      <c r="B66" s="3416"/>
      <c r="C66" s="755" t="s">
        <v>625</v>
      </c>
      <c r="D66" s="755" t="s">
        <v>626</v>
      </c>
      <c r="E66" s="832">
        <v>0.3</v>
      </c>
      <c r="F66" s="819">
        <v>50</v>
      </c>
    </row>
    <row r="67" spans="1:6" s="815" customFormat="1" ht="36">
      <c r="A67" s="819">
        <v>7</v>
      </c>
      <c r="B67" s="3416"/>
      <c r="C67" s="755" t="s">
        <v>627</v>
      </c>
      <c r="D67" s="755" t="s">
        <v>628</v>
      </c>
      <c r="E67" s="832">
        <v>0.2</v>
      </c>
      <c r="F67" s="819">
        <v>30</v>
      </c>
    </row>
    <row r="68" spans="1:6" s="815" customFormat="1" ht="36">
      <c r="A68" s="819">
        <v>8</v>
      </c>
      <c r="B68" s="3416"/>
      <c r="C68" s="755" t="s">
        <v>629</v>
      </c>
      <c r="D68" s="755" t="s">
        <v>630</v>
      </c>
      <c r="E68" s="832">
        <v>0.2</v>
      </c>
      <c r="F68" s="819">
        <v>30</v>
      </c>
    </row>
    <row r="69" spans="1:6" s="815" customFormat="1" ht="36">
      <c r="A69" s="819">
        <v>9</v>
      </c>
      <c r="B69" s="3416"/>
      <c r="C69" s="755" t="s">
        <v>631</v>
      </c>
      <c r="D69" s="755" t="s">
        <v>632</v>
      </c>
      <c r="E69" s="832">
        <v>0.2</v>
      </c>
      <c r="F69" s="819">
        <v>30</v>
      </c>
    </row>
    <row r="70" spans="1:6" s="815" customFormat="1" ht="48">
      <c r="A70" s="819">
        <v>10</v>
      </c>
      <c r="B70" s="3416"/>
      <c r="C70" s="755" t="s">
        <v>633</v>
      </c>
      <c r="D70" s="755" t="s">
        <v>634</v>
      </c>
      <c r="E70" s="832">
        <v>0.2</v>
      </c>
      <c r="F70" s="819">
        <v>30</v>
      </c>
    </row>
    <row r="71" spans="1:6" s="815" customFormat="1" ht="48">
      <c r="A71" s="819">
        <v>11</v>
      </c>
      <c r="B71" s="3416"/>
      <c r="C71" s="755" t="s">
        <v>635</v>
      </c>
      <c r="D71" s="755" t="s">
        <v>636</v>
      </c>
      <c r="E71" s="832">
        <v>0.2</v>
      </c>
      <c r="F71" s="819">
        <v>30</v>
      </c>
    </row>
    <row r="72" spans="1:6" s="815" customFormat="1" ht="36">
      <c r="A72" s="819">
        <v>12</v>
      </c>
      <c r="B72" s="3416"/>
      <c r="C72" s="755" t="s">
        <v>637</v>
      </c>
      <c r="D72" s="755" t="s">
        <v>638</v>
      </c>
      <c r="E72" s="832">
        <v>0.5</v>
      </c>
      <c r="F72" s="819">
        <v>80</v>
      </c>
    </row>
    <row r="73" spans="1:6" s="815" customFormat="1" ht="24">
      <c r="A73" s="819">
        <v>13</v>
      </c>
      <c r="B73" s="3416"/>
      <c r="C73" s="755" t="s">
        <v>639</v>
      </c>
      <c r="D73" s="755" t="s">
        <v>640</v>
      </c>
      <c r="E73" s="832">
        <v>0.4</v>
      </c>
      <c r="F73" s="819">
        <v>60</v>
      </c>
    </row>
    <row r="74" spans="1:6" s="815" customFormat="1" ht="24">
      <c r="A74" s="819">
        <v>14</v>
      </c>
      <c r="B74" s="3416"/>
      <c r="C74" s="755" t="s">
        <v>641</v>
      </c>
      <c r="D74" s="755" t="s">
        <v>642</v>
      </c>
      <c r="E74" s="832">
        <v>0.2</v>
      </c>
      <c r="F74" s="819">
        <v>30</v>
      </c>
    </row>
    <row r="75" spans="1:6" s="815" customFormat="1" ht="24">
      <c r="A75" s="819">
        <v>15</v>
      </c>
      <c r="B75" s="3416"/>
      <c r="C75" s="755" t="s">
        <v>643</v>
      </c>
      <c r="D75" s="755" t="s">
        <v>644</v>
      </c>
      <c r="E75" s="832">
        <v>0.2</v>
      </c>
      <c r="F75" s="819">
        <v>30</v>
      </c>
    </row>
    <row r="76" spans="1:6" s="815" customFormat="1" ht="24">
      <c r="A76" s="819">
        <v>16</v>
      </c>
      <c r="B76" s="3416" t="s">
        <v>645</v>
      </c>
      <c r="C76" s="755" t="s">
        <v>646</v>
      </c>
      <c r="D76" s="755" t="s">
        <v>647</v>
      </c>
      <c r="E76" s="832">
        <v>0.5</v>
      </c>
      <c r="F76" s="819">
        <v>80</v>
      </c>
    </row>
    <row r="77" spans="1:6" s="815" customFormat="1" ht="24">
      <c r="A77" s="819">
        <v>17</v>
      </c>
      <c r="B77" s="3416"/>
      <c r="C77" s="755" t="s">
        <v>648</v>
      </c>
      <c r="D77" s="755" t="s">
        <v>649</v>
      </c>
      <c r="E77" s="832">
        <v>0.5</v>
      </c>
      <c r="F77" s="819">
        <v>80</v>
      </c>
    </row>
    <row r="78" spans="1:6" s="815" customFormat="1" ht="24">
      <c r="A78" s="819">
        <v>18</v>
      </c>
      <c r="B78" s="3416"/>
      <c r="C78" s="755" t="s">
        <v>650</v>
      </c>
      <c r="D78" s="755" t="s">
        <v>651</v>
      </c>
      <c r="E78" s="832">
        <v>0.2</v>
      </c>
      <c r="F78" s="819">
        <v>30</v>
      </c>
    </row>
    <row r="79" spans="1:6" s="815" customFormat="1" ht="24">
      <c r="A79" s="819">
        <v>19</v>
      </c>
      <c r="B79" s="3416"/>
      <c r="C79" s="755" t="s">
        <v>652</v>
      </c>
      <c r="D79" s="755" t="s">
        <v>653</v>
      </c>
      <c r="E79" s="832">
        <v>0.5</v>
      </c>
      <c r="F79" s="819">
        <v>80</v>
      </c>
    </row>
    <row r="80" spans="1:6" s="815" customFormat="1" ht="36">
      <c r="A80" s="819">
        <v>20</v>
      </c>
      <c r="B80" s="3416"/>
      <c r="C80" s="755" t="s">
        <v>654</v>
      </c>
      <c r="D80" s="755" t="s">
        <v>655</v>
      </c>
      <c r="E80" s="832">
        <v>0.2</v>
      </c>
      <c r="F80" s="819">
        <v>30</v>
      </c>
    </row>
    <row r="81" spans="1:6" s="815" customFormat="1" ht="36">
      <c r="A81" s="819">
        <v>21</v>
      </c>
      <c r="B81" s="3416"/>
      <c r="C81" s="755" t="s">
        <v>656</v>
      </c>
      <c r="D81" s="755" t="s">
        <v>657</v>
      </c>
      <c r="E81" s="832">
        <v>0.2</v>
      </c>
      <c r="F81" s="819">
        <v>30</v>
      </c>
    </row>
    <row r="82" spans="1:6" s="815" customFormat="1" ht="48">
      <c r="A82" s="819">
        <v>22</v>
      </c>
      <c r="B82" s="3416"/>
      <c r="C82" s="755" t="s">
        <v>658</v>
      </c>
      <c r="D82" s="755" t="s">
        <v>659</v>
      </c>
      <c r="E82" s="832">
        <v>0.2</v>
      </c>
      <c r="F82" s="819">
        <v>30</v>
      </c>
    </row>
    <row r="83" spans="1:6" s="815" customFormat="1" ht="48">
      <c r="A83" s="819">
        <v>23</v>
      </c>
      <c r="B83" s="3416"/>
      <c r="C83" s="755" t="s">
        <v>660</v>
      </c>
      <c r="D83" s="755" t="s">
        <v>661</v>
      </c>
      <c r="E83" s="832">
        <v>0.2</v>
      </c>
      <c r="F83" s="819">
        <v>30</v>
      </c>
    </row>
    <row r="84" spans="1:6" s="815" customFormat="1" ht="36">
      <c r="A84" s="819">
        <v>24</v>
      </c>
      <c r="B84" s="3416"/>
      <c r="C84" s="755" t="s">
        <v>662</v>
      </c>
      <c r="D84" s="755" t="s">
        <v>663</v>
      </c>
      <c r="E84" s="832">
        <v>0.2</v>
      </c>
      <c r="F84" s="819">
        <v>30</v>
      </c>
    </row>
    <row r="85" spans="1:6" s="815" customFormat="1" ht="36">
      <c r="A85" s="819">
        <v>25</v>
      </c>
      <c r="B85" s="3416"/>
      <c r="C85" s="755" t="s">
        <v>664</v>
      </c>
      <c r="D85" s="755" t="s">
        <v>665</v>
      </c>
      <c r="E85" s="832">
        <v>0.5</v>
      </c>
      <c r="F85" s="819">
        <v>80</v>
      </c>
    </row>
    <row r="86" spans="1:6" s="815" customFormat="1" ht="36">
      <c r="A86" s="819">
        <v>26</v>
      </c>
      <c r="B86" s="3416"/>
      <c r="C86" s="755" t="s">
        <v>666</v>
      </c>
      <c r="D86" s="755" t="s">
        <v>667</v>
      </c>
      <c r="E86" s="832">
        <v>0.2</v>
      </c>
      <c r="F86" s="819">
        <v>30</v>
      </c>
    </row>
    <row r="87" spans="1:6" s="815" customFormat="1" ht="36">
      <c r="A87" s="819">
        <v>27</v>
      </c>
      <c r="B87" s="3416"/>
      <c r="C87" s="755" t="s">
        <v>668</v>
      </c>
      <c r="D87" s="755" t="s">
        <v>669</v>
      </c>
      <c r="E87" s="832">
        <v>0.2</v>
      </c>
      <c r="F87" s="819">
        <v>30</v>
      </c>
    </row>
    <row r="88" spans="1:6" s="815" customFormat="1" ht="36">
      <c r="A88" s="819">
        <v>28</v>
      </c>
      <c r="B88" s="3416"/>
      <c r="C88" s="755" t="s">
        <v>670</v>
      </c>
      <c r="D88" s="755" t="s">
        <v>671</v>
      </c>
      <c r="E88" s="832">
        <v>0.2</v>
      </c>
      <c r="F88" s="819">
        <v>30</v>
      </c>
    </row>
    <row r="89" spans="1:6" s="815" customFormat="1" ht="24">
      <c r="A89" s="819">
        <v>29</v>
      </c>
      <c r="B89" s="3416"/>
      <c r="C89" s="755" t="s">
        <v>672</v>
      </c>
      <c r="D89" s="755" t="s">
        <v>673</v>
      </c>
      <c r="E89" s="832">
        <v>0.2</v>
      </c>
      <c r="F89" s="819">
        <v>30</v>
      </c>
    </row>
    <row r="90" spans="1:6" s="815" customFormat="1" ht="24">
      <c r="A90" s="819">
        <v>30</v>
      </c>
      <c r="B90" s="3416"/>
      <c r="C90" s="755" t="s">
        <v>674</v>
      </c>
      <c r="D90" s="755" t="s">
        <v>675</v>
      </c>
      <c r="E90" s="832">
        <v>0.2</v>
      </c>
      <c r="F90" s="819">
        <v>30</v>
      </c>
    </row>
    <row r="91" spans="1:6" s="815" customFormat="1" ht="36">
      <c r="A91" s="819">
        <v>31</v>
      </c>
      <c r="B91" s="3416"/>
      <c r="C91" s="755" t="s">
        <v>676</v>
      </c>
      <c r="D91" s="755" t="s">
        <v>677</v>
      </c>
      <c r="E91" s="832">
        <v>0.2</v>
      </c>
      <c r="F91" s="819">
        <v>30</v>
      </c>
    </row>
    <row r="92" spans="1:6" s="815" customFormat="1" ht="24">
      <c r="A92" s="819">
        <v>32</v>
      </c>
      <c r="B92" s="3416" t="s">
        <v>678</v>
      </c>
      <c r="C92" s="819" t="s">
        <v>679</v>
      </c>
      <c r="D92" s="755" t="s">
        <v>680</v>
      </c>
      <c r="E92" s="832">
        <v>0.2</v>
      </c>
      <c r="F92" s="819">
        <v>30</v>
      </c>
    </row>
    <row r="93" spans="1:6" s="815" customFormat="1" ht="36">
      <c r="A93" s="819">
        <v>33</v>
      </c>
      <c r="B93" s="3416"/>
      <c r="C93" s="819" t="s">
        <v>681</v>
      </c>
      <c r="D93" s="755" t="s">
        <v>682</v>
      </c>
      <c r="E93" s="832">
        <v>0.2</v>
      </c>
      <c r="F93" s="819">
        <v>30</v>
      </c>
    </row>
    <row r="94" spans="1:6" s="815" customFormat="1" ht="48">
      <c r="A94" s="819">
        <v>34</v>
      </c>
      <c r="B94" s="3416"/>
      <c r="C94" s="819" t="s">
        <v>683</v>
      </c>
      <c r="D94" s="755" t="s">
        <v>684</v>
      </c>
      <c r="E94" s="832">
        <v>0.2</v>
      </c>
      <c r="F94" s="819">
        <v>30</v>
      </c>
    </row>
    <row r="95" spans="1:6" s="815" customFormat="1" ht="36">
      <c r="A95" s="819">
        <v>35</v>
      </c>
      <c r="B95" s="3416"/>
      <c r="C95" s="819" t="s">
        <v>685</v>
      </c>
      <c r="D95" s="755" t="s">
        <v>686</v>
      </c>
      <c r="E95" s="832">
        <v>0.2</v>
      </c>
      <c r="F95" s="819">
        <v>30</v>
      </c>
    </row>
    <row r="96" spans="1:6" s="815" customFormat="1" ht="48">
      <c r="A96" s="819">
        <v>36</v>
      </c>
      <c r="B96" s="3416"/>
      <c r="C96" s="755" t="s">
        <v>687</v>
      </c>
      <c r="D96" s="755" t="s">
        <v>688</v>
      </c>
      <c r="E96" s="832">
        <v>0.2</v>
      </c>
      <c r="F96" s="819">
        <v>30</v>
      </c>
    </row>
    <row r="97" spans="1:6" s="815" customFormat="1" ht="36">
      <c r="A97" s="819">
        <v>37</v>
      </c>
      <c r="B97" s="3416"/>
      <c r="C97" s="819" t="s">
        <v>689</v>
      </c>
      <c r="D97" s="755" t="s">
        <v>690</v>
      </c>
      <c r="E97" s="832">
        <v>0.2</v>
      </c>
      <c r="F97" s="819">
        <v>30</v>
      </c>
    </row>
    <row r="98" spans="1:6" s="815" customFormat="1" ht="36">
      <c r="A98" s="819">
        <v>38</v>
      </c>
      <c r="B98" s="3416"/>
      <c r="C98" s="819" t="s">
        <v>691</v>
      </c>
      <c r="D98" s="755" t="s">
        <v>692</v>
      </c>
      <c r="E98" s="832">
        <v>0.2</v>
      </c>
      <c r="F98" s="819">
        <v>30</v>
      </c>
    </row>
    <row r="99" spans="1:6" s="815" customFormat="1" ht="36">
      <c r="A99" s="819">
        <v>39</v>
      </c>
      <c r="B99" s="3416" t="s">
        <v>693</v>
      </c>
      <c r="C99" s="819" t="s">
        <v>694</v>
      </c>
      <c r="D99" s="755" t="s">
        <v>695</v>
      </c>
      <c r="E99" s="832">
        <v>0.3</v>
      </c>
      <c r="F99" s="819">
        <v>50</v>
      </c>
    </row>
    <row r="100" spans="1:6" s="815" customFormat="1" ht="24">
      <c r="A100" s="819">
        <v>40</v>
      </c>
      <c r="B100" s="3416"/>
      <c r="C100" s="819" t="s">
        <v>696</v>
      </c>
      <c r="D100" s="755" t="s">
        <v>697</v>
      </c>
      <c r="E100" s="832">
        <v>0.2</v>
      </c>
      <c r="F100" s="819">
        <v>30</v>
      </c>
    </row>
    <row r="101" spans="1:6" s="815" customFormat="1" ht="36">
      <c r="A101" s="819">
        <v>41</v>
      </c>
      <c r="B101" s="341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6" t="s">
        <v>708</v>
      </c>
      <c r="C105" s="819" t="s">
        <v>709</v>
      </c>
      <c r="D105" s="755" t="s">
        <v>710</v>
      </c>
      <c r="E105" s="832">
        <v>0.2</v>
      </c>
      <c r="F105" s="819">
        <v>30</v>
      </c>
    </row>
    <row r="106" spans="1:6" s="815" customFormat="1" ht="36">
      <c r="A106" s="819">
        <v>46</v>
      </c>
      <c r="B106" s="3416"/>
      <c r="C106" s="819" t="s">
        <v>711</v>
      </c>
      <c r="D106" s="755" t="s">
        <v>712</v>
      </c>
      <c r="E106" s="832">
        <v>0.2</v>
      </c>
      <c r="F106" s="819">
        <v>30</v>
      </c>
    </row>
    <row r="107" spans="1:6" s="815" customFormat="1" ht="36">
      <c r="A107" s="819">
        <v>47</v>
      </c>
      <c r="B107" s="3416" t="s">
        <v>713</v>
      </c>
      <c r="C107" s="819" t="s">
        <v>714</v>
      </c>
      <c r="D107" s="755" t="s">
        <v>715</v>
      </c>
      <c r="E107" s="832">
        <v>0.3</v>
      </c>
      <c r="F107" s="819">
        <v>50</v>
      </c>
    </row>
    <row r="108" spans="1:6" s="815" customFormat="1" ht="36">
      <c r="A108" s="819">
        <v>48</v>
      </c>
      <c r="B108" s="341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6" t="s">
        <v>724</v>
      </c>
      <c r="C111" s="819" t="s">
        <v>725</v>
      </c>
      <c r="D111" s="755" t="s">
        <v>726</v>
      </c>
      <c r="E111" s="832">
        <v>0.2</v>
      </c>
      <c r="F111" s="819">
        <v>30</v>
      </c>
    </row>
    <row r="112" spans="1:6" s="815" customFormat="1" ht="24">
      <c r="A112" s="819">
        <v>52</v>
      </c>
      <c r="B112" s="3416"/>
      <c r="C112" s="819" t="s">
        <v>727</v>
      </c>
      <c r="D112" s="755" t="s">
        <v>728</v>
      </c>
      <c r="E112" s="832">
        <v>0.2</v>
      </c>
      <c r="F112" s="819">
        <v>30</v>
      </c>
    </row>
    <row r="113" spans="1:6" s="815" customFormat="1" ht="24">
      <c r="A113" s="819">
        <v>53</v>
      </c>
      <c r="B113" s="341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6" t="s">
        <v>737</v>
      </c>
      <c r="C116" s="819" t="s">
        <v>738</v>
      </c>
      <c r="D116" s="755" t="s">
        <v>739</v>
      </c>
      <c r="E116" s="832">
        <v>0.2</v>
      </c>
      <c r="F116" s="819">
        <v>30</v>
      </c>
    </row>
    <row r="117" spans="1:6" ht="36">
      <c r="A117" s="819">
        <v>57</v>
      </c>
      <c r="B117" s="341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3"/>
      <c r="C1" s="2353"/>
      <c r="D1" s="2353"/>
      <c r="E1" s="2353"/>
      <c r="F1" s="3005"/>
      <c r="G1" s="3005"/>
      <c r="H1" s="3005"/>
      <c r="I1" s="3005"/>
      <c r="J1" s="3005"/>
      <c r="K1" s="3005"/>
      <c r="L1" s="3005"/>
      <c r="M1" s="3005"/>
      <c r="N1" s="3005"/>
      <c r="O1" s="3005"/>
      <c r="P1" s="3005"/>
    </row>
    <row r="2" spans="1:16" ht="15.75">
      <c r="A2" s="2351" t="s">
        <v>2814</v>
      </c>
      <c r="B2" s="2810" t="e">
        <f ca="1">SUMIF(B6:B13,"&lt;&gt;#ref!",B6:B13)</f>
        <v>#DIV/0!</v>
      </c>
      <c r="C2" s="2351" t="s">
        <v>2815</v>
      </c>
      <c r="D2" s="2351" t="s">
        <v>2816</v>
      </c>
      <c r="E2" s="2820">
        <f ca="1">SUMIF(E6:E13,"&lt;&gt;#ref!",E6:E13)</f>
        <v>0</v>
      </c>
      <c r="F2" s="3005"/>
      <c r="G2" s="3005"/>
      <c r="H2" s="3005"/>
      <c r="I2" s="3005"/>
      <c r="J2" s="3005"/>
      <c r="K2" s="3005"/>
      <c r="L2" s="3005"/>
      <c r="M2" s="3005"/>
      <c r="N2" s="3005"/>
      <c r="O2" s="3005"/>
      <c r="P2" s="3005"/>
    </row>
    <row r="3" spans="1:16" ht="15.75">
      <c r="A3" s="2351" t="s">
        <v>2817</v>
      </c>
      <c r="B3" s="2810" t="e">
        <f ca="1">ROUND(B2*10000/E2,0)</f>
        <v>#DIV/0!</v>
      </c>
      <c r="C3" s="2351" t="s">
        <v>2823</v>
      </c>
      <c r="D3" s="3005"/>
      <c r="E3" s="3005"/>
      <c r="F3" s="3005"/>
      <c r="G3" s="3005"/>
      <c r="H3" s="3005"/>
      <c r="I3" s="3005"/>
      <c r="J3" s="3005"/>
      <c r="K3" s="3005"/>
      <c r="L3" s="3005"/>
      <c r="M3" s="3005"/>
      <c r="N3" s="3005"/>
      <c r="O3" s="3005"/>
      <c r="P3" s="3005"/>
    </row>
    <row r="4" spans="1:16" ht="15.75">
      <c r="A4" s="3006"/>
      <c r="B4" s="3005"/>
      <c r="C4" s="3005"/>
      <c r="D4" s="3005"/>
      <c r="E4" s="3005"/>
      <c r="F4" s="3005"/>
      <c r="G4" s="3005"/>
      <c r="H4" s="3005"/>
      <c r="I4" s="3005"/>
      <c r="J4" s="3005"/>
      <c r="K4" s="3005"/>
      <c r="L4" s="3005"/>
      <c r="M4" s="3005"/>
      <c r="N4" s="3005"/>
      <c r="O4" s="3005"/>
      <c r="P4" s="3005"/>
    </row>
    <row r="5" spans="1:16" ht="28.5">
      <c r="A5" s="2816" t="s">
        <v>2818</v>
      </c>
      <c r="B5" s="2818" t="s">
        <v>2819</v>
      </c>
      <c r="C5" s="2352"/>
      <c r="D5" s="3005"/>
      <c r="E5" s="2819" t="s">
        <v>2820</v>
      </c>
      <c r="F5" s="3005"/>
      <c r="G5" s="3005"/>
      <c r="H5" s="3005"/>
      <c r="I5" s="3005"/>
      <c r="J5" s="3005"/>
      <c r="K5" s="3005"/>
      <c r="L5" s="3005"/>
      <c r="M5" s="3005"/>
      <c r="N5" s="3005"/>
      <c r="O5" s="3005"/>
      <c r="P5" s="3005"/>
    </row>
    <row r="6" spans="1:16" ht="15.75">
      <c r="A6" s="2817" t="s">
        <v>2821</v>
      </c>
      <c r="B6" s="2810" t="e">
        <f ca="1">SUMIF(INDIRECT("'"&amp;A6&amp;"'"&amp;"!A:A"),"总价",INDIRECT("'"&amp;A6&amp;"'"&amp;"!B:B"))</f>
        <v>#DIV/0!</v>
      </c>
      <c r="C6" s="2351" t="s">
        <v>2815</v>
      </c>
      <c r="D6" s="3005"/>
      <c r="E6" s="2820">
        <f ca="1">SUMIF(INDIRECT("'"&amp;A6&amp;"'"&amp;"!C:C"),"建筑面积",INDIRECT("'"&amp;A6&amp;"'"&amp;"!D:D"))</f>
        <v>0</v>
      </c>
      <c r="F6" s="3005"/>
      <c r="G6" s="3005"/>
      <c r="H6" s="3005"/>
      <c r="I6" s="3005"/>
      <c r="J6" s="3005"/>
      <c r="K6" s="3005"/>
      <c r="L6" s="3005"/>
      <c r="M6" s="3005"/>
      <c r="N6" s="3005"/>
      <c r="O6" s="3005"/>
      <c r="P6" s="3005"/>
    </row>
    <row r="7" spans="1:16" ht="15.75">
      <c r="A7" s="2817"/>
      <c r="B7" s="2810" t="e">
        <f ca="1">SUMIF(INDIRECT("'"&amp;A7&amp;"'"&amp;"!A:A"),"总价",INDIRECT("'"&amp;A7&amp;"'"&amp;"!B:B"))</f>
        <v>#REF!</v>
      </c>
      <c r="C7" s="2351" t="s">
        <v>2815</v>
      </c>
      <c r="D7" s="3005"/>
      <c r="E7" s="2820" t="e">
        <f t="shared" ref="E7:E13" ca="1" si="0">SUMIF(INDIRECT("'"&amp;A7&amp;"'"&amp;"!C:C"),"建筑面积",INDIRECT("'"&amp;A7&amp;"'"&amp;"!D:D"))</f>
        <v>#REF!</v>
      </c>
      <c r="F7" s="3005"/>
      <c r="G7" s="3005"/>
      <c r="H7" s="3005"/>
      <c r="I7" s="3005"/>
      <c r="J7" s="3005"/>
      <c r="K7" s="3005"/>
      <c r="L7" s="3005"/>
      <c r="M7" s="3005"/>
      <c r="N7" s="3005"/>
      <c r="O7" s="3005"/>
      <c r="P7" s="3005"/>
    </row>
    <row r="8" spans="1:16" ht="15.75">
      <c r="A8" s="2817"/>
      <c r="B8" s="2810" t="e">
        <f t="shared" ref="B8:B13" ca="1" si="1">SUMIF(INDIRECT("'"&amp;A8&amp;"'"&amp;"!A:A"),"总价",INDIRECT("'"&amp;A8&amp;"'"&amp;"!B:B"))</f>
        <v>#REF!</v>
      </c>
      <c r="C8" s="2351" t="s">
        <v>2815</v>
      </c>
      <c r="D8" s="3005"/>
      <c r="E8" s="2820" t="e">
        <f t="shared" ca="1" si="0"/>
        <v>#REF!</v>
      </c>
      <c r="F8" s="3005"/>
      <c r="G8" s="3005"/>
      <c r="H8" s="3005"/>
      <c r="I8" s="3005"/>
      <c r="J8" s="3005"/>
      <c r="K8" s="3005"/>
      <c r="L8" s="3005"/>
      <c r="M8" s="3005"/>
      <c r="N8" s="3005"/>
      <c r="O8" s="3005"/>
      <c r="P8" s="3005"/>
    </row>
    <row r="9" spans="1:16" ht="15.75">
      <c r="A9" s="2817"/>
      <c r="B9" s="2810" t="e">
        <f t="shared" ca="1" si="1"/>
        <v>#REF!</v>
      </c>
      <c r="C9" s="2351" t="s">
        <v>2815</v>
      </c>
      <c r="D9" s="3005"/>
      <c r="E9" s="2820" t="e">
        <f t="shared" ca="1" si="0"/>
        <v>#REF!</v>
      </c>
      <c r="F9" s="3005"/>
      <c r="G9" s="3005"/>
      <c r="H9" s="3005"/>
      <c r="I9" s="3005"/>
      <c r="J9" s="3005"/>
      <c r="K9" s="3005"/>
      <c r="L9" s="3005"/>
      <c r="M9" s="3005"/>
      <c r="N9" s="3005"/>
      <c r="O9" s="3005"/>
      <c r="P9" s="3005"/>
    </row>
    <row r="10" spans="1:16" ht="15.75">
      <c r="A10" s="2817"/>
      <c r="B10" s="2810" t="e">
        <f t="shared" ca="1" si="1"/>
        <v>#REF!</v>
      </c>
      <c r="C10" s="2351" t="s">
        <v>2815</v>
      </c>
      <c r="D10" s="3005"/>
      <c r="E10" s="2820" t="e">
        <f t="shared" ca="1" si="0"/>
        <v>#REF!</v>
      </c>
      <c r="F10" s="3005"/>
      <c r="G10" s="3005"/>
      <c r="H10" s="3005"/>
      <c r="I10" s="3005"/>
      <c r="J10" s="3005"/>
      <c r="K10" s="3005"/>
      <c r="L10" s="3005"/>
      <c r="M10" s="3005"/>
      <c r="N10" s="3005"/>
      <c r="O10" s="3005"/>
      <c r="P10" s="3005"/>
    </row>
    <row r="11" spans="1:16" ht="15.75">
      <c r="A11" s="2817"/>
      <c r="B11" s="2810" t="e">
        <f t="shared" ca="1" si="1"/>
        <v>#REF!</v>
      </c>
      <c r="C11" s="2351" t="s">
        <v>2815</v>
      </c>
      <c r="D11" s="3005"/>
      <c r="E11" s="2820" t="e">
        <f t="shared" ca="1" si="0"/>
        <v>#REF!</v>
      </c>
      <c r="F11" s="3005"/>
      <c r="G11" s="3005"/>
      <c r="H11" s="3005"/>
      <c r="I11" s="3005"/>
      <c r="J11" s="3005"/>
      <c r="K11" s="3005"/>
      <c r="L11" s="3005"/>
      <c r="M11" s="3005"/>
      <c r="N11" s="3005"/>
      <c r="O11" s="3005"/>
      <c r="P11" s="3005"/>
    </row>
    <row r="12" spans="1:16" ht="15.75">
      <c r="A12" s="2817"/>
      <c r="B12" s="2810" t="e">
        <f t="shared" ca="1" si="1"/>
        <v>#REF!</v>
      </c>
      <c r="C12" s="2351" t="s">
        <v>2815</v>
      </c>
      <c r="D12" s="3005"/>
      <c r="E12" s="2820" t="e">
        <f t="shared" ca="1" si="0"/>
        <v>#REF!</v>
      </c>
      <c r="F12" s="3005"/>
      <c r="G12" s="3005"/>
      <c r="H12" s="3005"/>
      <c r="I12" s="3005"/>
      <c r="J12" s="3005"/>
      <c r="K12" s="3005"/>
      <c r="L12" s="3005"/>
      <c r="M12" s="3005"/>
      <c r="N12" s="3005"/>
      <c r="O12" s="3005"/>
      <c r="P12" s="3005"/>
    </row>
    <row r="13" spans="1:16" ht="15.75">
      <c r="A13" s="2817"/>
      <c r="B13" s="2810" t="e">
        <f t="shared" ca="1" si="1"/>
        <v>#REF!</v>
      </c>
      <c r="C13" s="2351" t="s">
        <v>2815</v>
      </c>
      <c r="D13" s="3005"/>
      <c r="E13" s="2820" t="e">
        <f t="shared" ca="1" si="0"/>
        <v>#REF!</v>
      </c>
      <c r="F13" s="3005"/>
      <c r="G13" s="3005"/>
      <c r="H13" s="3005"/>
      <c r="I13" s="3005"/>
      <c r="J13" s="3005"/>
      <c r="K13" s="3005"/>
      <c r="L13" s="3005"/>
      <c r="M13" s="3005"/>
      <c r="N13" s="3005"/>
      <c r="O13" s="3005"/>
      <c r="P13" s="3005"/>
    </row>
    <row r="14" spans="1:16">
      <c r="A14" s="3005"/>
      <c r="B14" s="3005"/>
      <c r="C14" s="3005"/>
      <c r="D14" s="3005"/>
      <c r="E14" s="3005"/>
      <c r="F14" s="3005"/>
      <c r="G14" s="3005"/>
      <c r="H14" s="3005"/>
      <c r="I14" s="3005"/>
      <c r="J14" s="3005"/>
      <c r="K14" s="3005"/>
      <c r="L14" s="3005"/>
      <c r="M14" s="3005"/>
      <c r="N14" s="3005"/>
      <c r="O14" s="3005"/>
      <c r="P14" s="3005"/>
    </row>
    <row r="15" spans="1:16">
      <c r="A15" s="3005"/>
      <c r="B15" s="3005"/>
      <c r="C15" s="3005"/>
      <c r="D15" s="3005"/>
      <c r="E15" s="3005"/>
      <c r="F15" s="3005"/>
      <c r="G15" s="3005"/>
      <c r="H15" s="3005"/>
      <c r="I15" s="3005"/>
      <c r="J15" s="3005"/>
      <c r="K15" s="3005"/>
      <c r="L15" s="3005"/>
      <c r="M15" s="3005"/>
      <c r="N15" s="3005"/>
      <c r="O15" s="3005"/>
      <c r="P15" s="3005"/>
    </row>
    <row r="16" spans="1:16">
      <c r="A16" s="3005"/>
      <c r="B16" s="3005"/>
      <c r="C16" s="3005"/>
      <c r="D16" s="3005"/>
      <c r="E16" s="3005"/>
      <c r="F16" s="3005"/>
      <c r="G16" s="3005"/>
      <c r="H16" s="3005"/>
      <c r="I16" s="3005"/>
      <c r="J16" s="3005"/>
      <c r="K16" s="3005"/>
      <c r="L16" s="3005"/>
      <c r="M16" s="3005"/>
      <c r="N16" s="3005"/>
      <c r="O16" s="3005"/>
      <c r="P16" s="3005"/>
    </row>
    <row r="17" spans="1:16">
      <c r="A17" s="3005"/>
      <c r="B17" s="3005"/>
      <c r="C17" s="3005"/>
      <c r="D17" s="3005"/>
      <c r="E17" s="3005"/>
      <c r="F17" s="3005"/>
      <c r="G17" s="3005"/>
      <c r="H17" s="3005"/>
      <c r="I17" s="3005"/>
      <c r="J17" s="3005"/>
      <c r="K17" s="3005"/>
      <c r="L17" s="3005"/>
      <c r="M17" s="3005"/>
      <c r="N17" s="3005"/>
      <c r="O17" s="3005"/>
      <c r="P17" s="3005"/>
    </row>
    <row r="18" spans="1:16">
      <c r="A18" s="3005"/>
      <c r="B18" s="3005"/>
      <c r="C18" s="3005"/>
      <c r="D18" s="3005"/>
      <c r="E18" s="3005"/>
      <c r="F18" s="3005"/>
      <c r="G18" s="3005"/>
      <c r="H18" s="3005"/>
      <c r="I18" s="3005"/>
      <c r="J18" s="3005"/>
      <c r="K18" s="3005"/>
      <c r="L18" s="3005"/>
      <c r="M18" s="3005"/>
      <c r="N18" s="3005"/>
      <c r="O18" s="3005"/>
      <c r="P18" s="3005"/>
    </row>
    <row r="19" spans="1:16">
      <c r="A19" s="3005"/>
      <c r="B19" s="3005"/>
      <c r="C19" s="3005"/>
      <c r="D19" s="3005"/>
      <c r="E19" s="3005"/>
      <c r="F19" s="3005"/>
      <c r="G19" s="3005"/>
      <c r="H19" s="3005"/>
      <c r="I19" s="3005"/>
      <c r="J19" s="3005"/>
      <c r="K19" s="3005"/>
      <c r="L19" s="3005"/>
      <c r="M19" s="3005"/>
      <c r="N19" s="3005"/>
      <c r="O19" s="3005"/>
      <c r="P19" s="3005"/>
    </row>
    <row r="20" spans="1:16">
      <c r="A20" s="3005"/>
      <c r="B20" s="3005"/>
      <c r="C20" s="3005"/>
      <c r="D20" s="3005"/>
      <c r="E20" s="3005"/>
      <c r="F20" s="3005"/>
      <c r="G20" s="3005"/>
      <c r="H20" s="3005"/>
      <c r="I20" s="3005"/>
      <c r="J20" s="3005"/>
      <c r="K20" s="3005"/>
      <c r="L20" s="3005"/>
      <c r="M20" s="3005"/>
      <c r="N20" s="3005"/>
      <c r="O20" s="3005"/>
      <c r="P20" s="3005"/>
    </row>
    <row r="21" spans="1:16">
      <c r="A21" s="3005"/>
      <c r="B21" s="3005"/>
      <c r="C21" s="3005"/>
      <c r="D21" s="3005"/>
      <c r="E21" s="3005"/>
      <c r="F21" s="3005"/>
      <c r="G21" s="3005"/>
      <c r="H21" s="3005"/>
      <c r="I21" s="3005"/>
      <c r="J21" s="3005"/>
      <c r="K21" s="3005"/>
      <c r="L21" s="3005"/>
      <c r="M21" s="3005"/>
      <c r="N21" s="3005"/>
      <c r="O21" s="3005"/>
      <c r="P21" s="300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topLeftCell="K1" zoomScale="90" zoomScaleNormal="90" workbookViewId="0">
      <pane ySplit="24" topLeftCell="A25" activePane="bottomLeft" state="frozen"/>
      <selection activeCell="K65" sqref="K65"/>
      <selection pane="bottomLeft" activeCell="X23" sqref="X23"/>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1"/>
      <c r="B1" s="1111" t="s">
        <v>2824</v>
      </c>
      <c r="C1" s="3420" t="s">
        <v>2825</v>
      </c>
      <c r="D1" s="3421"/>
      <c r="E1" s="3421"/>
      <c r="F1" s="3421"/>
      <c r="G1" s="3421"/>
      <c r="H1" s="3421"/>
      <c r="I1" s="3421"/>
      <c r="J1" s="3421"/>
      <c r="K1" s="3421"/>
      <c r="L1" s="3421"/>
      <c r="M1" s="3421"/>
      <c r="N1" s="3421"/>
      <c r="O1" s="3421"/>
      <c r="P1" s="3421"/>
      <c r="Q1" s="3421"/>
      <c r="R1" s="3421"/>
      <c r="S1" s="3422"/>
      <c r="T1" s="1111" t="s">
        <v>2826</v>
      </c>
    </row>
    <row r="2" spans="1:45" s="662" customFormat="1" ht="25.5">
      <c r="A2" s="1112"/>
      <c r="B2" s="658" t="s">
        <v>2827</v>
      </c>
      <c r="C2" s="659" t="str">
        <f t="shared" ref="C2:L2" si="0">C3&amp;"(含)"&amp;"-"&amp;D3</f>
        <v>0(含)-200</v>
      </c>
      <c r="D2" s="660" t="str">
        <f t="shared" si="0"/>
        <v>200(含)-300</v>
      </c>
      <c r="E2" s="660" t="str">
        <f t="shared" si="0"/>
        <v>300(含)-500</v>
      </c>
      <c r="F2" s="660" t="str">
        <f t="shared" si="0"/>
        <v>500(含)-800</v>
      </c>
      <c r="G2" s="660" t="str">
        <f t="shared" si="0"/>
        <v>800(含)-1000</v>
      </c>
      <c r="H2" s="660" t="str">
        <f t="shared" si="0"/>
        <v>1000(含)-2000</v>
      </c>
      <c r="I2" s="660" t="str">
        <f t="shared" si="0"/>
        <v>2000(含)-3000</v>
      </c>
      <c r="J2" s="660" t="str">
        <f t="shared" si="0"/>
        <v>3000(含)-5000</v>
      </c>
      <c r="K2" s="660" t="str">
        <f t="shared" si="0"/>
        <v>5000(含)-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v>0</v>
      </c>
      <c r="D3" s="664">
        <v>200</v>
      </c>
      <c r="E3" s="664">
        <v>300</v>
      </c>
      <c r="F3" s="664">
        <v>500</v>
      </c>
      <c r="G3" s="664">
        <v>800</v>
      </c>
      <c r="H3" s="664">
        <v>1000</v>
      </c>
      <c r="I3" s="664">
        <v>2000</v>
      </c>
      <c r="J3" s="664">
        <v>3000</v>
      </c>
      <c r="K3" s="664">
        <f>'比较法-办公'!K104</f>
        <v>5000</v>
      </c>
      <c r="L3" s="664"/>
      <c r="M3" s="1469"/>
      <c r="N3" s="1469"/>
      <c r="O3" s="1468"/>
      <c r="P3" s="1468"/>
      <c r="Q3" s="1468"/>
      <c r="R3" s="1468"/>
      <c r="S3" s="1470"/>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'比较法-办公'!C105</f>
        <v>98</v>
      </c>
      <c r="D4" s="664">
        <f>'比较法-办公'!D105</f>
        <v>99</v>
      </c>
      <c r="E4" s="664">
        <f>'比较法-办公'!E105</f>
        <v>100</v>
      </c>
      <c r="F4" s="664">
        <f>'比较法-办公'!F105</f>
        <v>99</v>
      </c>
      <c r="G4" s="664">
        <f>'比较法-办公'!G105</f>
        <v>98</v>
      </c>
      <c r="H4" s="664">
        <f>'比较法-办公'!H105</f>
        <v>97</v>
      </c>
      <c r="I4" s="664">
        <f>'比较法-办公'!I105</f>
        <v>96</v>
      </c>
      <c r="J4" s="664">
        <f>'比较法-办公'!J105</f>
        <v>95</v>
      </c>
      <c r="K4" s="664">
        <f>'比较法-办公'!K105</f>
        <v>94</v>
      </c>
      <c r="L4" s="664"/>
      <c r="M4" s="1472"/>
      <c r="N4" s="1472"/>
      <c r="O4" s="1471"/>
      <c r="P4" s="1471"/>
      <c r="Q4" s="1471"/>
      <c r="R4" s="1471"/>
      <c r="S4" s="1473"/>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0"/>
      <c r="C5" s="3051"/>
      <c r="D5" s="3052"/>
      <c r="E5" s="3052"/>
      <c r="F5" s="1474"/>
      <c r="G5" s="1474"/>
      <c r="H5" s="1474"/>
      <c r="I5" s="1474"/>
      <c r="J5" s="1474"/>
      <c r="K5" s="1474"/>
      <c r="L5" s="1475"/>
      <c r="M5" s="1476"/>
      <c r="N5" s="1476"/>
      <c r="O5" s="1474"/>
      <c r="P5" s="1474"/>
      <c r="Q5" s="1474"/>
      <c r="R5" s="1474"/>
      <c r="S5" s="1477"/>
      <c r="T5" s="3055">
        <f>'比较法-办公'!K27</f>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97</v>
      </c>
      <c r="E6" s="1031">
        <f t="shared" ref="E6:S6" si="7">D6-$T5</f>
        <v>94</v>
      </c>
      <c r="F6" s="1478">
        <f t="shared" si="7"/>
        <v>91</v>
      </c>
      <c r="G6" s="1478">
        <f t="shared" si="7"/>
        <v>88</v>
      </c>
      <c r="H6" s="1478">
        <f t="shared" si="7"/>
        <v>85</v>
      </c>
      <c r="I6" s="1478">
        <f t="shared" si="7"/>
        <v>82</v>
      </c>
      <c r="J6" s="1478">
        <f t="shared" si="7"/>
        <v>79</v>
      </c>
      <c r="K6" s="1478">
        <f t="shared" si="7"/>
        <v>76</v>
      </c>
      <c r="L6" s="1478">
        <f t="shared" si="7"/>
        <v>73</v>
      </c>
      <c r="M6" s="1478">
        <f t="shared" si="7"/>
        <v>70</v>
      </c>
      <c r="N6" s="1478">
        <f t="shared" si="7"/>
        <v>67</v>
      </c>
      <c r="O6" s="1478">
        <f t="shared" si="7"/>
        <v>64</v>
      </c>
      <c r="P6" s="1478">
        <f t="shared" si="7"/>
        <v>61</v>
      </c>
      <c r="Q6" s="1478">
        <f t="shared" si="7"/>
        <v>58</v>
      </c>
      <c r="R6" s="1478">
        <f t="shared" si="7"/>
        <v>55</v>
      </c>
      <c r="S6" s="1478">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064"/>
      <c r="C7" s="3054"/>
      <c r="D7" s="3065"/>
      <c r="E7" s="3054"/>
      <c r="F7" s="3054"/>
      <c r="G7" s="1479"/>
      <c r="H7" s="1479"/>
      <c r="I7" s="1479"/>
      <c r="J7" s="1479"/>
      <c r="K7" s="1479"/>
      <c r="L7" s="1479"/>
      <c r="M7" s="1480"/>
      <c r="N7" s="1481"/>
      <c r="O7" s="1482"/>
      <c r="P7" s="1483"/>
      <c r="Q7" s="1484"/>
      <c r="R7" s="1485"/>
      <c r="S7" s="1486"/>
      <c r="T7" s="667">
        <f>'比较法-办公'!K28</f>
        <v>5</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95</v>
      </c>
      <c r="E8" s="1031">
        <f t="shared" ref="E8:S8" si="8">D8-$T7</f>
        <v>90</v>
      </c>
      <c r="F8" s="1478">
        <f t="shared" si="8"/>
        <v>85</v>
      </c>
      <c r="G8" s="1478">
        <f t="shared" si="8"/>
        <v>80</v>
      </c>
      <c r="H8" s="1478">
        <f t="shared" si="8"/>
        <v>75</v>
      </c>
      <c r="I8" s="1478">
        <f t="shared" si="8"/>
        <v>70</v>
      </c>
      <c r="J8" s="1478">
        <f t="shared" si="8"/>
        <v>65</v>
      </c>
      <c r="K8" s="1478">
        <f t="shared" si="8"/>
        <v>60</v>
      </c>
      <c r="L8" s="1478">
        <f t="shared" si="8"/>
        <v>55</v>
      </c>
      <c r="M8" s="1478">
        <f t="shared" si="8"/>
        <v>50</v>
      </c>
      <c r="N8" s="1478">
        <f t="shared" si="8"/>
        <v>45</v>
      </c>
      <c r="O8" s="1478">
        <f t="shared" si="8"/>
        <v>40</v>
      </c>
      <c r="P8" s="1478">
        <f t="shared" si="8"/>
        <v>35</v>
      </c>
      <c r="Q8" s="1478">
        <f t="shared" si="8"/>
        <v>30</v>
      </c>
      <c r="R8" s="1478">
        <f t="shared" si="8"/>
        <v>25</v>
      </c>
      <c r="S8" s="1478">
        <f t="shared" si="8"/>
        <v>20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2"/>
      <c r="B9" s="3064"/>
      <c r="C9" s="3054"/>
      <c r="D9" s="3065"/>
      <c r="E9" s="1027"/>
      <c r="F9" s="1479"/>
      <c r="G9" s="1479"/>
      <c r="H9" s="1479"/>
      <c r="I9" s="1479"/>
      <c r="J9" s="1479"/>
      <c r="K9" s="1479"/>
      <c r="L9" s="1487"/>
      <c r="M9" s="1480"/>
      <c r="N9" s="1481"/>
      <c r="O9" s="1482"/>
      <c r="P9" s="1483"/>
      <c r="Q9" s="1484"/>
      <c r="R9" s="1485"/>
      <c r="S9" s="1486"/>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100</v>
      </c>
      <c r="E10" s="1128">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0"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0"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0"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4" t="s">
        <v>2831</v>
      </c>
      <c r="B17" s="2355" t="s">
        <v>2832</v>
      </c>
      <c r="C17" s="3091" t="s">
        <v>3206</v>
      </c>
      <c r="D17" s="3092" t="s">
        <v>3207</v>
      </c>
      <c r="E17" s="3092" t="s">
        <v>3208</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3"/>
      <c r="AS17" s="733"/>
    </row>
    <row r="18" spans="1:45" s="662" customFormat="1" ht="13.5" thickBot="1">
      <c r="A18" s="1147"/>
      <c r="B18" s="1148"/>
      <c r="C18" s="3093">
        <v>100</v>
      </c>
      <c r="D18" s="3094">
        <v>60</v>
      </c>
      <c r="E18" s="3094">
        <v>50</v>
      </c>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3"/>
      <c r="AS18" s="733"/>
    </row>
    <row r="19" spans="1:45">
      <c r="A19" s="134"/>
      <c r="B19" s="164"/>
      <c r="C19" s="164"/>
      <c r="D19" s="2356" t="s">
        <v>2833</v>
      </c>
      <c r="E19" s="1517"/>
      <c r="F19" s="1517"/>
      <c r="G19" s="1517"/>
      <c r="H19" s="1185"/>
      <c r="I19" s="164"/>
      <c r="J19" s="164"/>
      <c r="K19" s="164"/>
      <c r="L19" s="164"/>
      <c r="M19" s="164"/>
      <c r="N19" s="164"/>
      <c r="O19" s="164"/>
      <c r="P19" s="164"/>
      <c r="Q19" s="164"/>
      <c r="R19" s="725"/>
      <c r="S19" s="134"/>
    </row>
    <row r="20" spans="1:45" ht="16.5" thickBot="1">
      <c r="A20" s="669" t="s">
        <v>2834</v>
      </c>
      <c r="B20" s="300">
        <f ca="1">IF(D20="——",S22,S22-F20)</f>
        <v>12673</v>
      </c>
      <c r="C20" s="164"/>
      <c r="D20" s="2357" t="s">
        <v>70</v>
      </c>
      <c r="E20" s="1518"/>
      <c r="F20" s="1111" t="e">
        <f ca="1">SUMIF(INDIRECT("'"&amp;H20&amp;"'"&amp;"!A:A"),"承租人权益价值",INDIRECT("'"&amp;H20&amp;"'"&amp;"!c:c"))</f>
        <v>#REF!</v>
      </c>
      <c r="G20" s="1111" t="s">
        <v>2835</v>
      </c>
      <c r="H20" s="2358"/>
      <c r="I20" s="164"/>
      <c r="J20" s="164"/>
      <c r="K20" s="164"/>
      <c r="L20" s="164"/>
      <c r="M20" s="164"/>
      <c r="N20" s="164"/>
      <c r="O20" s="164"/>
      <c r="P20" s="164"/>
      <c r="Q20" s="164"/>
      <c r="R20" s="725"/>
      <c r="S20" s="134"/>
    </row>
    <row r="21" spans="1:45" ht="15.75">
      <c r="A21" s="669" t="s">
        <v>2836</v>
      </c>
      <c r="B21" s="300">
        <f ca="1">ROUND(B20*10000/B22,0)</f>
        <v>20595</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6153.5</v>
      </c>
      <c r="C22" s="3417" t="s">
        <v>33</v>
      </c>
      <c r="D22" s="3418"/>
      <c r="E22" s="3418"/>
      <c r="F22" s="3418"/>
      <c r="G22" s="3418"/>
      <c r="H22" s="3418"/>
      <c r="I22" s="3418"/>
      <c r="J22" s="3418"/>
      <c r="K22" s="3418"/>
      <c r="L22" s="3418"/>
      <c r="M22" s="3418"/>
      <c r="N22" s="3418"/>
      <c r="O22" s="3418"/>
      <c r="P22" s="3418"/>
      <c r="Q22" s="3419"/>
      <c r="R22" s="670">
        <f ca="1">ROUND(S22*10000/B22,0)</f>
        <v>20595</v>
      </c>
      <c r="S22" s="24">
        <f ca="1">SUM(S24:S10000)</f>
        <v>12673</v>
      </c>
    </row>
    <row r="23" spans="1:45" s="12" customFormat="1" ht="24">
      <c r="A23" s="11" t="s">
        <v>2838</v>
      </c>
      <c r="B23" s="11" t="s">
        <v>2839</v>
      </c>
      <c r="C23" s="11" t="s">
        <v>2840</v>
      </c>
      <c r="D23" s="11">
        <f>B5</f>
        <v>0</v>
      </c>
      <c r="E23" s="11" t="s">
        <v>2840</v>
      </c>
      <c r="F23" s="11">
        <f>B7</f>
        <v>0</v>
      </c>
      <c r="G23" s="11" t="s">
        <v>2840</v>
      </c>
      <c r="H23" s="11">
        <f>B9</f>
        <v>0</v>
      </c>
      <c r="I23" s="11" t="s">
        <v>2840</v>
      </c>
      <c r="J23" s="11" t="str">
        <f>B11</f>
        <v>修正项5</v>
      </c>
      <c r="K23" s="11" t="s">
        <v>2840</v>
      </c>
      <c r="L23" s="11" t="str">
        <f>B13</f>
        <v>修正项6</v>
      </c>
      <c r="M23" s="11" t="s">
        <v>2840</v>
      </c>
      <c r="N23" s="11" t="str">
        <f>B15</f>
        <v>修正项7</v>
      </c>
      <c r="O23" s="11" t="s">
        <v>2840</v>
      </c>
      <c r="P23" s="11" t="str">
        <f>B17</f>
        <v>楼层</v>
      </c>
      <c r="Q23" s="11" t="s">
        <v>2840</v>
      </c>
      <c r="R23" s="671" t="s">
        <v>2841</v>
      </c>
      <c r="S23" s="11" t="s">
        <v>2842</v>
      </c>
      <c r="T23" s="3049" t="s">
        <v>3152</v>
      </c>
      <c r="U23" s="3049" t="s">
        <v>3098</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tr">
        <f>'数据-基础表'!C13</f>
        <v>1层</v>
      </c>
      <c r="B24" s="3067">
        <f>'数据-基础表'!K13</f>
        <v>1954.06</v>
      </c>
      <c r="C24" s="3022">
        <v>1</v>
      </c>
      <c r="D24" s="3023"/>
      <c r="E24" s="3022">
        <v>1</v>
      </c>
      <c r="F24" s="3066"/>
      <c r="G24" s="3022">
        <v>1</v>
      </c>
      <c r="H24" s="3023"/>
      <c r="I24" s="3022">
        <v>1</v>
      </c>
      <c r="J24" s="3023"/>
      <c r="K24" s="3022">
        <v>1</v>
      </c>
      <c r="L24" s="3023"/>
      <c r="M24" s="3022">
        <v>1</v>
      </c>
      <c r="N24" s="3023"/>
      <c r="O24" s="3022">
        <v>1</v>
      </c>
      <c r="P24" s="3023" t="s">
        <v>3179</v>
      </c>
      <c r="Q24" s="3022">
        <v>1</v>
      </c>
      <c r="R24" s="675">
        <f ca="1">结果表!G20</f>
        <v>29622</v>
      </c>
      <c r="S24" s="673">
        <f t="shared" ref="S24:S54" ca="1" si="11">ROUND(R24*B24/10000,0)</f>
        <v>5788</v>
      </c>
      <c r="T24" s="737"/>
      <c r="U24" s="737" t="e">
        <f>#REF!</f>
        <v>#REF!</v>
      </c>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t="str">
        <f>'数据-基础表'!C14</f>
        <v>2层</v>
      </c>
      <c r="B25" s="3067">
        <f>'数据-基础表'!K14</f>
        <v>2389.34</v>
      </c>
      <c r="C25" s="24">
        <f>IF(B25="",1,(LOOKUP(B25,$3:$3,$4:$4)-LOOKUP($B$24,$3:$3,$4:$4)+100)/100)</f>
        <v>0.99</v>
      </c>
      <c r="D25" s="3053"/>
      <c r="E25" s="24">
        <f>(SUMIF($5:$5,D25,$6:$6)-SUMIF($5:$5,$D$24,$6:$6)+100)/100</f>
        <v>1</v>
      </c>
      <c r="F25" s="3066"/>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3195</v>
      </c>
      <c r="Q25" s="24">
        <f>(SUMIF($17:$17,P25,$18:$18)-SUMIF($17:$17,$P$24,$18:$18)+100)/100</f>
        <v>0.6</v>
      </c>
      <c r="R25" s="670">
        <f ca="1">IF(B25="",0,ROUND($R$24*C25*E25*G25*I25*K25*M25*O25*Q25,0))</f>
        <v>17595</v>
      </c>
      <c r="S25" s="322">
        <f t="shared" ca="1" si="11"/>
        <v>4204</v>
      </c>
      <c r="U25" s="737" t="e">
        <f>#REF!</f>
        <v>#REF!</v>
      </c>
      <c r="Y25" s="737"/>
    </row>
    <row r="26" spans="1:45">
      <c r="A26" s="672" t="str">
        <f>'数据-基础表'!C15</f>
        <v>3层</v>
      </c>
      <c r="B26" s="3067">
        <f>'数据-基础表'!K15</f>
        <v>1810.1</v>
      </c>
      <c r="C26" s="24">
        <f t="shared" ref="C26:C89" si="12">IF(B26="",1,(LOOKUP(B26,$3:$3,$4:$4)-LOOKUP($B$24,$3:$3,$4:$4)+100)/100)</f>
        <v>1</v>
      </c>
      <c r="D26" s="3053"/>
      <c r="E26" s="24">
        <f t="shared" ref="E26:E89" si="13">(SUMIF($5:$5,D26,$6:$6)-SUMIF($5:$5,$D$24,$6:$6)+100)/100</f>
        <v>1</v>
      </c>
      <c r="F26" s="3066"/>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3209</v>
      </c>
      <c r="Q26" s="24">
        <f t="shared" ref="Q26:Q89" si="19">(SUMIF($17:$17,P26,$18:$18)-SUMIF($17:$17,$P$24,$18:$18)+100)/100</f>
        <v>0.5</v>
      </c>
      <c r="R26" s="670">
        <f t="shared" ref="R26:R89" ca="1" si="20">IF(B26="",0,ROUND($R$24*C26*E26*G26*I26*K26*M26*O26*Q26,0))</f>
        <v>14811</v>
      </c>
      <c r="S26" s="322">
        <f t="shared" ca="1" si="11"/>
        <v>2681</v>
      </c>
      <c r="U26" s="737" t="e">
        <f>#REF!</f>
        <v>#REF!</v>
      </c>
    </row>
    <row r="27" spans="1:45">
      <c r="A27" s="672"/>
      <c r="B27" s="3067"/>
      <c r="C27" s="24">
        <f t="shared" si="12"/>
        <v>1</v>
      </c>
      <c r="D27" s="3053"/>
      <c r="E27" s="24">
        <f t="shared" si="13"/>
        <v>1</v>
      </c>
      <c r="F27" s="3066"/>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2">
        <f t="shared" si="11"/>
        <v>0</v>
      </c>
      <c r="U27" s="737" t="e">
        <f>#REF!</f>
        <v>#REF!</v>
      </c>
    </row>
    <row r="28" spans="1:45">
      <c r="A28" s="672"/>
      <c r="B28" s="3067"/>
      <c r="C28" s="24">
        <f t="shared" si="12"/>
        <v>1</v>
      </c>
      <c r="D28" s="3053"/>
      <c r="E28" s="24">
        <f t="shared" si="13"/>
        <v>1</v>
      </c>
      <c r="F28" s="3066"/>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2">
        <f t="shared" si="11"/>
        <v>0</v>
      </c>
      <c r="U28" s="737" t="e">
        <f>#REF!</f>
        <v>#REF!</v>
      </c>
    </row>
    <row r="29" spans="1:45">
      <c r="A29" s="672"/>
      <c r="B29" s="3067"/>
      <c r="C29" s="24">
        <f t="shared" si="12"/>
        <v>1</v>
      </c>
      <c r="D29" s="3053"/>
      <c r="E29" s="24">
        <f t="shared" si="13"/>
        <v>1</v>
      </c>
      <c r="F29" s="3066"/>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2">
        <f t="shared" si="11"/>
        <v>0</v>
      </c>
      <c r="U29" s="737" t="e">
        <f>#REF!</f>
        <v>#REF!</v>
      </c>
    </row>
    <row r="30" spans="1:45">
      <c r="A30" s="672"/>
      <c r="B30" s="3067"/>
      <c r="C30" s="24">
        <f t="shared" si="12"/>
        <v>1</v>
      </c>
      <c r="D30" s="3053"/>
      <c r="E30" s="24">
        <f t="shared" si="13"/>
        <v>1</v>
      </c>
      <c r="F30" s="3066"/>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2">
        <f t="shared" si="11"/>
        <v>0</v>
      </c>
      <c r="U30" s="737" t="e">
        <f>#REF!</f>
        <v>#REF!</v>
      </c>
    </row>
    <row r="31" spans="1:45">
      <c r="A31" s="672"/>
      <c r="B31" s="3067"/>
      <c r="C31" s="24">
        <f t="shared" si="12"/>
        <v>1</v>
      </c>
      <c r="D31" s="3053"/>
      <c r="E31" s="24">
        <f t="shared" si="13"/>
        <v>1</v>
      </c>
      <c r="F31" s="3066"/>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2">
        <f t="shared" si="11"/>
        <v>0</v>
      </c>
      <c r="U31" s="737" t="e">
        <f>#REF!</f>
        <v>#REF!</v>
      </c>
    </row>
    <row r="32" spans="1:45">
      <c r="A32" s="672"/>
      <c r="B32" s="3067"/>
      <c r="C32" s="24">
        <f t="shared" si="12"/>
        <v>1</v>
      </c>
      <c r="D32" s="3053"/>
      <c r="E32" s="24">
        <f t="shared" si="13"/>
        <v>1</v>
      </c>
      <c r="F32" s="3066"/>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2">
        <f t="shared" si="11"/>
        <v>0</v>
      </c>
      <c r="U32" s="737" t="e">
        <f>#REF!</f>
        <v>#REF!</v>
      </c>
    </row>
    <row r="33" spans="1:21">
      <c r="A33" s="672"/>
      <c r="B33" s="3067"/>
      <c r="C33" s="24">
        <f t="shared" si="12"/>
        <v>1</v>
      </c>
      <c r="D33" s="3053"/>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2">
        <f t="shared" si="11"/>
        <v>0</v>
      </c>
      <c r="U33" s="737" t="e">
        <f>#REF!</f>
        <v>#REF!</v>
      </c>
    </row>
    <row r="34" spans="1:21">
      <c r="A34" s="672"/>
      <c r="B34" s="3067"/>
      <c r="C34" s="24">
        <f t="shared" si="12"/>
        <v>1</v>
      </c>
      <c r="D34" s="3053"/>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2">
        <f t="shared" si="11"/>
        <v>0</v>
      </c>
      <c r="U34" s="737" t="e">
        <f>#REF!</f>
        <v>#REF!</v>
      </c>
    </row>
    <row r="35" spans="1:21">
      <c r="A35" s="672"/>
      <c r="B35" s="3067"/>
      <c r="C35" s="24">
        <f t="shared" si="12"/>
        <v>1</v>
      </c>
      <c r="D35" s="3053"/>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2">
        <f t="shared" si="11"/>
        <v>0</v>
      </c>
      <c r="U35" s="737" t="e">
        <f>#REF!</f>
        <v>#REF!</v>
      </c>
    </row>
    <row r="36" spans="1:21">
      <c r="A36" s="672"/>
      <c r="B36" s="3067"/>
      <c r="C36" s="24">
        <f t="shared" si="12"/>
        <v>1</v>
      </c>
      <c r="D36" s="3053"/>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2">
        <f t="shared" si="11"/>
        <v>0</v>
      </c>
      <c r="U36" s="737" t="e">
        <f>#REF!</f>
        <v>#REF!</v>
      </c>
    </row>
    <row r="37" spans="1:21">
      <c r="A37" s="672"/>
      <c r="B37" s="3067"/>
      <c r="C37" s="24">
        <f t="shared" si="12"/>
        <v>1</v>
      </c>
      <c r="D37" s="3053"/>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2">
        <f t="shared" si="11"/>
        <v>0</v>
      </c>
      <c r="U37" s="737" t="e">
        <f>#REF!</f>
        <v>#REF!</v>
      </c>
    </row>
    <row r="38" spans="1:21">
      <c r="A38" s="672"/>
      <c r="B38" s="3067"/>
      <c r="C38" s="24">
        <f t="shared" si="12"/>
        <v>1</v>
      </c>
      <c r="D38" s="3053"/>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2">
        <f t="shared" si="11"/>
        <v>0</v>
      </c>
      <c r="U38" s="737" t="e">
        <f>#REF!</f>
        <v>#REF!</v>
      </c>
    </row>
    <row r="39" spans="1:21">
      <c r="A39" s="672"/>
      <c r="B39" s="3067"/>
      <c r="C39" s="24">
        <f t="shared" si="12"/>
        <v>1</v>
      </c>
      <c r="D39" s="3053"/>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2">
        <f t="shared" si="11"/>
        <v>0</v>
      </c>
      <c r="U39" s="737" t="e">
        <f>#REF!</f>
        <v>#REF!</v>
      </c>
    </row>
    <row r="40" spans="1:21">
      <c r="A40" s="672"/>
      <c r="B40" s="3067"/>
      <c r="C40" s="24">
        <f t="shared" si="12"/>
        <v>1</v>
      </c>
      <c r="D40" s="3053"/>
      <c r="E40" s="24">
        <f t="shared" si="13"/>
        <v>1</v>
      </c>
      <c r="F40" s="3066"/>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2">
        <f t="shared" si="11"/>
        <v>0</v>
      </c>
      <c r="U40" s="737" t="e">
        <f>#REF!</f>
        <v>#REF!</v>
      </c>
    </row>
    <row r="41" spans="1:21">
      <c r="A41" s="672"/>
      <c r="B41" s="3067"/>
      <c r="C41" s="24">
        <f t="shared" si="12"/>
        <v>1</v>
      </c>
      <c r="D41" s="3053"/>
      <c r="E41" s="24">
        <f t="shared" si="13"/>
        <v>1</v>
      </c>
      <c r="F41" s="3066"/>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2">
        <f t="shared" si="11"/>
        <v>0</v>
      </c>
      <c r="U41" s="737" t="e">
        <f>#REF!</f>
        <v>#REF!</v>
      </c>
    </row>
    <row r="42" spans="1:21">
      <c r="A42" s="672"/>
      <c r="B42" s="3067"/>
      <c r="C42" s="24">
        <f t="shared" si="12"/>
        <v>1</v>
      </c>
      <c r="D42" s="674"/>
      <c r="E42" s="24">
        <f t="shared" si="13"/>
        <v>1</v>
      </c>
      <c r="F42" s="3066"/>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2">
        <f t="shared" si="11"/>
        <v>0</v>
      </c>
      <c r="U42" s="737" t="e">
        <f>#REF!</f>
        <v>#REF!</v>
      </c>
    </row>
    <row r="43" spans="1:21">
      <c r="A43" s="672"/>
      <c r="B43" s="3067"/>
      <c r="C43" s="24">
        <f t="shared" si="12"/>
        <v>1</v>
      </c>
      <c r="D43" s="674"/>
      <c r="E43" s="24">
        <f t="shared" si="13"/>
        <v>1</v>
      </c>
      <c r="F43" s="3066"/>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2">
        <f t="shared" si="11"/>
        <v>0</v>
      </c>
      <c r="U43" s="737" t="e">
        <f>#REF!</f>
        <v>#REF!</v>
      </c>
    </row>
    <row r="44" spans="1:21">
      <c r="A44" s="672"/>
      <c r="B44" s="3067"/>
      <c r="C44" s="24">
        <f t="shared" si="12"/>
        <v>1</v>
      </c>
      <c r="D44" s="674"/>
      <c r="E44" s="24">
        <f t="shared" si="13"/>
        <v>1</v>
      </c>
      <c r="F44" s="3066"/>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2">
        <f t="shared" si="11"/>
        <v>0</v>
      </c>
      <c r="U44" s="737" t="e">
        <f>#REF!</f>
        <v>#REF!</v>
      </c>
    </row>
    <row r="45" spans="1:21">
      <c r="A45" s="672"/>
      <c r="B45" s="3067"/>
      <c r="C45" s="24">
        <f t="shared" si="12"/>
        <v>1</v>
      </c>
      <c r="D45" s="674"/>
      <c r="E45" s="24">
        <f t="shared" si="13"/>
        <v>1</v>
      </c>
      <c r="F45" s="3066"/>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2">
        <f t="shared" si="11"/>
        <v>0</v>
      </c>
      <c r="U45" s="737" t="e">
        <f>#REF!</f>
        <v>#REF!</v>
      </c>
    </row>
    <row r="46" spans="1:21">
      <c r="A46" s="672"/>
      <c r="B46" s="3067"/>
      <c r="C46" s="24">
        <f t="shared" si="12"/>
        <v>1</v>
      </c>
      <c r="D46" s="674"/>
      <c r="E46" s="24">
        <f t="shared" si="13"/>
        <v>1</v>
      </c>
      <c r="F46" s="3066"/>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2">
        <f t="shared" si="11"/>
        <v>0</v>
      </c>
      <c r="U46" s="737" t="e">
        <f>#REF!</f>
        <v>#REF!</v>
      </c>
    </row>
    <row r="47" spans="1:21">
      <c r="A47" s="672"/>
      <c r="B47" s="3067"/>
      <c r="C47" s="24">
        <f t="shared" si="12"/>
        <v>1</v>
      </c>
      <c r="D47" s="3053"/>
      <c r="E47" s="24">
        <f t="shared" si="13"/>
        <v>1</v>
      </c>
      <c r="F47" s="3066"/>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2">
        <f t="shared" si="11"/>
        <v>0</v>
      </c>
      <c r="U47" s="737" t="e">
        <f>#REF!</f>
        <v>#REF!</v>
      </c>
    </row>
    <row r="48" spans="1:21">
      <c r="A48" s="672"/>
      <c r="B48" s="3067"/>
      <c r="C48" s="24">
        <f t="shared" si="12"/>
        <v>1</v>
      </c>
      <c r="D48" s="3053"/>
      <c r="E48" s="24">
        <f t="shared" si="13"/>
        <v>1</v>
      </c>
      <c r="F48" s="3066"/>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2">
        <f t="shared" si="11"/>
        <v>0</v>
      </c>
      <c r="U48" s="737" t="e">
        <f>#REF!</f>
        <v>#REF!</v>
      </c>
    </row>
    <row r="49" spans="1:21">
      <c r="A49" s="672"/>
      <c r="B49" s="3067"/>
      <c r="C49" s="24">
        <f t="shared" si="12"/>
        <v>1</v>
      </c>
      <c r="D49" s="3053"/>
      <c r="E49" s="24">
        <f t="shared" si="13"/>
        <v>1</v>
      </c>
      <c r="F49" s="3066"/>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2">
        <f t="shared" si="11"/>
        <v>0</v>
      </c>
      <c r="U49" s="737" t="e">
        <f>#REF!</f>
        <v>#REF!</v>
      </c>
    </row>
    <row r="50" spans="1:21">
      <c r="A50" s="672"/>
      <c r="B50" s="3067"/>
      <c r="C50" s="24">
        <f t="shared" si="12"/>
        <v>1</v>
      </c>
      <c r="D50" s="3053"/>
      <c r="E50" s="24">
        <f t="shared" si="13"/>
        <v>1</v>
      </c>
      <c r="F50" s="3066"/>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2">
        <f t="shared" si="11"/>
        <v>0</v>
      </c>
      <c r="U50" s="737" t="e">
        <f>#REF!</f>
        <v>#REF!</v>
      </c>
    </row>
    <row r="51" spans="1:21">
      <c r="A51" s="672"/>
      <c r="B51" s="3067"/>
      <c r="C51" s="24">
        <f t="shared" si="12"/>
        <v>1</v>
      </c>
      <c r="D51" s="3053"/>
      <c r="E51" s="24">
        <f t="shared" si="13"/>
        <v>1</v>
      </c>
      <c r="F51" s="3066"/>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2">
        <f t="shared" si="11"/>
        <v>0</v>
      </c>
      <c r="U51" s="737" t="e">
        <f>#REF!</f>
        <v>#REF!</v>
      </c>
    </row>
    <row r="52" spans="1:21">
      <c r="A52" s="672"/>
      <c r="B52" s="3067"/>
      <c r="C52" s="24">
        <f t="shared" si="12"/>
        <v>1</v>
      </c>
      <c r="D52" s="3053"/>
      <c r="E52" s="24">
        <f t="shared" si="13"/>
        <v>1</v>
      </c>
      <c r="F52" s="3066"/>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2">
        <f t="shared" si="11"/>
        <v>0</v>
      </c>
      <c r="U52" s="737" t="e">
        <f>#REF!</f>
        <v>#REF!</v>
      </c>
    </row>
    <row r="53" spans="1:21">
      <c r="A53" s="672"/>
      <c r="B53" s="3067"/>
      <c r="C53" s="24">
        <f t="shared" si="12"/>
        <v>1</v>
      </c>
      <c r="D53" s="3053"/>
      <c r="E53" s="24">
        <f t="shared" si="13"/>
        <v>1</v>
      </c>
      <c r="F53" s="3066"/>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2">
        <f t="shared" si="11"/>
        <v>0</v>
      </c>
      <c r="U53" s="737" t="e">
        <f>#REF!</f>
        <v>#REF!</v>
      </c>
    </row>
    <row r="54" spans="1:21">
      <c r="A54" s="672"/>
      <c r="B54" s="3067"/>
      <c r="C54" s="24">
        <f t="shared" si="12"/>
        <v>1</v>
      </c>
      <c r="D54" s="3053"/>
      <c r="E54" s="24">
        <f t="shared" si="13"/>
        <v>1</v>
      </c>
      <c r="F54" s="3066"/>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2">
        <f t="shared" si="11"/>
        <v>0</v>
      </c>
      <c r="U54" s="737" t="e">
        <f>#REF!</f>
        <v>#REF!</v>
      </c>
    </row>
    <row r="55" spans="1:21">
      <c r="A55" s="672"/>
      <c r="B55" s="3067"/>
      <c r="C55" s="24">
        <f t="shared" si="12"/>
        <v>1</v>
      </c>
      <c r="D55" s="674"/>
      <c r="E55" s="24">
        <f t="shared" si="13"/>
        <v>1</v>
      </c>
      <c r="F55" s="3066"/>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2">
        <f t="shared" ref="S55:S77" si="21">ROUND(R55*B55/10000,0)</f>
        <v>0</v>
      </c>
      <c r="U55" s="737" t="e">
        <f>#REF!</f>
        <v>#REF!</v>
      </c>
    </row>
    <row r="56" spans="1:21">
      <c r="A56" s="672"/>
      <c r="B56" s="3067"/>
      <c r="C56" s="24">
        <f t="shared" si="12"/>
        <v>1</v>
      </c>
      <c r="D56" s="674"/>
      <c r="E56" s="24">
        <f t="shared" si="13"/>
        <v>1</v>
      </c>
      <c r="F56" s="3066"/>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2">
        <f t="shared" si="21"/>
        <v>0</v>
      </c>
      <c r="U56" s="737" t="e">
        <f>#REF!</f>
        <v>#REF!</v>
      </c>
    </row>
    <row r="57" spans="1:21">
      <c r="A57" s="672"/>
      <c r="B57" s="3067"/>
      <c r="C57" s="24">
        <f t="shared" si="12"/>
        <v>1</v>
      </c>
      <c r="D57" s="674"/>
      <c r="E57" s="24">
        <f t="shared" si="13"/>
        <v>1</v>
      </c>
      <c r="F57" s="3066"/>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2">
        <f t="shared" si="21"/>
        <v>0</v>
      </c>
      <c r="U57" s="737" t="e">
        <f>#REF!</f>
        <v>#REF!</v>
      </c>
    </row>
    <row r="58" spans="1:21">
      <c r="A58" s="672"/>
      <c r="B58" s="3067"/>
      <c r="C58" s="24">
        <f t="shared" si="12"/>
        <v>1</v>
      </c>
      <c r="D58" s="674"/>
      <c r="E58" s="24">
        <f t="shared" si="13"/>
        <v>1</v>
      </c>
      <c r="F58" s="3066"/>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2">
        <f t="shared" si="21"/>
        <v>0</v>
      </c>
      <c r="U58" s="737" t="e">
        <f>#REF!</f>
        <v>#REF!</v>
      </c>
    </row>
    <row r="59" spans="1:21">
      <c r="A59" s="672"/>
      <c r="B59" s="3067"/>
      <c r="C59" s="24">
        <f t="shared" si="12"/>
        <v>1</v>
      </c>
      <c r="D59" s="674"/>
      <c r="E59" s="24">
        <f t="shared" si="13"/>
        <v>1</v>
      </c>
      <c r="F59" s="3066"/>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2">
        <f t="shared" si="21"/>
        <v>0</v>
      </c>
      <c r="U59" s="737" t="e">
        <f>#REF!</f>
        <v>#REF!</v>
      </c>
    </row>
    <row r="60" spans="1:21">
      <c r="A60" s="672"/>
      <c r="B60" s="3067"/>
      <c r="C60" s="24">
        <f t="shared" si="12"/>
        <v>1</v>
      </c>
      <c r="D60" s="674"/>
      <c r="E60" s="24">
        <f t="shared" si="13"/>
        <v>1</v>
      </c>
      <c r="F60" s="3066"/>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2">
        <f t="shared" si="21"/>
        <v>0</v>
      </c>
      <c r="U60" s="737" t="e">
        <f>#REF!</f>
        <v>#REF!</v>
      </c>
    </row>
    <row r="61" spans="1:21">
      <c r="A61" s="672"/>
      <c r="B61" s="3067"/>
      <c r="C61" s="24">
        <f t="shared" si="12"/>
        <v>1</v>
      </c>
      <c r="D61" s="674"/>
      <c r="E61" s="24">
        <f t="shared" si="13"/>
        <v>1</v>
      </c>
      <c r="F61" s="3066"/>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2">
        <f t="shared" si="21"/>
        <v>0</v>
      </c>
      <c r="U61" s="737" t="e">
        <f>#REF!</f>
        <v>#REF!</v>
      </c>
    </row>
    <row r="62" spans="1:21">
      <c r="A62" s="672"/>
      <c r="B62" s="3067"/>
      <c r="C62" s="24">
        <f t="shared" si="12"/>
        <v>1</v>
      </c>
      <c r="D62" s="674"/>
      <c r="E62" s="24">
        <f t="shared" si="13"/>
        <v>1</v>
      </c>
      <c r="F62" s="3066"/>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2">
        <f t="shared" si="21"/>
        <v>0</v>
      </c>
      <c r="U62" s="737" t="e">
        <f>#REF!</f>
        <v>#REF!</v>
      </c>
    </row>
    <row r="63" spans="1:21">
      <c r="A63" s="672"/>
      <c r="B63" s="3067"/>
      <c r="C63" s="24">
        <f t="shared" si="12"/>
        <v>1</v>
      </c>
      <c r="D63" s="674"/>
      <c r="E63" s="24">
        <f t="shared" si="13"/>
        <v>1</v>
      </c>
      <c r="F63" s="3066"/>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2">
        <f t="shared" si="21"/>
        <v>0</v>
      </c>
      <c r="U63" s="737" t="e">
        <f>#REF!</f>
        <v>#REF!</v>
      </c>
    </row>
    <row r="64" spans="1:21">
      <c r="A64" s="672"/>
      <c r="B64" s="3067"/>
      <c r="C64" s="24">
        <f t="shared" si="12"/>
        <v>1</v>
      </c>
      <c r="D64" s="674"/>
      <c r="E64" s="24">
        <f t="shared" si="13"/>
        <v>1</v>
      </c>
      <c r="F64" s="3066"/>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2">
        <f t="shared" si="21"/>
        <v>0</v>
      </c>
      <c r="U64" s="737" t="e">
        <f>#REF!</f>
        <v>#REF!</v>
      </c>
    </row>
    <row r="65" spans="1:21">
      <c r="A65" s="672"/>
      <c r="B65" s="3067"/>
      <c r="C65" s="24">
        <f t="shared" si="12"/>
        <v>1</v>
      </c>
      <c r="D65" s="3053"/>
      <c r="E65" s="24">
        <f t="shared" si="13"/>
        <v>1</v>
      </c>
      <c r="F65" s="3066"/>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2">
        <f t="shared" si="21"/>
        <v>0</v>
      </c>
      <c r="U65" s="737" t="e">
        <f>#REF!</f>
        <v>#REF!</v>
      </c>
    </row>
    <row r="66" spans="1:21">
      <c r="A66" s="672"/>
      <c r="B66" s="3067"/>
      <c r="C66" s="24">
        <f t="shared" si="12"/>
        <v>1</v>
      </c>
      <c r="D66" s="3053"/>
      <c r="E66" s="24">
        <f t="shared" si="13"/>
        <v>1</v>
      </c>
      <c r="F66" s="3066"/>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2">
        <f t="shared" si="21"/>
        <v>0</v>
      </c>
      <c r="U66" s="737" t="e">
        <f>#REF!</f>
        <v>#REF!</v>
      </c>
    </row>
    <row r="67" spans="1:21">
      <c r="A67" s="672"/>
      <c r="B67" s="3067"/>
      <c r="C67" s="24">
        <f t="shared" si="12"/>
        <v>1</v>
      </c>
      <c r="D67" s="3053"/>
      <c r="E67" s="24">
        <f t="shared" si="13"/>
        <v>1</v>
      </c>
      <c r="F67" s="3066"/>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2">
        <f t="shared" si="21"/>
        <v>0</v>
      </c>
      <c r="U67" s="737" t="e">
        <f>#REF!</f>
        <v>#REF!</v>
      </c>
    </row>
    <row r="68" spans="1:21">
      <c r="A68" s="672"/>
      <c r="B68" s="3067"/>
      <c r="C68" s="24">
        <f t="shared" si="12"/>
        <v>1</v>
      </c>
      <c r="D68" s="3053"/>
      <c r="E68" s="24">
        <f t="shared" si="13"/>
        <v>1</v>
      </c>
      <c r="F68" s="3066"/>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2">
        <f t="shared" si="21"/>
        <v>0</v>
      </c>
      <c r="U68" s="737" t="e">
        <f>#REF!</f>
        <v>#REF!</v>
      </c>
    </row>
    <row r="69" spans="1:21">
      <c r="A69" s="672"/>
      <c r="B69" s="3067"/>
      <c r="C69" s="24">
        <f t="shared" si="12"/>
        <v>1</v>
      </c>
      <c r="D69" s="3053"/>
      <c r="E69" s="24">
        <f t="shared" si="13"/>
        <v>1</v>
      </c>
      <c r="F69" s="3066"/>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2">
        <f t="shared" si="21"/>
        <v>0</v>
      </c>
      <c r="U69" s="737" t="e">
        <f>#REF!</f>
        <v>#REF!</v>
      </c>
    </row>
    <row r="70" spans="1:21">
      <c r="A70" s="672"/>
      <c r="B70" s="3067"/>
      <c r="C70" s="24">
        <f t="shared" si="12"/>
        <v>1</v>
      </c>
      <c r="D70" s="3053"/>
      <c r="E70" s="24">
        <f t="shared" si="13"/>
        <v>1</v>
      </c>
      <c r="F70" s="3066"/>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2">
        <f t="shared" si="21"/>
        <v>0</v>
      </c>
      <c r="U70" s="737" t="e">
        <f>#REF!</f>
        <v>#REF!</v>
      </c>
    </row>
    <row r="71" spans="1:21">
      <c r="A71" s="672"/>
      <c r="B71" s="3067"/>
      <c r="C71" s="24">
        <f t="shared" si="12"/>
        <v>1</v>
      </c>
      <c r="D71" s="3053"/>
      <c r="E71" s="24">
        <f t="shared" si="13"/>
        <v>1</v>
      </c>
      <c r="F71" s="3066"/>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2">
        <f t="shared" si="21"/>
        <v>0</v>
      </c>
      <c r="U71" s="737" t="e">
        <f>#REF!</f>
        <v>#REF!</v>
      </c>
    </row>
    <row r="72" spans="1:21">
      <c r="A72" s="672"/>
      <c r="B72" s="3067"/>
      <c r="C72" s="24">
        <f t="shared" si="12"/>
        <v>1</v>
      </c>
      <c r="D72" s="3053"/>
      <c r="E72" s="24">
        <f t="shared" si="13"/>
        <v>1</v>
      </c>
      <c r="F72" s="3066"/>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2">
        <f t="shared" si="21"/>
        <v>0</v>
      </c>
      <c r="U72" s="737" t="e">
        <f>#REF!</f>
        <v>#REF!</v>
      </c>
    </row>
    <row r="73" spans="1:21">
      <c r="A73" s="672"/>
      <c r="B73" s="3067"/>
      <c r="C73" s="24">
        <f t="shared" si="12"/>
        <v>1</v>
      </c>
      <c r="D73" s="3053"/>
      <c r="E73" s="24">
        <f t="shared" si="13"/>
        <v>1</v>
      </c>
      <c r="F73" s="3066"/>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2">
        <f t="shared" si="21"/>
        <v>0</v>
      </c>
      <c r="U73" s="737" t="e">
        <f>#REF!</f>
        <v>#REF!</v>
      </c>
    </row>
    <row r="74" spans="1:21">
      <c r="A74" s="672"/>
      <c r="B74" s="3067"/>
      <c r="C74" s="24">
        <f t="shared" si="12"/>
        <v>1</v>
      </c>
      <c r="D74" s="3053"/>
      <c r="E74" s="24">
        <f t="shared" si="13"/>
        <v>1</v>
      </c>
      <c r="F74" s="3066"/>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2">
        <f t="shared" si="21"/>
        <v>0</v>
      </c>
      <c r="U74" s="737" t="e">
        <f>#REF!</f>
        <v>#REF!</v>
      </c>
    </row>
    <row r="75" spans="1:21">
      <c r="A75" s="672"/>
      <c r="B75" s="3067"/>
      <c r="C75" s="24">
        <f t="shared" si="12"/>
        <v>1</v>
      </c>
      <c r="D75" s="3053"/>
      <c r="E75" s="24">
        <f t="shared" si="13"/>
        <v>1</v>
      </c>
      <c r="F75" s="3066"/>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2">
        <f t="shared" si="21"/>
        <v>0</v>
      </c>
      <c r="U75" s="737" t="e">
        <f>#REF!</f>
        <v>#REF!</v>
      </c>
    </row>
    <row r="76" spans="1:21">
      <c r="A76" s="672"/>
      <c r="B76" s="3067"/>
      <c r="C76" s="24">
        <f t="shared" si="12"/>
        <v>1</v>
      </c>
      <c r="D76" s="3053"/>
      <c r="E76" s="24">
        <f t="shared" si="13"/>
        <v>1</v>
      </c>
      <c r="F76" s="3066"/>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2">
        <f t="shared" si="21"/>
        <v>0</v>
      </c>
      <c r="U76" s="737" t="e">
        <f>#REF!</f>
        <v>#REF!</v>
      </c>
    </row>
    <row r="77" spans="1:21">
      <c r="A77" s="672"/>
      <c r="B77" s="3067"/>
      <c r="C77" s="24">
        <f t="shared" si="12"/>
        <v>1</v>
      </c>
      <c r="D77" s="3053"/>
      <c r="E77" s="24">
        <f t="shared" si="13"/>
        <v>1</v>
      </c>
      <c r="F77" s="3066"/>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2">
        <f t="shared" si="21"/>
        <v>0</v>
      </c>
      <c r="U77" s="737" t="e">
        <f>#REF!</f>
        <v>#REF!</v>
      </c>
    </row>
    <row r="78" spans="1:21">
      <c r="A78" s="672"/>
      <c r="B78" s="3067"/>
      <c r="C78" s="24">
        <f t="shared" si="12"/>
        <v>1</v>
      </c>
      <c r="D78" s="3053"/>
      <c r="E78" s="24">
        <f t="shared" si="13"/>
        <v>1</v>
      </c>
      <c r="F78" s="3066"/>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2">
        <f t="shared" ref="S78:S122" si="22">ROUND(R78*B78/10000,0)</f>
        <v>0</v>
      </c>
      <c r="U78" s="737" t="e">
        <f>#REF!</f>
        <v>#REF!</v>
      </c>
    </row>
    <row r="79" spans="1:21">
      <c r="A79" s="672"/>
      <c r="B79" s="3067"/>
      <c r="C79" s="24">
        <f t="shared" si="12"/>
        <v>1</v>
      </c>
      <c r="D79" s="3053"/>
      <c r="E79" s="24">
        <f t="shared" si="13"/>
        <v>1</v>
      </c>
      <c r="F79" s="3066"/>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2">
        <f t="shared" si="22"/>
        <v>0</v>
      </c>
      <c r="U79" s="737" t="e">
        <f>#REF!</f>
        <v>#REF!</v>
      </c>
    </row>
    <row r="80" spans="1:21">
      <c r="A80" s="672"/>
      <c r="B80" s="3067"/>
      <c r="C80" s="24">
        <f t="shared" si="12"/>
        <v>1</v>
      </c>
      <c r="D80" s="3053"/>
      <c r="E80" s="24">
        <f t="shared" si="13"/>
        <v>1</v>
      </c>
      <c r="F80" s="3066"/>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2">
        <f t="shared" si="22"/>
        <v>0</v>
      </c>
      <c r="U80" s="737" t="e">
        <f>#REF!</f>
        <v>#REF!</v>
      </c>
    </row>
    <row r="81" spans="1:21">
      <c r="A81" s="672"/>
      <c r="B81" s="3067"/>
      <c r="C81" s="24">
        <f t="shared" si="12"/>
        <v>1</v>
      </c>
      <c r="D81" s="3053"/>
      <c r="E81" s="24">
        <f t="shared" si="13"/>
        <v>1</v>
      </c>
      <c r="F81" s="3066"/>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2">
        <f t="shared" si="22"/>
        <v>0</v>
      </c>
      <c r="U81" s="737" t="e">
        <f>#REF!</f>
        <v>#REF!</v>
      </c>
    </row>
    <row r="82" spans="1:21">
      <c r="A82" s="672"/>
      <c r="B82" s="3067"/>
      <c r="C82" s="24">
        <f t="shared" si="12"/>
        <v>1</v>
      </c>
      <c r="D82" s="3053"/>
      <c r="E82" s="24">
        <f t="shared" si="13"/>
        <v>1</v>
      </c>
      <c r="F82" s="3066"/>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2">
        <f t="shared" si="22"/>
        <v>0</v>
      </c>
      <c r="U82" s="737" t="e">
        <f>#REF!</f>
        <v>#REF!</v>
      </c>
    </row>
    <row r="83" spans="1:21">
      <c r="A83" s="672"/>
      <c r="B83" s="3067"/>
      <c r="C83" s="24">
        <f t="shared" si="12"/>
        <v>1</v>
      </c>
      <c r="D83" s="3053"/>
      <c r="E83" s="24">
        <f t="shared" si="13"/>
        <v>1</v>
      </c>
      <c r="F83" s="3066"/>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2">
        <f t="shared" si="22"/>
        <v>0</v>
      </c>
      <c r="U83" s="737" t="e">
        <f>#REF!</f>
        <v>#REF!</v>
      </c>
    </row>
    <row r="84" spans="1:21">
      <c r="A84" s="672"/>
      <c r="B84" s="3067"/>
      <c r="C84" s="24">
        <f t="shared" si="12"/>
        <v>1</v>
      </c>
      <c r="D84" s="3053"/>
      <c r="E84" s="24">
        <f t="shared" si="13"/>
        <v>1</v>
      </c>
      <c r="F84" s="3066"/>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2">
        <f t="shared" si="22"/>
        <v>0</v>
      </c>
      <c r="U84" s="737" t="e">
        <f>#REF!</f>
        <v>#REF!</v>
      </c>
    </row>
    <row r="85" spans="1:21">
      <c r="A85" s="672"/>
      <c r="B85" s="3067"/>
      <c r="C85" s="24">
        <f t="shared" si="12"/>
        <v>1</v>
      </c>
      <c r="D85" s="3053"/>
      <c r="E85" s="24">
        <f t="shared" si="13"/>
        <v>1</v>
      </c>
      <c r="F85" s="3066"/>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2">
        <f t="shared" si="22"/>
        <v>0</v>
      </c>
      <c r="U85" s="737" t="e">
        <f>#REF!</f>
        <v>#REF!</v>
      </c>
    </row>
    <row r="86" spans="1:21">
      <c r="A86" s="672"/>
      <c r="B86" s="3067"/>
      <c r="C86" s="24">
        <f t="shared" si="12"/>
        <v>1</v>
      </c>
      <c r="D86" s="3053"/>
      <c r="E86" s="24">
        <f t="shared" si="13"/>
        <v>1</v>
      </c>
      <c r="F86" s="3066"/>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2">
        <f t="shared" si="22"/>
        <v>0</v>
      </c>
      <c r="U86" s="737" t="e">
        <f>#REF!</f>
        <v>#REF!</v>
      </c>
    </row>
    <row r="87" spans="1:21">
      <c r="A87" s="672"/>
      <c r="B87" s="3067"/>
      <c r="C87" s="24">
        <f t="shared" si="12"/>
        <v>1</v>
      </c>
      <c r="D87" s="3053"/>
      <c r="E87" s="24">
        <f t="shared" si="13"/>
        <v>1</v>
      </c>
      <c r="F87" s="3066"/>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2">
        <f t="shared" si="22"/>
        <v>0</v>
      </c>
      <c r="U87" s="737" t="e">
        <f>#REF!</f>
        <v>#REF!</v>
      </c>
    </row>
    <row r="88" spans="1:21">
      <c r="A88" s="672"/>
      <c r="B88" s="3067"/>
      <c r="C88" s="24">
        <f t="shared" si="12"/>
        <v>1</v>
      </c>
      <c r="D88" s="674"/>
      <c r="E88" s="24">
        <f t="shared" si="13"/>
        <v>1</v>
      </c>
      <c r="F88" s="3066"/>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2">
        <f t="shared" si="22"/>
        <v>0</v>
      </c>
      <c r="U88" s="737" t="e">
        <f>#REF!</f>
        <v>#REF!</v>
      </c>
    </row>
    <row r="89" spans="1:21">
      <c r="A89" s="672"/>
      <c r="B89" s="3067"/>
      <c r="C89" s="24">
        <f t="shared" si="12"/>
        <v>1</v>
      </c>
      <c r="D89" s="674"/>
      <c r="E89" s="24">
        <f t="shared" si="13"/>
        <v>1</v>
      </c>
      <c r="F89" s="3066"/>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2">
        <f t="shared" si="22"/>
        <v>0</v>
      </c>
      <c r="U89" s="737" t="e">
        <f>#REF!</f>
        <v>#REF!</v>
      </c>
    </row>
    <row r="90" spans="1:21">
      <c r="A90" s="672"/>
      <c r="B90" s="3067"/>
      <c r="C90" s="24">
        <f t="shared" ref="C90:C153" si="23">IF(B90="",1,(LOOKUP(B90,$3:$3,$4:$4)-LOOKUP($B$24,$3:$3,$4:$4)+100)/100)</f>
        <v>1</v>
      </c>
      <c r="D90" s="674"/>
      <c r="E90" s="24">
        <f t="shared" ref="E90:E153" si="24">(SUMIF($5:$5,D90,$6:$6)-SUMIF($5:$5,$D$24,$6:$6)+100)/100</f>
        <v>1</v>
      </c>
      <c r="F90" s="3066"/>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2">
        <f t="shared" si="22"/>
        <v>0</v>
      </c>
      <c r="U90" s="737" t="e">
        <f>#REF!</f>
        <v>#REF!</v>
      </c>
    </row>
    <row r="91" spans="1:21">
      <c r="A91" s="672"/>
      <c r="B91" s="57"/>
      <c r="C91" s="24">
        <f t="shared" si="23"/>
        <v>1</v>
      </c>
      <c r="D91" s="3053"/>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2">
        <f t="shared" si="22"/>
        <v>0</v>
      </c>
    </row>
    <row r="92" spans="1:21">
      <c r="A92" s="672"/>
      <c r="B92" s="57"/>
      <c r="C92" s="24">
        <f t="shared" si="23"/>
        <v>1</v>
      </c>
      <c r="D92" s="3053"/>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2">
        <f t="shared" si="22"/>
        <v>0</v>
      </c>
    </row>
    <row r="93" spans="1:21">
      <c r="A93" s="672"/>
      <c r="B93" s="57"/>
      <c r="C93" s="24">
        <f t="shared" si="23"/>
        <v>1</v>
      </c>
      <c r="D93" s="3053"/>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2">
        <f t="shared" si="22"/>
        <v>0</v>
      </c>
    </row>
    <row r="94" spans="1:21">
      <c r="A94" s="672"/>
      <c r="B94" s="57"/>
      <c r="C94" s="24">
        <f t="shared" si="23"/>
        <v>1</v>
      </c>
      <c r="D94" s="3053"/>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2">
        <f t="shared" si="22"/>
        <v>0</v>
      </c>
    </row>
    <row r="95" spans="1:21">
      <c r="A95" s="672"/>
      <c r="B95" s="57"/>
      <c r="C95" s="24">
        <f t="shared" si="23"/>
        <v>1</v>
      </c>
      <c r="D95" s="3053"/>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2">
        <f t="shared" si="22"/>
        <v>0</v>
      </c>
    </row>
    <row r="96" spans="1:21">
      <c r="A96" s="672"/>
      <c r="B96" s="57"/>
      <c r="C96" s="24">
        <f t="shared" si="23"/>
        <v>1</v>
      </c>
      <c r="D96" s="3053"/>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2">
        <f t="shared" si="22"/>
        <v>0</v>
      </c>
    </row>
    <row r="97" spans="1:19">
      <c r="A97" s="672"/>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2">
        <f t="shared" si="22"/>
        <v>0</v>
      </c>
    </row>
    <row r="98" spans="1:19">
      <c r="A98" s="672"/>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2">
        <f t="shared" si="22"/>
        <v>0</v>
      </c>
    </row>
    <row r="99" spans="1:19">
      <c r="A99" s="672"/>
      <c r="B99" s="57"/>
      <c r="C99" s="24">
        <f t="shared" si="23"/>
        <v>1</v>
      </c>
      <c r="D99" s="3053"/>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2">
        <f t="shared" si="22"/>
        <v>0</v>
      </c>
    </row>
    <row r="100" spans="1:19">
      <c r="A100" s="672"/>
      <c r="B100" s="57"/>
      <c r="C100" s="24">
        <f t="shared" si="23"/>
        <v>1</v>
      </c>
      <c r="D100" s="3053"/>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2">
        <f t="shared" si="22"/>
        <v>0</v>
      </c>
    </row>
    <row r="101" spans="1:19">
      <c r="A101" s="672"/>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2">
        <f t="shared" si="22"/>
        <v>0</v>
      </c>
    </row>
    <row r="102" spans="1:19">
      <c r="A102" s="672"/>
      <c r="B102" s="57"/>
      <c r="C102" s="24">
        <f t="shared" si="23"/>
        <v>1</v>
      </c>
      <c r="D102" s="3053"/>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2">
        <f t="shared" si="22"/>
        <v>0</v>
      </c>
    </row>
    <row r="103" spans="1:19">
      <c r="A103" s="672"/>
      <c r="B103" s="57"/>
      <c r="C103" s="24">
        <f t="shared" si="23"/>
        <v>1</v>
      </c>
      <c r="D103" s="3053"/>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2">
        <f t="shared" si="22"/>
        <v>0</v>
      </c>
    </row>
    <row r="104" spans="1:19">
      <c r="A104" s="672"/>
      <c r="B104" s="57"/>
      <c r="C104" s="24">
        <f t="shared" si="23"/>
        <v>1</v>
      </c>
      <c r="D104" s="3053"/>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2">
        <f t="shared" si="22"/>
        <v>0</v>
      </c>
    </row>
    <row r="105" spans="1:19">
      <c r="A105" s="672"/>
      <c r="B105" s="57"/>
      <c r="C105" s="24">
        <f t="shared" si="23"/>
        <v>1</v>
      </c>
      <c r="D105" s="3053"/>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2">
        <f t="shared" si="22"/>
        <v>0</v>
      </c>
    </row>
    <row r="106" spans="1:19">
      <c r="A106" s="672"/>
      <c r="B106" s="57"/>
      <c r="C106" s="24">
        <f t="shared" si="23"/>
        <v>1</v>
      </c>
      <c r="D106" s="3053"/>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2">
        <f t="shared" si="22"/>
        <v>0</v>
      </c>
    </row>
    <row r="107" spans="1:19">
      <c r="A107" s="672"/>
      <c r="B107" s="57"/>
      <c r="C107" s="24">
        <f t="shared" si="23"/>
        <v>1</v>
      </c>
      <c r="D107" s="3053"/>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2">
        <f t="shared" si="22"/>
        <v>0</v>
      </c>
    </row>
    <row r="108" spans="1:19">
      <c r="A108" s="672"/>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2">
        <f t="shared" si="22"/>
        <v>0</v>
      </c>
    </row>
    <row r="109" spans="1:19">
      <c r="A109" s="672"/>
      <c r="B109" s="57"/>
      <c r="C109" s="24">
        <f t="shared" si="23"/>
        <v>1</v>
      </c>
      <c r="D109" s="3053"/>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2">
        <f t="shared" si="22"/>
        <v>0</v>
      </c>
    </row>
    <row r="110" spans="1:19">
      <c r="A110" s="672"/>
      <c r="B110" s="57"/>
      <c r="C110" s="24">
        <f t="shared" si="23"/>
        <v>1</v>
      </c>
      <c r="D110" s="3053"/>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2">
        <f t="shared" si="22"/>
        <v>0</v>
      </c>
    </row>
    <row r="111" spans="1:19">
      <c r="A111" s="672"/>
      <c r="B111" s="57"/>
      <c r="C111" s="24">
        <f t="shared" si="23"/>
        <v>1</v>
      </c>
      <c r="D111" s="3053"/>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2">
        <f t="shared" si="22"/>
        <v>0</v>
      </c>
    </row>
    <row r="112" spans="1:19">
      <c r="A112" s="672"/>
      <c r="B112" s="57"/>
      <c r="C112" s="24">
        <f t="shared" si="23"/>
        <v>1</v>
      </c>
      <c r="D112" s="3053"/>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2">
        <f t="shared" si="22"/>
        <v>0</v>
      </c>
    </row>
    <row r="113" spans="1:19">
      <c r="A113" s="672"/>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2">
        <f t="shared" si="22"/>
        <v>0</v>
      </c>
    </row>
    <row r="114" spans="1:19">
      <c r="A114" s="672"/>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2">
        <f t="shared" si="22"/>
        <v>0</v>
      </c>
    </row>
    <row r="115" spans="1:19">
      <c r="A115" s="672"/>
      <c r="B115" s="57"/>
      <c r="C115" s="24">
        <f t="shared" si="23"/>
        <v>1</v>
      </c>
      <c r="D115" s="3053"/>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2">
        <f t="shared" si="22"/>
        <v>0</v>
      </c>
    </row>
    <row r="116" spans="1:19">
      <c r="A116" s="672"/>
      <c r="B116" s="57"/>
      <c r="C116" s="24">
        <f t="shared" si="23"/>
        <v>1</v>
      </c>
      <c r="D116" s="3053"/>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2">
        <f t="shared" si="22"/>
        <v>0</v>
      </c>
    </row>
    <row r="117" spans="1:19">
      <c r="A117" s="672"/>
      <c r="B117" s="57"/>
      <c r="C117" s="24">
        <f t="shared" si="23"/>
        <v>1</v>
      </c>
      <c r="D117" s="3053"/>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2">
        <f t="shared" si="22"/>
        <v>0</v>
      </c>
    </row>
    <row r="118" spans="1:19">
      <c r="A118" s="672"/>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2">
        <f t="shared" si="22"/>
        <v>0</v>
      </c>
    </row>
    <row r="119" spans="1:19">
      <c r="A119" s="672"/>
      <c r="B119" s="57"/>
      <c r="C119" s="24">
        <f t="shared" si="23"/>
        <v>1</v>
      </c>
      <c r="D119" s="3053"/>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2">
        <f t="shared" si="22"/>
        <v>0</v>
      </c>
    </row>
    <row r="120" spans="1:19">
      <c r="A120" s="672"/>
      <c r="B120" s="57"/>
      <c r="C120" s="24">
        <f t="shared" si="23"/>
        <v>1</v>
      </c>
      <c r="D120" s="3053"/>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2">
        <f t="shared" si="22"/>
        <v>0</v>
      </c>
    </row>
    <row r="121" spans="1:19">
      <c r="A121" s="672"/>
      <c r="B121" s="57"/>
      <c r="C121" s="24">
        <f t="shared" si="23"/>
        <v>1</v>
      </c>
      <c r="D121" s="3053"/>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2">
        <f t="shared" si="22"/>
        <v>0</v>
      </c>
    </row>
    <row r="122" spans="1:19">
      <c r="A122" s="672"/>
      <c r="B122" s="57"/>
      <c r="C122" s="24">
        <f t="shared" si="23"/>
        <v>1</v>
      </c>
      <c r="D122" s="3053"/>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2">
        <f t="shared" si="22"/>
        <v>0</v>
      </c>
    </row>
    <row r="123" spans="1:19">
      <c r="A123" s="672"/>
      <c r="B123" s="57"/>
      <c r="C123" s="24">
        <f t="shared" si="23"/>
        <v>1</v>
      </c>
      <c r="D123" s="3053"/>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2">
        <f t="shared" ref="S123:S186" si="32">ROUND(R123*B123/10000,0)</f>
        <v>0</v>
      </c>
    </row>
    <row r="124" spans="1:19">
      <c r="A124" s="672"/>
      <c r="B124" s="57"/>
      <c r="C124" s="24">
        <f t="shared" si="23"/>
        <v>1</v>
      </c>
      <c r="D124" s="3053"/>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2">
        <f t="shared" si="32"/>
        <v>0</v>
      </c>
    </row>
    <row r="125" spans="1:19">
      <c r="A125" s="672"/>
      <c r="B125" s="57"/>
      <c r="C125" s="24">
        <f t="shared" si="23"/>
        <v>1</v>
      </c>
      <c r="D125" s="3053"/>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2">
        <f t="shared" si="32"/>
        <v>0</v>
      </c>
    </row>
    <row r="126" spans="1:19">
      <c r="A126" s="672"/>
      <c r="B126" s="57"/>
      <c r="C126" s="24">
        <f t="shared" si="23"/>
        <v>1</v>
      </c>
      <c r="D126" s="3053"/>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2">
        <f t="shared" si="32"/>
        <v>0</v>
      </c>
    </row>
    <row r="127" spans="1:19">
      <c r="A127" s="672"/>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2">
        <f t="shared" si="32"/>
        <v>0</v>
      </c>
    </row>
    <row r="128" spans="1:19">
      <c r="A128" s="672"/>
      <c r="B128" s="57"/>
      <c r="C128" s="24">
        <f t="shared" si="23"/>
        <v>1</v>
      </c>
      <c r="D128" s="3053"/>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2">
        <f t="shared" si="32"/>
        <v>0</v>
      </c>
    </row>
    <row r="129" spans="1:19">
      <c r="A129" s="672"/>
      <c r="B129" s="57"/>
      <c r="C129" s="24">
        <f t="shared" si="23"/>
        <v>1</v>
      </c>
      <c r="D129" s="3053"/>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2">
        <f t="shared" si="32"/>
        <v>0</v>
      </c>
    </row>
    <row r="130" spans="1:19">
      <c r="A130" s="672"/>
      <c r="B130" s="57"/>
      <c r="C130" s="24">
        <f t="shared" si="23"/>
        <v>1</v>
      </c>
      <c r="D130" s="3053"/>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2">
        <f t="shared" si="32"/>
        <v>0</v>
      </c>
    </row>
    <row r="131" spans="1:19">
      <c r="A131" s="672"/>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2">
        <f t="shared" si="32"/>
        <v>0</v>
      </c>
    </row>
    <row r="132" spans="1:19">
      <c r="A132" s="672"/>
      <c r="B132" s="57"/>
      <c r="C132" s="24">
        <f t="shared" si="23"/>
        <v>1</v>
      </c>
      <c r="D132" s="3053"/>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2">
        <f t="shared" si="32"/>
        <v>0</v>
      </c>
    </row>
    <row r="133" spans="1:19">
      <c r="A133" s="672"/>
      <c r="B133" s="57"/>
      <c r="C133" s="24">
        <f t="shared" si="23"/>
        <v>1</v>
      </c>
      <c r="D133" s="3053"/>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2">
        <f t="shared" si="32"/>
        <v>0</v>
      </c>
    </row>
    <row r="134" spans="1:19">
      <c r="A134" s="672"/>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2">
        <f t="shared" si="32"/>
        <v>0</v>
      </c>
    </row>
    <row r="135" spans="1:19">
      <c r="A135" s="672"/>
      <c r="B135" s="57"/>
      <c r="C135" s="24">
        <f t="shared" si="23"/>
        <v>1</v>
      </c>
      <c r="D135" s="3053"/>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2">
        <f t="shared" si="32"/>
        <v>0</v>
      </c>
    </row>
    <row r="136" spans="1:19">
      <c r="A136" s="672"/>
      <c r="B136" s="57"/>
      <c r="C136" s="24">
        <f t="shared" si="23"/>
        <v>1</v>
      </c>
      <c r="D136" s="3053"/>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2">
        <f t="shared" si="32"/>
        <v>0</v>
      </c>
    </row>
    <row r="137" spans="1:19">
      <c r="A137" s="672"/>
      <c r="B137" s="57"/>
      <c r="C137" s="24">
        <f t="shared" si="23"/>
        <v>1</v>
      </c>
      <c r="D137" s="3053"/>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2">
        <f t="shared" si="32"/>
        <v>0</v>
      </c>
    </row>
    <row r="138" spans="1:19">
      <c r="A138" s="672"/>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2">
        <f t="shared" si="32"/>
        <v>0</v>
      </c>
    </row>
    <row r="139" spans="1:19">
      <c r="A139" s="672"/>
      <c r="B139" s="57"/>
      <c r="C139" s="24">
        <f t="shared" si="23"/>
        <v>1</v>
      </c>
      <c r="D139" s="3053"/>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2">
        <f t="shared" si="32"/>
        <v>0</v>
      </c>
    </row>
    <row r="140" spans="1:19">
      <c r="A140" s="672"/>
      <c r="B140" s="57"/>
      <c r="C140" s="24">
        <f t="shared" si="23"/>
        <v>1</v>
      </c>
      <c r="D140" s="3053"/>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2">
        <f t="shared" si="32"/>
        <v>0</v>
      </c>
    </row>
    <row r="141" spans="1:19">
      <c r="A141" s="672"/>
      <c r="B141" s="57"/>
      <c r="C141" s="24">
        <f t="shared" si="23"/>
        <v>1</v>
      </c>
      <c r="D141" s="3053"/>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2">
        <f t="shared" si="32"/>
        <v>0</v>
      </c>
    </row>
    <row r="142" spans="1:19">
      <c r="A142" s="672"/>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2">
        <f t="shared" si="32"/>
        <v>0</v>
      </c>
    </row>
    <row r="143" spans="1:19">
      <c r="A143" s="672"/>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2">
        <f t="shared" si="32"/>
        <v>0</v>
      </c>
    </row>
    <row r="144" spans="1:19">
      <c r="A144" s="672"/>
      <c r="B144" s="57"/>
      <c r="C144" s="24">
        <f t="shared" si="23"/>
        <v>1</v>
      </c>
      <c r="D144" s="3053"/>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2">
        <f t="shared" si="32"/>
        <v>0</v>
      </c>
    </row>
    <row r="145" spans="1:19">
      <c r="A145" s="672"/>
      <c r="B145" s="57"/>
      <c r="C145" s="24">
        <f t="shared" si="23"/>
        <v>1</v>
      </c>
      <c r="D145" s="3053"/>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2">
        <f t="shared" si="32"/>
        <v>0</v>
      </c>
    </row>
    <row r="146" spans="1:19">
      <c r="A146" s="672"/>
      <c r="B146" s="57"/>
      <c r="C146" s="24">
        <f t="shared" si="23"/>
        <v>1</v>
      </c>
      <c r="D146" s="3053"/>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2">
        <f t="shared" si="32"/>
        <v>0</v>
      </c>
    </row>
    <row r="147" spans="1:19">
      <c r="A147" s="672"/>
      <c r="B147" s="57"/>
      <c r="C147" s="24">
        <f t="shared" si="23"/>
        <v>1</v>
      </c>
      <c r="D147" s="3053"/>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2">
        <f t="shared" si="32"/>
        <v>0</v>
      </c>
    </row>
    <row r="148" spans="1:19">
      <c r="A148" s="672"/>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2">
        <f t="shared" si="32"/>
        <v>0</v>
      </c>
    </row>
    <row r="149" spans="1:19">
      <c r="A149" s="672"/>
      <c r="B149" s="57"/>
      <c r="C149" s="24">
        <f t="shared" si="23"/>
        <v>1</v>
      </c>
      <c r="D149" s="3053"/>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2">
        <f t="shared" si="32"/>
        <v>0</v>
      </c>
    </row>
    <row r="150" spans="1:19">
      <c r="A150" s="672"/>
      <c r="B150" s="57"/>
      <c r="C150" s="24">
        <f t="shared" si="23"/>
        <v>1</v>
      </c>
      <c r="D150" s="3053"/>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2">
        <f t="shared" si="32"/>
        <v>0</v>
      </c>
    </row>
    <row r="151" spans="1:19">
      <c r="A151" s="672"/>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2">
        <f t="shared" si="32"/>
        <v>0</v>
      </c>
    </row>
    <row r="152" spans="1:19">
      <c r="A152" s="672"/>
      <c r="B152" s="57"/>
      <c r="C152" s="24">
        <f t="shared" si="23"/>
        <v>1</v>
      </c>
      <c r="D152" s="3053"/>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2">
        <f t="shared" si="32"/>
        <v>0</v>
      </c>
    </row>
    <row r="153" spans="1:19">
      <c r="A153" s="672"/>
      <c r="B153" s="57"/>
      <c r="C153" s="24">
        <f t="shared" si="23"/>
        <v>1</v>
      </c>
      <c r="D153" s="3053"/>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2">
        <f t="shared" si="32"/>
        <v>0</v>
      </c>
    </row>
    <row r="154" spans="1:19">
      <c r="A154" s="672"/>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2">
        <f t="shared" si="32"/>
        <v>0</v>
      </c>
    </row>
    <row r="155" spans="1:19">
      <c r="A155" s="672"/>
      <c r="B155" s="57"/>
      <c r="C155" s="24">
        <f t="shared" si="33"/>
        <v>1</v>
      </c>
      <c r="D155" s="3053"/>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2">
        <f t="shared" si="32"/>
        <v>0</v>
      </c>
    </row>
    <row r="156" spans="1:19">
      <c r="A156" s="672"/>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2">
        <f t="shared" si="32"/>
        <v>0</v>
      </c>
    </row>
    <row r="157" spans="1:19">
      <c r="A157" s="672"/>
      <c r="B157" s="57"/>
      <c r="C157" s="24">
        <f t="shared" si="33"/>
        <v>1</v>
      </c>
      <c r="D157" s="3053"/>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2">
        <f t="shared" si="32"/>
        <v>0</v>
      </c>
    </row>
    <row r="158" spans="1:19">
      <c r="A158" s="672"/>
      <c r="B158" s="57"/>
      <c r="C158" s="24">
        <f t="shared" si="33"/>
        <v>1</v>
      </c>
      <c r="D158" s="3053"/>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2">
        <f t="shared" si="32"/>
        <v>0</v>
      </c>
    </row>
    <row r="159" spans="1:19">
      <c r="A159" s="672"/>
      <c r="B159" s="57"/>
      <c r="C159" s="24">
        <f t="shared" si="33"/>
        <v>1</v>
      </c>
      <c r="D159" s="3053"/>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2">
        <f t="shared" si="32"/>
        <v>0</v>
      </c>
    </row>
    <row r="160" spans="1:19">
      <c r="A160" s="672"/>
      <c r="B160" s="57"/>
      <c r="C160" s="24">
        <f t="shared" si="33"/>
        <v>1</v>
      </c>
      <c r="D160" s="3053"/>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2">
        <f t="shared" si="32"/>
        <v>0</v>
      </c>
    </row>
    <row r="161" spans="1:19">
      <c r="A161" s="672"/>
      <c r="B161" s="57"/>
      <c r="C161" s="24">
        <f t="shared" si="33"/>
        <v>1</v>
      </c>
      <c r="D161" s="3053"/>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2">
        <f t="shared" si="32"/>
        <v>0</v>
      </c>
    </row>
    <row r="162" spans="1:19">
      <c r="A162" s="672"/>
      <c r="B162" s="57"/>
      <c r="C162" s="24">
        <f t="shared" si="33"/>
        <v>1</v>
      </c>
      <c r="D162" s="3053"/>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2">
        <f t="shared" si="32"/>
        <v>0</v>
      </c>
    </row>
    <row r="163" spans="1:19">
      <c r="A163" s="672"/>
      <c r="B163" s="57"/>
      <c r="C163" s="24">
        <f t="shared" si="33"/>
        <v>1</v>
      </c>
      <c r="D163" s="3053"/>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2">
        <f t="shared" si="32"/>
        <v>0</v>
      </c>
    </row>
    <row r="164" spans="1:19">
      <c r="A164" s="672"/>
      <c r="B164" s="57"/>
      <c r="C164" s="24">
        <f t="shared" si="33"/>
        <v>1</v>
      </c>
      <c r="D164" s="3053"/>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2">
        <f t="shared" si="32"/>
        <v>0</v>
      </c>
    </row>
    <row r="165" spans="1:19">
      <c r="A165" s="672"/>
      <c r="B165" s="57"/>
      <c r="C165" s="24">
        <f t="shared" si="33"/>
        <v>1</v>
      </c>
      <c r="D165" s="3053"/>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2">
        <f t="shared" si="32"/>
        <v>0</v>
      </c>
    </row>
    <row r="166" spans="1:19">
      <c r="A166" s="672"/>
      <c r="B166" s="57"/>
      <c r="C166" s="24">
        <f t="shared" si="33"/>
        <v>1</v>
      </c>
      <c r="D166" s="3053"/>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2">
        <f t="shared" si="32"/>
        <v>0</v>
      </c>
    </row>
    <row r="167" spans="1:19">
      <c r="A167" s="672"/>
      <c r="B167" s="57"/>
      <c r="C167" s="24">
        <f t="shared" si="33"/>
        <v>1</v>
      </c>
      <c r="D167" s="3053"/>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2">
        <f t="shared" si="32"/>
        <v>0</v>
      </c>
    </row>
    <row r="168" spans="1:19">
      <c r="A168" s="672"/>
      <c r="B168" s="57"/>
      <c r="C168" s="24">
        <f t="shared" si="33"/>
        <v>1</v>
      </c>
      <c r="D168" s="3053"/>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2">
        <f t="shared" si="32"/>
        <v>0</v>
      </c>
    </row>
    <row r="169" spans="1:19">
      <c r="A169" s="672"/>
      <c r="B169" s="57"/>
      <c r="C169" s="24">
        <f t="shared" si="33"/>
        <v>1</v>
      </c>
      <c r="D169" s="3053"/>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2">
        <f t="shared" si="32"/>
        <v>0</v>
      </c>
    </row>
    <row r="170" spans="1:19">
      <c r="A170" s="672"/>
      <c r="B170" s="57"/>
      <c r="C170" s="24">
        <f t="shared" si="33"/>
        <v>1</v>
      </c>
      <c r="D170" s="3053"/>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2">
        <f t="shared" si="32"/>
        <v>0</v>
      </c>
    </row>
    <row r="171" spans="1:19">
      <c r="A171" s="672"/>
      <c r="B171" s="57"/>
      <c r="C171" s="24">
        <f t="shared" si="33"/>
        <v>1</v>
      </c>
      <c r="D171" s="3053"/>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2">
        <f t="shared" si="32"/>
        <v>0</v>
      </c>
    </row>
    <row r="172" spans="1:19">
      <c r="A172" s="672"/>
      <c r="B172" s="57"/>
      <c r="C172" s="24">
        <f t="shared" si="33"/>
        <v>1</v>
      </c>
      <c r="D172" s="3053"/>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2">
        <f t="shared" si="32"/>
        <v>0</v>
      </c>
    </row>
    <row r="173" spans="1:19">
      <c r="A173" s="672"/>
      <c r="B173" s="57"/>
      <c r="C173" s="24">
        <f t="shared" si="33"/>
        <v>1</v>
      </c>
      <c r="D173" s="3053"/>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2">
        <f t="shared" si="32"/>
        <v>0</v>
      </c>
    </row>
    <row r="174" spans="1:19">
      <c r="A174" s="672"/>
      <c r="B174" s="57"/>
      <c r="C174" s="24">
        <f t="shared" si="33"/>
        <v>1</v>
      </c>
      <c r="D174" s="3053"/>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2">
        <f t="shared" si="32"/>
        <v>0</v>
      </c>
    </row>
    <row r="175" spans="1:19">
      <c r="A175" s="672"/>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2">
        <f t="shared" si="32"/>
        <v>0</v>
      </c>
    </row>
    <row r="176" spans="1:19">
      <c r="A176" s="672"/>
      <c r="B176" s="57"/>
      <c r="C176" s="24">
        <f t="shared" si="33"/>
        <v>1</v>
      </c>
      <c r="D176" s="3053"/>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2">
        <f t="shared" si="32"/>
        <v>0</v>
      </c>
    </row>
    <row r="177" spans="1:19">
      <c r="A177" s="672"/>
      <c r="B177" s="57"/>
      <c r="C177" s="24">
        <f t="shared" si="33"/>
        <v>1</v>
      </c>
      <c r="D177" s="3053"/>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2">
        <f t="shared" si="32"/>
        <v>0</v>
      </c>
    </row>
    <row r="178" spans="1:19">
      <c r="A178" s="672"/>
      <c r="B178" s="57"/>
      <c r="C178" s="24">
        <f t="shared" si="33"/>
        <v>1</v>
      </c>
      <c r="D178" s="3053"/>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2">
        <f t="shared" si="32"/>
        <v>0</v>
      </c>
    </row>
    <row r="179" spans="1:19">
      <c r="A179" s="672"/>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2">
        <f t="shared" si="32"/>
        <v>0</v>
      </c>
    </row>
    <row r="180" spans="1:19">
      <c r="A180" s="672"/>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2">
        <f t="shared" si="32"/>
        <v>0</v>
      </c>
    </row>
    <row r="181" spans="1:19">
      <c r="A181" s="672"/>
      <c r="B181" s="57"/>
      <c r="C181" s="24">
        <f t="shared" si="33"/>
        <v>1</v>
      </c>
      <c r="D181" s="3053"/>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2">
        <f t="shared" si="32"/>
        <v>0</v>
      </c>
    </row>
    <row r="182" spans="1:19">
      <c r="A182" s="672"/>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2">
        <f t="shared" si="32"/>
        <v>0</v>
      </c>
    </row>
    <row r="183" spans="1:19">
      <c r="A183" s="672"/>
      <c r="B183" s="57"/>
      <c r="C183" s="24">
        <f t="shared" si="33"/>
        <v>1</v>
      </c>
      <c r="D183" s="3053"/>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2">
        <f t="shared" si="32"/>
        <v>0</v>
      </c>
    </row>
    <row r="184" spans="1:19">
      <c r="A184" s="672"/>
      <c r="B184" s="57"/>
      <c r="C184" s="24">
        <f t="shared" si="33"/>
        <v>1</v>
      </c>
      <c r="D184" s="3053"/>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2">
        <f t="shared" si="32"/>
        <v>0</v>
      </c>
    </row>
    <row r="185" spans="1:19">
      <c r="A185" s="672"/>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2">
        <f t="shared" si="32"/>
        <v>0</v>
      </c>
    </row>
    <row r="186" spans="1:19">
      <c r="A186" s="672"/>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2">
        <f t="shared" si="32"/>
        <v>0</v>
      </c>
    </row>
    <row r="187" spans="1:19">
      <c r="A187" s="672"/>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2">
        <f t="shared" ref="S187:S222" si="42">ROUND(R187*B187/10000,0)</f>
        <v>0</v>
      </c>
    </row>
    <row r="188" spans="1:19">
      <c r="A188" s="672"/>
      <c r="B188" s="57"/>
      <c r="C188" s="24">
        <f t="shared" si="33"/>
        <v>1</v>
      </c>
      <c r="D188" s="3053"/>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2">
        <f t="shared" si="42"/>
        <v>0</v>
      </c>
    </row>
    <row r="189" spans="1:19">
      <c r="A189" s="672"/>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2">
        <f t="shared" si="42"/>
        <v>0</v>
      </c>
    </row>
    <row r="190" spans="1:19">
      <c r="A190" s="672"/>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2">
        <f t="shared" si="42"/>
        <v>0</v>
      </c>
    </row>
    <row r="191" spans="1:19">
      <c r="A191" s="672"/>
      <c r="B191" s="57"/>
      <c r="C191" s="24">
        <f t="shared" si="33"/>
        <v>1</v>
      </c>
      <c r="D191" s="3053"/>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2">
        <f t="shared" si="42"/>
        <v>0</v>
      </c>
    </row>
    <row r="192" spans="1:19">
      <c r="A192" s="155"/>
      <c r="B192" s="57"/>
      <c r="C192" s="24">
        <f t="shared" si="33"/>
        <v>1</v>
      </c>
      <c r="D192" s="3053"/>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2">
        <f t="shared" si="42"/>
        <v>0</v>
      </c>
    </row>
    <row r="193" spans="1:19">
      <c r="A193" s="155"/>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2">
        <f t="shared" si="42"/>
        <v>0</v>
      </c>
    </row>
    <row r="194" spans="1:19">
      <c r="A194" s="155"/>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2">
        <f t="shared" si="42"/>
        <v>0</v>
      </c>
    </row>
    <row r="195" spans="1:19">
      <c r="A195" s="155"/>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2">
        <f t="shared" si="42"/>
        <v>0</v>
      </c>
    </row>
    <row r="196" spans="1:19">
      <c r="A196" s="155"/>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2">
        <f t="shared" si="42"/>
        <v>0</v>
      </c>
    </row>
    <row r="197" spans="1:19">
      <c r="A197" s="155"/>
      <c r="B197" s="57"/>
      <c r="C197" s="24">
        <f t="shared" si="33"/>
        <v>1</v>
      </c>
      <c r="D197" s="3053"/>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2">
        <f t="shared" si="42"/>
        <v>0</v>
      </c>
    </row>
    <row r="198" spans="1:19">
      <c r="A198" s="155"/>
      <c r="B198" s="57"/>
      <c r="C198" s="24">
        <f t="shared" si="33"/>
        <v>1</v>
      </c>
      <c r="D198" s="3053"/>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2">
        <f t="shared" si="42"/>
        <v>0</v>
      </c>
    </row>
    <row r="199" spans="1:19">
      <c r="A199" s="155"/>
      <c r="B199" s="57"/>
      <c r="C199" s="24">
        <f t="shared" si="33"/>
        <v>1</v>
      </c>
      <c r="D199" s="3053"/>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2">
        <f t="shared" si="42"/>
        <v>0</v>
      </c>
    </row>
    <row r="200" spans="1:19">
      <c r="A200" s="155"/>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2">
        <f t="shared" si="42"/>
        <v>0</v>
      </c>
    </row>
    <row r="201" spans="1:19">
      <c r="A201" s="155"/>
      <c r="B201" s="57"/>
      <c r="C201" s="24">
        <f t="shared" si="33"/>
        <v>1</v>
      </c>
      <c r="D201" s="3053"/>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2">
        <f t="shared" si="42"/>
        <v>0</v>
      </c>
    </row>
    <row r="202" spans="1:19">
      <c r="A202" s="155"/>
      <c r="B202" s="57"/>
      <c r="C202" s="24">
        <f t="shared" si="33"/>
        <v>1</v>
      </c>
      <c r="D202" s="3053"/>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2">
        <f t="shared" si="42"/>
        <v>0</v>
      </c>
    </row>
    <row r="203" spans="1:19">
      <c r="A203" s="155"/>
      <c r="B203" s="57"/>
      <c r="C203" s="24">
        <f t="shared" si="33"/>
        <v>1</v>
      </c>
      <c r="D203" s="3053"/>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2">
        <f t="shared" si="42"/>
        <v>0</v>
      </c>
    </row>
    <row r="204" spans="1:19">
      <c r="A204" s="155"/>
      <c r="B204" s="57"/>
      <c r="C204" s="24">
        <f t="shared" si="33"/>
        <v>1</v>
      </c>
      <c r="D204" s="3053"/>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2">
        <f t="shared" si="42"/>
        <v>0</v>
      </c>
    </row>
    <row r="205" spans="1:19">
      <c r="A205" s="155"/>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2">
        <f t="shared" si="42"/>
        <v>0</v>
      </c>
    </row>
    <row r="206" spans="1:19">
      <c r="A206" s="155"/>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2">
        <f t="shared" si="42"/>
        <v>0</v>
      </c>
    </row>
    <row r="207" spans="1:19">
      <c r="A207" s="155"/>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2">
        <f t="shared" si="42"/>
        <v>0</v>
      </c>
    </row>
    <row r="208" spans="1:19">
      <c r="A208" s="155"/>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2">
        <f t="shared" si="42"/>
        <v>0</v>
      </c>
    </row>
    <row r="209" spans="1:19">
      <c r="A209" s="155"/>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2">
        <f t="shared" si="42"/>
        <v>0</v>
      </c>
    </row>
    <row r="210" spans="1:19">
      <c r="A210" s="155"/>
      <c r="B210" s="57"/>
      <c r="C210" s="24">
        <f t="shared" si="33"/>
        <v>1</v>
      </c>
      <c r="D210" s="3053"/>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2">
        <f t="shared" si="42"/>
        <v>0</v>
      </c>
    </row>
    <row r="211" spans="1:19">
      <c r="A211" s="155"/>
      <c r="B211" s="57"/>
      <c r="C211" s="24">
        <f t="shared" si="33"/>
        <v>1</v>
      </c>
      <c r="D211" s="3053"/>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2">
        <f t="shared" si="42"/>
        <v>0</v>
      </c>
    </row>
    <row r="212" spans="1:19">
      <c r="A212" s="155"/>
      <c r="B212" s="57"/>
      <c r="C212" s="24">
        <f t="shared" si="33"/>
        <v>1</v>
      </c>
      <c r="D212" s="3053"/>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2">
        <f t="shared" si="42"/>
        <v>0</v>
      </c>
    </row>
    <row r="213" spans="1:19">
      <c r="A213" s="155"/>
      <c r="B213" s="57"/>
      <c r="C213" s="24">
        <f t="shared" si="33"/>
        <v>1</v>
      </c>
      <c r="D213" s="3053"/>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2">
        <f t="shared" si="42"/>
        <v>0</v>
      </c>
    </row>
    <row r="214" spans="1:19">
      <c r="A214" s="155"/>
      <c r="B214" s="57"/>
      <c r="C214" s="24">
        <f t="shared" si="33"/>
        <v>1</v>
      </c>
      <c r="D214" s="3053"/>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2">
        <f t="shared" si="42"/>
        <v>0</v>
      </c>
    </row>
    <row r="215" spans="1:19">
      <c r="A215" s="155"/>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2">
        <f t="shared" si="42"/>
        <v>0</v>
      </c>
    </row>
    <row r="216" spans="1:19">
      <c r="A216" s="155"/>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2">
        <f t="shared" si="42"/>
        <v>0</v>
      </c>
    </row>
    <row r="217" spans="1:19">
      <c r="A217" s="155"/>
      <c r="B217" s="57"/>
      <c r="C217" s="24">
        <f t="shared" si="33"/>
        <v>1</v>
      </c>
      <c r="D217" s="3053"/>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2">
        <f t="shared" si="42"/>
        <v>0</v>
      </c>
    </row>
    <row r="218" spans="1:19">
      <c r="A218" s="155"/>
      <c r="B218" s="57"/>
      <c r="C218" s="24">
        <f t="shared" ref="C218:C281" si="43">IF(B218="",1,(LOOKUP(B218,$3:$3,$4:$4)-LOOKUP($B$24,$3:$3,$4:$4)+100)/100)</f>
        <v>1</v>
      </c>
      <c r="D218" s="3053"/>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2">
        <f t="shared" si="42"/>
        <v>0</v>
      </c>
    </row>
    <row r="219" spans="1:19">
      <c r="A219" s="155"/>
      <c r="B219" s="57"/>
      <c r="C219" s="24">
        <f t="shared" si="43"/>
        <v>1</v>
      </c>
      <c r="D219" s="3053"/>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2">
        <f t="shared" si="42"/>
        <v>0</v>
      </c>
    </row>
    <row r="220" spans="1:19">
      <c r="A220" s="155"/>
      <c r="B220" s="57"/>
      <c r="C220" s="24">
        <f t="shared" si="43"/>
        <v>1</v>
      </c>
      <c r="D220" s="3053"/>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2">
        <f t="shared" si="42"/>
        <v>0</v>
      </c>
    </row>
    <row r="221" spans="1:19">
      <c r="A221" s="155"/>
      <c r="B221" s="57"/>
      <c r="C221" s="24">
        <f t="shared" si="43"/>
        <v>1</v>
      </c>
      <c r="D221" s="3053"/>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2">
        <f t="shared" si="42"/>
        <v>0</v>
      </c>
    </row>
    <row r="222" spans="1:19">
      <c r="A222" s="155"/>
      <c r="B222" s="57"/>
      <c r="C222" s="24">
        <f t="shared" si="43"/>
        <v>1</v>
      </c>
      <c r="D222" s="3053"/>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2">
        <f t="shared" si="42"/>
        <v>0</v>
      </c>
    </row>
    <row r="223" spans="1:19">
      <c r="A223" s="155"/>
      <c r="B223" s="57"/>
      <c r="C223" s="24">
        <f t="shared" si="43"/>
        <v>1</v>
      </c>
      <c r="D223" s="3053"/>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2">
        <f t="shared" ref="S223:S286" si="52">ROUND(R223*B223/10000,0)</f>
        <v>0</v>
      </c>
    </row>
    <row r="224" spans="1:19">
      <c r="A224" s="155"/>
      <c r="B224" s="57"/>
      <c r="C224" s="24">
        <f t="shared" si="43"/>
        <v>1</v>
      </c>
      <c r="D224" s="3053"/>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2">
        <f t="shared" si="52"/>
        <v>0</v>
      </c>
    </row>
    <row r="225" spans="1:19">
      <c r="A225" s="155"/>
      <c r="B225" s="57"/>
      <c r="C225" s="24">
        <f t="shared" si="43"/>
        <v>1</v>
      </c>
      <c r="D225" s="3053"/>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2">
        <f t="shared" si="52"/>
        <v>0</v>
      </c>
    </row>
    <row r="226" spans="1:19">
      <c r="A226" s="155"/>
      <c r="B226" s="57"/>
      <c r="C226" s="24">
        <f t="shared" si="43"/>
        <v>1</v>
      </c>
      <c r="D226" s="3053"/>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2">
        <f t="shared" si="52"/>
        <v>0</v>
      </c>
    </row>
    <row r="227" spans="1:19">
      <c r="A227" s="155"/>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2">
        <f t="shared" si="52"/>
        <v>0</v>
      </c>
    </row>
    <row r="228" spans="1:19">
      <c r="A228" s="155"/>
      <c r="B228" s="57"/>
      <c r="C228" s="24">
        <f t="shared" si="43"/>
        <v>1</v>
      </c>
      <c r="D228" s="3053"/>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2">
        <f t="shared" si="52"/>
        <v>0</v>
      </c>
    </row>
    <row r="229" spans="1:19">
      <c r="A229" s="155"/>
      <c r="B229" s="57"/>
      <c r="C229" s="24">
        <f t="shared" si="43"/>
        <v>1</v>
      </c>
      <c r="D229" s="3053"/>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2">
        <f t="shared" si="52"/>
        <v>0</v>
      </c>
    </row>
    <row r="230" spans="1:19">
      <c r="A230" s="155"/>
      <c r="B230" s="57"/>
      <c r="C230" s="24">
        <f t="shared" si="43"/>
        <v>1</v>
      </c>
      <c r="D230" s="3053"/>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2">
        <f t="shared" si="52"/>
        <v>0</v>
      </c>
    </row>
    <row r="231" spans="1:19">
      <c r="A231" s="155"/>
      <c r="B231" s="57"/>
      <c r="C231" s="24">
        <f t="shared" si="43"/>
        <v>1</v>
      </c>
      <c r="D231" s="3053"/>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2">
        <f t="shared" si="52"/>
        <v>0</v>
      </c>
    </row>
    <row r="232" spans="1:19">
      <c r="A232" s="155"/>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2">
        <f t="shared" si="52"/>
        <v>0</v>
      </c>
    </row>
    <row r="233" spans="1:19">
      <c r="A233" s="155"/>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2">
        <f t="shared" si="52"/>
        <v>0</v>
      </c>
    </row>
    <row r="234" spans="1:19">
      <c r="A234" s="155"/>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2">
        <f t="shared" si="52"/>
        <v>0</v>
      </c>
    </row>
    <row r="235" spans="1:19">
      <c r="A235" s="155"/>
      <c r="B235" s="57"/>
      <c r="C235" s="24">
        <f t="shared" si="43"/>
        <v>1</v>
      </c>
      <c r="D235" s="3053"/>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2">
        <f t="shared" si="52"/>
        <v>0</v>
      </c>
    </row>
    <row r="236" spans="1:19">
      <c r="A236" s="155"/>
      <c r="B236" s="57"/>
      <c r="C236" s="24">
        <f t="shared" si="43"/>
        <v>1</v>
      </c>
      <c r="D236" s="3053"/>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2">
        <f t="shared" si="52"/>
        <v>0</v>
      </c>
    </row>
    <row r="237" spans="1:19">
      <c r="A237" s="155"/>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2">
        <f t="shared" si="52"/>
        <v>0</v>
      </c>
    </row>
    <row r="238" spans="1:19">
      <c r="A238" s="155"/>
      <c r="B238" s="57"/>
      <c r="C238" s="24">
        <f t="shared" si="43"/>
        <v>1</v>
      </c>
      <c r="D238" s="3053"/>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2">
        <f t="shared" si="52"/>
        <v>0</v>
      </c>
    </row>
    <row r="239" spans="1:19">
      <c r="A239" s="155"/>
      <c r="B239" s="57"/>
      <c r="C239" s="24">
        <f t="shared" si="43"/>
        <v>1</v>
      </c>
      <c r="D239" s="3053"/>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2">
        <f t="shared" si="52"/>
        <v>0</v>
      </c>
    </row>
    <row r="240" spans="1:19">
      <c r="A240" s="155"/>
      <c r="B240" s="57"/>
      <c r="C240" s="24">
        <f t="shared" si="43"/>
        <v>1</v>
      </c>
      <c r="D240" s="3053"/>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2">
        <f t="shared" si="52"/>
        <v>0</v>
      </c>
    </row>
    <row r="241" spans="1:19">
      <c r="A241" s="155"/>
      <c r="B241" s="57"/>
      <c r="C241" s="24">
        <f t="shared" si="43"/>
        <v>1</v>
      </c>
      <c r="D241" s="3053"/>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2">
        <f t="shared" si="52"/>
        <v>0</v>
      </c>
    </row>
    <row r="242" spans="1:19">
      <c r="A242" s="155"/>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2">
        <f t="shared" si="52"/>
        <v>0</v>
      </c>
    </row>
    <row r="243" spans="1:19">
      <c r="A243" s="155"/>
      <c r="B243" s="57"/>
      <c r="C243" s="24">
        <f t="shared" si="43"/>
        <v>1</v>
      </c>
      <c r="D243" s="3053"/>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2">
        <f t="shared" si="52"/>
        <v>0</v>
      </c>
    </row>
    <row r="244" spans="1:19">
      <c r="A244" s="155"/>
      <c r="B244" s="57"/>
      <c r="C244" s="24">
        <f t="shared" si="43"/>
        <v>1</v>
      </c>
      <c r="D244" s="3053"/>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2">
        <f t="shared" si="52"/>
        <v>0</v>
      </c>
    </row>
    <row r="245" spans="1:19">
      <c r="A245" s="155"/>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2">
        <f t="shared" si="52"/>
        <v>0</v>
      </c>
    </row>
    <row r="246" spans="1:19">
      <c r="A246" s="155"/>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2">
        <f t="shared" si="52"/>
        <v>0</v>
      </c>
    </row>
    <row r="247" spans="1:19">
      <c r="A247" s="155"/>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2">
        <f t="shared" si="52"/>
        <v>0</v>
      </c>
    </row>
    <row r="248" spans="1:19">
      <c r="A248" s="155"/>
      <c r="B248" s="57"/>
      <c r="C248" s="24">
        <f t="shared" si="43"/>
        <v>1</v>
      </c>
      <c r="D248" s="3053"/>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2">
        <f t="shared" si="52"/>
        <v>0</v>
      </c>
    </row>
    <row r="249" spans="1:19">
      <c r="A249" s="155"/>
      <c r="B249" s="57"/>
      <c r="C249" s="24">
        <f t="shared" si="43"/>
        <v>1</v>
      </c>
      <c r="D249" s="3053"/>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2">
        <f t="shared" si="52"/>
        <v>0</v>
      </c>
    </row>
    <row r="250" spans="1:19">
      <c r="A250" s="155"/>
      <c r="B250" s="57"/>
      <c r="C250" s="24">
        <f t="shared" si="43"/>
        <v>1</v>
      </c>
      <c r="D250" s="3053"/>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2">
        <f t="shared" si="52"/>
        <v>0</v>
      </c>
    </row>
    <row r="251" spans="1:19">
      <c r="A251" s="155"/>
      <c r="B251" s="57"/>
      <c r="C251" s="24">
        <f t="shared" si="43"/>
        <v>1</v>
      </c>
      <c r="D251" s="3053"/>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2">
        <f t="shared" si="52"/>
        <v>0</v>
      </c>
    </row>
    <row r="252" spans="1:19">
      <c r="A252" s="155"/>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2">
        <f t="shared" si="52"/>
        <v>0</v>
      </c>
    </row>
    <row r="253" spans="1:19">
      <c r="A253" s="155"/>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2">
        <f t="shared" si="52"/>
        <v>0</v>
      </c>
    </row>
    <row r="254" spans="1:19">
      <c r="A254" s="155"/>
      <c r="B254" s="57"/>
      <c r="C254" s="24">
        <f t="shared" si="43"/>
        <v>1</v>
      </c>
      <c r="D254" s="3053"/>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2">
        <f t="shared" si="52"/>
        <v>0</v>
      </c>
    </row>
    <row r="255" spans="1:19">
      <c r="A255" s="155"/>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2">
        <f t="shared" si="52"/>
        <v>0</v>
      </c>
    </row>
    <row r="256" spans="1:19">
      <c r="A256" s="155"/>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2">
        <f t="shared" si="52"/>
        <v>0</v>
      </c>
    </row>
    <row r="257" spans="1:19">
      <c r="A257" s="155"/>
      <c r="B257" s="57"/>
      <c r="C257" s="24">
        <f t="shared" si="43"/>
        <v>1</v>
      </c>
      <c r="D257" s="3053"/>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2">
        <f t="shared" si="52"/>
        <v>0</v>
      </c>
    </row>
    <row r="258" spans="1:19">
      <c r="A258" s="155"/>
      <c r="B258" s="57"/>
      <c r="C258" s="24">
        <f t="shared" si="43"/>
        <v>1</v>
      </c>
      <c r="D258" s="3053"/>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2">
        <f t="shared" si="52"/>
        <v>0</v>
      </c>
    </row>
    <row r="259" spans="1:19">
      <c r="A259" s="155"/>
      <c r="B259" s="57"/>
      <c r="C259" s="24">
        <f t="shared" si="43"/>
        <v>1</v>
      </c>
      <c r="D259" s="3053"/>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2">
        <f t="shared" si="52"/>
        <v>0</v>
      </c>
    </row>
    <row r="260" spans="1:19">
      <c r="A260" s="155"/>
      <c r="B260" s="57"/>
      <c r="C260" s="24">
        <f t="shared" si="43"/>
        <v>1</v>
      </c>
      <c r="D260" s="3053"/>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2">
        <f t="shared" si="52"/>
        <v>0</v>
      </c>
    </row>
    <row r="261" spans="1:19">
      <c r="A261" s="155"/>
      <c r="B261" s="57"/>
      <c r="C261" s="24">
        <f t="shared" si="43"/>
        <v>1</v>
      </c>
      <c r="D261" s="3053"/>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2">
        <f t="shared" si="52"/>
        <v>0</v>
      </c>
    </row>
    <row r="262" spans="1:19">
      <c r="A262" s="155"/>
      <c r="B262" s="57"/>
      <c r="C262" s="24">
        <f t="shared" si="43"/>
        <v>1</v>
      </c>
      <c r="D262" s="3053"/>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2">
        <f t="shared" si="52"/>
        <v>0</v>
      </c>
    </row>
    <row r="263" spans="1:19">
      <c r="A263" s="155"/>
      <c r="B263" s="57"/>
      <c r="C263" s="24">
        <f t="shared" si="43"/>
        <v>1</v>
      </c>
      <c r="D263" s="3053"/>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2">
        <f t="shared" si="52"/>
        <v>0</v>
      </c>
    </row>
    <row r="264" spans="1:19">
      <c r="A264" s="155"/>
      <c r="B264" s="57"/>
      <c r="C264" s="24">
        <f t="shared" si="43"/>
        <v>1</v>
      </c>
      <c r="D264" s="3053"/>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2">
        <f t="shared" si="52"/>
        <v>0</v>
      </c>
    </row>
    <row r="265" spans="1:19">
      <c r="A265" s="155"/>
      <c r="B265" s="57"/>
      <c r="C265" s="24">
        <f t="shared" si="43"/>
        <v>1</v>
      </c>
      <c r="D265" s="3053"/>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2">
        <f t="shared" si="52"/>
        <v>0</v>
      </c>
    </row>
    <row r="266" spans="1:19">
      <c r="A266" s="155"/>
      <c r="B266" s="57"/>
      <c r="C266" s="24">
        <f t="shared" si="43"/>
        <v>1</v>
      </c>
      <c r="D266" s="3053"/>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2">
        <f t="shared" si="52"/>
        <v>0</v>
      </c>
    </row>
    <row r="267" spans="1:19">
      <c r="A267" s="155"/>
      <c r="B267" s="57"/>
      <c r="C267" s="24">
        <f t="shared" si="43"/>
        <v>1</v>
      </c>
      <c r="D267" s="3053"/>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2">
        <f t="shared" si="52"/>
        <v>0</v>
      </c>
    </row>
    <row r="268" spans="1:19">
      <c r="A268" s="155"/>
      <c r="B268" s="57"/>
      <c r="C268" s="24">
        <f t="shared" si="43"/>
        <v>1</v>
      </c>
      <c r="D268" s="3053"/>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2">
        <f t="shared" si="52"/>
        <v>0</v>
      </c>
    </row>
    <row r="269" spans="1:19">
      <c r="A269" s="155"/>
      <c r="B269" s="57"/>
      <c r="C269" s="24">
        <f t="shared" si="43"/>
        <v>1</v>
      </c>
      <c r="D269" s="3053"/>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2">
        <f t="shared" si="52"/>
        <v>0</v>
      </c>
    </row>
    <row r="270" spans="1:19">
      <c r="A270" s="155"/>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2">
        <f t="shared" si="52"/>
        <v>0</v>
      </c>
    </row>
    <row r="271" spans="1:19">
      <c r="A271" s="155"/>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2">
        <f t="shared" si="52"/>
        <v>0</v>
      </c>
    </row>
    <row r="272" spans="1:19">
      <c r="A272" s="155"/>
      <c r="B272" s="57"/>
      <c r="C272" s="24">
        <f t="shared" si="43"/>
        <v>1</v>
      </c>
      <c r="D272" s="3053"/>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2">
        <f t="shared" si="52"/>
        <v>0</v>
      </c>
    </row>
    <row r="273" spans="1:19">
      <c r="A273" s="155"/>
      <c r="B273" s="57"/>
      <c r="C273" s="24">
        <f t="shared" si="43"/>
        <v>1</v>
      </c>
      <c r="D273" s="3053"/>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2">
        <f t="shared" si="52"/>
        <v>0</v>
      </c>
    </row>
    <row r="274" spans="1:19">
      <c r="A274" s="155"/>
      <c r="B274" s="57"/>
      <c r="C274" s="24">
        <f t="shared" si="43"/>
        <v>1</v>
      </c>
      <c r="D274" s="3053"/>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2">
        <f t="shared" si="52"/>
        <v>0</v>
      </c>
    </row>
    <row r="275" spans="1:19">
      <c r="A275" s="155"/>
      <c r="B275" s="57"/>
      <c r="C275" s="24">
        <f t="shared" si="43"/>
        <v>1</v>
      </c>
      <c r="D275" s="3053"/>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2">
        <f t="shared" si="52"/>
        <v>0</v>
      </c>
    </row>
    <row r="276" spans="1:19">
      <c r="A276" s="155"/>
      <c r="B276" s="57"/>
      <c r="C276" s="24">
        <f t="shared" si="43"/>
        <v>1</v>
      </c>
      <c r="D276" s="3053"/>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2">
        <f t="shared" si="52"/>
        <v>0</v>
      </c>
    </row>
    <row r="277" spans="1:19">
      <c r="A277" s="155"/>
      <c r="B277" s="57"/>
      <c r="C277" s="24">
        <f t="shared" si="43"/>
        <v>1</v>
      </c>
      <c r="D277" s="3053"/>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2">
        <f t="shared" si="52"/>
        <v>0</v>
      </c>
    </row>
    <row r="278" spans="1:19">
      <c r="A278" s="155"/>
      <c r="B278" s="57"/>
      <c r="C278" s="24">
        <f t="shared" si="43"/>
        <v>1</v>
      </c>
      <c r="D278" s="3053"/>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2">
        <f t="shared" si="52"/>
        <v>0</v>
      </c>
    </row>
    <row r="279" spans="1:19">
      <c r="A279" s="155"/>
      <c r="B279" s="57"/>
      <c r="C279" s="24">
        <f t="shared" si="43"/>
        <v>1</v>
      </c>
      <c r="D279" s="3053"/>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2">
        <f t="shared" si="52"/>
        <v>0</v>
      </c>
    </row>
    <row r="280" spans="1:19">
      <c r="A280" s="155"/>
      <c r="B280" s="57"/>
      <c r="C280" s="24">
        <f t="shared" si="43"/>
        <v>1</v>
      </c>
      <c r="D280" s="3053"/>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2">
        <f t="shared" si="52"/>
        <v>0</v>
      </c>
    </row>
    <row r="281" spans="1:19">
      <c r="A281" s="155"/>
      <c r="B281" s="57"/>
      <c r="C281" s="24">
        <f t="shared" si="43"/>
        <v>1</v>
      </c>
      <c r="D281" s="3053"/>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2">
        <f t="shared" si="52"/>
        <v>0</v>
      </c>
    </row>
    <row r="282" spans="1:19">
      <c r="A282" s="155"/>
      <c r="B282" s="57"/>
      <c r="C282" s="24">
        <f t="shared" ref="C282:C345" si="53">IF(B282="",1,(LOOKUP(B282,$3:$3,$4:$4)-LOOKUP($B$24,$3:$3,$4:$4)+100)/100)</f>
        <v>1</v>
      </c>
      <c r="D282" s="3053"/>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2">
        <f t="shared" si="52"/>
        <v>0</v>
      </c>
    </row>
    <row r="283" spans="1:19">
      <c r="A283" s="155"/>
      <c r="B283" s="57"/>
      <c r="C283" s="24">
        <f t="shared" si="53"/>
        <v>1</v>
      </c>
      <c r="D283" s="3053"/>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2">
        <f t="shared" si="52"/>
        <v>0</v>
      </c>
    </row>
    <row r="284" spans="1:19">
      <c r="A284" s="155"/>
      <c r="B284" s="57"/>
      <c r="C284" s="24">
        <f t="shared" si="53"/>
        <v>1</v>
      </c>
      <c r="D284" s="3053"/>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2">
        <f t="shared" si="52"/>
        <v>0</v>
      </c>
    </row>
    <row r="285" spans="1:19">
      <c r="A285" s="155"/>
      <c r="B285" s="57"/>
      <c r="C285" s="24">
        <f t="shared" si="53"/>
        <v>1</v>
      </c>
      <c r="D285" s="3053"/>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2">
        <f t="shared" si="52"/>
        <v>0</v>
      </c>
    </row>
    <row r="286" spans="1:19">
      <c r="A286" s="155"/>
      <c r="B286" s="57"/>
      <c r="C286" s="24">
        <f t="shared" si="53"/>
        <v>1</v>
      </c>
      <c r="D286" s="3053"/>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2">
        <f t="shared" si="52"/>
        <v>0</v>
      </c>
    </row>
    <row r="287" spans="1:19">
      <c r="A287" s="155"/>
      <c r="B287" s="57"/>
      <c r="C287" s="24">
        <f t="shared" si="53"/>
        <v>1</v>
      </c>
      <c r="D287" s="3053"/>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2">
        <f t="shared" ref="S287:S320" si="62">ROUND(R287*B287/10000,0)</f>
        <v>0</v>
      </c>
    </row>
    <row r="288" spans="1:19">
      <c r="A288" s="155"/>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2">
        <f t="shared" si="62"/>
        <v>0</v>
      </c>
    </row>
    <row r="289" spans="1:19">
      <c r="A289" s="155"/>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2">
        <f t="shared" si="62"/>
        <v>0</v>
      </c>
    </row>
    <row r="290" spans="1:19">
      <c r="A290" s="155"/>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2">
        <f t="shared" si="62"/>
        <v>0</v>
      </c>
    </row>
    <row r="291" spans="1:19">
      <c r="A291" s="155"/>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2">
        <f t="shared" si="62"/>
        <v>0</v>
      </c>
    </row>
    <row r="292" spans="1:19">
      <c r="A292" s="155"/>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2">
        <f t="shared" si="62"/>
        <v>0</v>
      </c>
    </row>
    <row r="293" spans="1:19">
      <c r="A293" s="155"/>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2">
        <f t="shared" si="62"/>
        <v>0</v>
      </c>
    </row>
    <row r="294" spans="1:19">
      <c r="A294" s="155"/>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2">
        <f t="shared" si="62"/>
        <v>0</v>
      </c>
    </row>
    <row r="295" spans="1:19">
      <c r="A295" s="155"/>
      <c r="B295" s="57"/>
      <c r="C295" s="24">
        <f t="shared" si="53"/>
        <v>1</v>
      </c>
      <c r="D295" s="3053"/>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2">
        <f t="shared" si="62"/>
        <v>0</v>
      </c>
    </row>
    <row r="296" spans="1:19">
      <c r="A296" s="155"/>
      <c r="B296" s="57"/>
      <c r="C296" s="24">
        <f t="shared" si="53"/>
        <v>1</v>
      </c>
      <c r="D296" s="3053"/>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2">
        <f t="shared" si="62"/>
        <v>0</v>
      </c>
    </row>
    <row r="297" spans="1:19">
      <c r="A297" s="155"/>
      <c r="B297" s="57"/>
      <c r="C297" s="24">
        <f t="shared" si="53"/>
        <v>1</v>
      </c>
      <c r="D297" s="3053"/>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2">
        <f t="shared" si="62"/>
        <v>0</v>
      </c>
    </row>
    <row r="298" spans="1:19">
      <c r="A298" s="155"/>
      <c r="B298" s="57"/>
      <c r="C298" s="24">
        <f t="shared" si="53"/>
        <v>1</v>
      </c>
      <c r="D298" s="3053"/>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2">
        <f t="shared" si="62"/>
        <v>0</v>
      </c>
    </row>
    <row r="299" spans="1:19">
      <c r="A299" s="155"/>
      <c r="B299" s="57"/>
      <c r="C299" s="24">
        <f t="shared" si="53"/>
        <v>1</v>
      </c>
      <c r="D299" s="3053"/>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2">
        <f t="shared" si="62"/>
        <v>0</v>
      </c>
    </row>
    <row r="300" spans="1:19">
      <c r="A300" s="155"/>
      <c r="B300" s="57"/>
      <c r="C300" s="24">
        <f t="shared" si="53"/>
        <v>1</v>
      </c>
      <c r="D300" s="3053"/>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2">
        <f t="shared" si="62"/>
        <v>0</v>
      </c>
    </row>
    <row r="301" spans="1:19">
      <c r="A301" s="155"/>
      <c r="B301" s="57"/>
      <c r="C301" s="24">
        <f t="shared" si="53"/>
        <v>1</v>
      </c>
      <c r="D301" s="3053"/>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2">
        <f t="shared" si="62"/>
        <v>0</v>
      </c>
    </row>
    <row r="302" spans="1:19">
      <c r="A302" s="155"/>
      <c r="B302" s="57"/>
      <c r="C302" s="24">
        <f t="shared" si="53"/>
        <v>1</v>
      </c>
      <c r="D302" s="3053"/>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2">
        <f t="shared" si="62"/>
        <v>0</v>
      </c>
    </row>
    <row r="303" spans="1:19">
      <c r="A303" s="155"/>
      <c r="B303" s="57"/>
      <c r="C303" s="24">
        <f t="shared" si="53"/>
        <v>1</v>
      </c>
      <c r="D303" s="3053"/>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2">
        <f t="shared" si="62"/>
        <v>0</v>
      </c>
    </row>
    <row r="304" spans="1:19">
      <c r="A304" s="155"/>
      <c r="B304" s="57"/>
      <c r="C304" s="24">
        <f t="shared" si="53"/>
        <v>1</v>
      </c>
      <c r="D304" s="3053"/>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2">
        <f t="shared" si="62"/>
        <v>0</v>
      </c>
    </row>
    <row r="305" spans="1:19">
      <c r="A305" s="155"/>
      <c r="B305" s="57"/>
      <c r="C305" s="24">
        <f t="shared" si="53"/>
        <v>1</v>
      </c>
      <c r="D305" s="3053"/>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2">
        <f t="shared" si="62"/>
        <v>0</v>
      </c>
    </row>
    <row r="306" spans="1:19">
      <c r="A306" s="155"/>
      <c r="B306" s="57"/>
      <c r="C306" s="24">
        <f t="shared" si="53"/>
        <v>1</v>
      </c>
      <c r="D306" s="3053"/>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2">
        <f t="shared" si="62"/>
        <v>0</v>
      </c>
    </row>
    <row r="307" spans="1:19">
      <c r="A307" s="155"/>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2">
        <f t="shared" si="62"/>
        <v>0</v>
      </c>
    </row>
    <row r="308" spans="1:19">
      <c r="A308" s="155"/>
      <c r="B308" s="57"/>
      <c r="C308" s="24">
        <f t="shared" si="53"/>
        <v>1</v>
      </c>
      <c r="D308" s="3053"/>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2">
        <f t="shared" si="62"/>
        <v>0</v>
      </c>
    </row>
    <row r="309" spans="1:19">
      <c r="A309" s="155"/>
      <c r="B309" s="57"/>
      <c r="C309" s="24">
        <f t="shared" si="53"/>
        <v>1</v>
      </c>
      <c r="D309" s="3053"/>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2">
        <f t="shared" si="62"/>
        <v>0</v>
      </c>
    </row>
    <row r="310" spans="1:19">
      <c r="A310" s="155"/>
      <c r="B310" s="57"/>
      <c r="C310" s="24">
        <f t="shared" si="53"/>
        <v>1</v>
      </c>
      <c r="D310" s="3053"/>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2">
        <f t="shared" si="62"/>
        <v>0</v>
      </c>
    </row>
    <row r="311" spans="1:19">
      <c r="A311" s="155"/>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2">
        <f t="shared" si="62"/>
        <v>0</v>
      </c>
    </row>
    <row r="312" spans="1:19">
      <c r="A312" s="155"/>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2">
        <f t="shared" si="62"/>
        <v>0</v>
      </c>
    </row>
    <row r="313" spans="1:19">
      <c r="A313" s="155"/>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2">
        <f t="shared" si="62"/>
        <v>0</v>
      </c>
    </row>
    <row r="314" spans="1:19">
      <c r="A314" s="155"/>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2">
        <f t="shared" si="62"/>
        <v>0</v>
      </c>
    </row>
    <row r="315" spans="1:19">
      <c r="A315" s="155"/>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2">
        <f t="shared" si="62"/>
        <v>0</v>
      </c>
    </row>
    <row r="316" spans="1:19">
      <c r="A316" s="155"/>
      <c r="B316" s="57"/>
      <c r="C316" s="24">
        <f t="shared" si="53"/>
        <v>1</v>
      </c>
      <c r="D316" s="3053"/>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2">
        <f t="shared" si="62"/>
        <v>0</v>
      </c>
    </row>
    <row r="317" spans="1:19">
      <c r="A317" s="155"/>
      <c r="B317" s="57"/>
      <c r="C317" s="24">
        <f t="shared" si="53"/>
        <v>1</v>
      </c>
      <c r="D317" s="3053"/>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2">
        <f t="shared" si="62"/>
        <v>0</v>
      </c>
    </row>
    <row r="318" spans="1:19">
      <c r="A318" s="155"/>
      <c r="B318" s="57"/>
      <c r="C318" s="24">
        <f t="shared" si="53"/>
        <v>1</v>
      </c>
      <c r="D318" s="3053"/>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2">
        <f t="shared" si="62"/>
        <v>0</v>
      </c>
    </row>
    <row r="319" spans="1:19">
      <c r="A319" s="155"/>
      <c r="B319" s="57"/>
      <c r="C319" s="24">
        <f t="shared" si="53"/>
        <v>1</v>
      </c>
      <c r="D319" s="3053"/>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2">
        <f t="shared" si="62"/>
        <v>0</v>
      </c>
    </row>
    <row r="320" spans="1:19">
      <c r="A320" s="155"/>
      <c r="B320" s="57"/>
      <c r="C320" s="24">
        <f t="shared" si="53"/>
        <v>1</v>
      </c>
      <c r="D320" s="3053"/>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2">
        <f t="shared" si="62"/>
        <v>0</v>
      </c>
    </row>
    <row r="321" spans="1:19">
      <c r="A321" s="155"/>
      <c r="B321" s="57"/>
      <c r="C321" s="24">
        <f t="shared" si="53"/>
        <v>1</v>
      </c>
      <c r="D321" s="3053"/>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2">
        <f t="shared" ref="S321:S384" si="63">ROUND(R321*B321/10000,0)</f>
        <v>0</v>
      </c>
    </row>
    <row r="322" spans="1:19">
      <c r="A322" s="155"/>
      <c r="B322" s="57"/>
      <c r="C322" s="24">
        <f t="shared" si="53"/>
        <v>1</v>
      </c>
      <c r="D322" s="3053"/>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2">
        <f t="shared" si="63"/>
        <v>0</v>
      </c>
    </row>
    <row r="323" spans="1:19">
      <c r="A323" s="155"/>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2">
        <f t="shared" si="63"/>
        <v>0</v>
      </c>
    </row>
    <row r="324" spans="1:19">
      <c r="A324" s="155"/>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2">
        <f t="shared" si="63"/>
        <v>0</v>
      </c>
    </row>
    <row r="325" spans="1:19">
      <c r="A325" s="155"/>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2">
        <f t="shared" si="63"/>
        <v>0</v>
      </c>
    </row>
    <row r="326" spans="1:19">
      <c r="A326" s="155"/>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2">
        <f t="shared" si="63"/>
        <v>0</v>
      </c>
    </row>
    <row r="327" spans="1:19">
      <c r="A327" s="155"/>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2">
        <f t="shared" si="63"/>
        <v>0</v>
      </c>
    </row>
    <row r="328" spans="1:19">
      <c r="A328" s="155"/>
      <c r="B328" s="57"/>
      <c r="C328" s="24">
        <f t="shared" si="53"/>
        <v>1</v>
      </c>
      <c r="D328" s="3053"/>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2">
        <f t="shared" si="63"/>
        <v>0</v>
      </c>
    </row>
    <row r="329" spans="1:19">
      <c r="A329" s="155"/>
      <c r="B329" s="57"/>
      <c r="C329" s="24">
        <f t="shared" si="53"/>
        <v>1</v>
      </c>
      <c r="D329" s="3053"/>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2">
        <f t="shared" si="63"/>
        <v>0</v>
      </c>
    </row>
    <row r="330" spans="1:19">
      <c r="A330" s="155"/>
      <c r="B330" s="57"/>
      <c r="C330" s="24">
        <f t="shared" si="53"/>
        <v>1</v>
      </c>
      <c r="D330" s="3053"/>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2">
        <f t="shared" si="63"/>
        <v>0</v>
      </c>
    </row>
    <row r="331" spans="1:19">
      <c r="A331" s="155"/>
      <c r="B331" s="57"/>
      <c r="C331" s="24">
        <f t="shared" si="53"/>
        <v>1</v>
      </c>
      <c r="D331" s="3053"/>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2">
        <f t="shared" si="63"/>
        <v>0</v>
      </c>
    </row>
    <row r="332" spans="1:19">
      <c r="A332" s="155"/>
      <c r="B332" s="57"/>
      <c r="C332" s="24">
        <f t="shared" si="53"/>
        <v>1</v>
      </c>
      <c r="D332" s="3053"/>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2">
        <f t="shared" si="63"/>
        <v>0</v>
      </c>
    </row>
    <row r="333" spans="1:19">
      <c r="A333" s="155"/>
      <c r="B333" s="57"/>
      <c r="C333" s="24">
        <f t="shared" si="53"/>
        <v>1</v>
      </c>
      <c r="D333" s="3053"/>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2">
        <f t="shared" si="63"/>
        <v>0</v>
      </c>
    </row>
    <row r="334" spans="1:19">
      <c r="A334" s="155"/>
      <c r="B334" s="57"/>
      <c r="C334" s="24">
        <f t="shared" si="53"/>
        <v>1</v>
      </c>
      <c r="D334" s="3053"/>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2">
        <f t="shared" si="63"/>
        <v>0</v>
      </c>
    </row>
    <row r="335" spans="1:19">
      <c r="A335" s="155"/>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2">
        <f t="shared" si="63"/>
        <v>0</v>
      </c>
    </row>
    <row r="336" spans="1:19">
      <c r="A336" s="155"/>
      <c r="B336" s="57"/>
      <c r="C336" s="24">
        <f t="shared" si="53"/>
        <v>1</v>
      </c>
      <c r="D336" s="3053"/>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2">
        <f t="shared" si="63"/>
        <v>0</v>
      </c>
    </row>
    <row r="337" spans="1:19">
      <c r="A337" s="155"/>
      <c r="B337" s="57"/>
      <c r="C337" s="24">
        <f t="shared" si="53"/>
        <v>1</v>
      </c>
      <c r="D337" s="3053"/>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2">
        <f t="shared" si="63"/>
        <v>0</v>
      </c>
    </row>
    <row r="338" spans="1:19">
      <c r="A338" s="155"/>
      <c r="B338" s="57"/>
      <c r="C338" s="24">
        <f t="shared" si="53"/>
        <v>1</v>
      </c>
      <c r="D338" s="3053"/>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2">
        <f t="shared" si="63"/>
        <v>0</v>
      </c>
    </row>
    <row r="339" spans="1:19">
      <c r="A339" s="155"/>
      <c r="B339" s="57"/>
      <c r="C339" s="24">
        <f t="shared" si="53"/>
        <v>1</v>
      </c>
      <c r="D339" s="3053"/>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2">
        <f t="shared" si="63"/>
        <v>0</v>
      </c>
    </row>
    <row r="340" spans="1:19">
      <c r="A340" s="155"/>
      <c r="B340" s="57"/>
      <c r="C340" s="24">
        <f t="shared" si="53"/>
        <v>1</v>
      </c>
      <c r="D340" s="3053"/>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2">
        <f t="shared" si="63"/>
        <v>0</v>
      </c>
    </row>
    <row r="341" spans="1:19">
      <c r="A341" s="155"/>
      <c r="B341" s="57"/>
      <c r="C341" s="24">
        <f t="shared" si="53"/>
        <v>1</v>
      </c>
      <c r="D341" s="3053"/>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2">
        <f t="shared" si="63"/>
        <v>0</v>
      </c>
    </row>
    <row r="342" spans="1:19">
      <c r="A342" s="155"/>
      <c r="B342" s="57"/>
      <c r="C342" s="24">
        <f t="shared" si="53"/>
        <v>1</v>
      </c>
      <c r="D342" s="3053"/>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2">
        <f t="shared" si="63"/>
        <v>0</v>
      </c>
    </row>
    <row r="343" spans="1:19">
      <c r="A343" s="155"/>
      <c r="B343" s="57"/>
      <c r="C343" s="24">
        <f t="shared" si="53"/>
        <v>1</v>
      </c>
      <c r="D343" s="3053"/>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2">
        <f t="shared" si="63"/>
        <v>0</v>
      </c>
    </row>
    <row r="344" spans="1:19">
      <c r="A344" s="155"/>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2">
        <f t="shared" si="63"/>
        <v>0</v>
      </c>
    </row>
    <row r="345" spans="1:19">
      <c r="A345" s="155"/>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2">
        <f t="shared" si="63"/>
        <v>0</v>
      </c>
    </row>
    <row r="346" spans="1:19">
      <c r="A346" s="155"/>
      <c r="B346" s="57"/>
      <c r="C346" s="24">
        <f t="shared" ref="C346:C409" si="64">IF(B346="",1,(LOOKUP(B346,$3:$3,$4:$4)-LOOKUP($B$24,$3:$3,$4:$4)+100)/100)</f>
        <v>1</v>
      </c>
      <c r="D346" s="3053"/>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2">
        <f t="shared" si="63"/>
        <v>0</v>
      </c>
    </row>
    <row r="347" spans="1:19">
      <c r="A347" s="155"/>
      <c r="B347" s="57"/>
      <c r="C347" s="24">
        <f t="shared" si="64"/>
        <v>1</v>
      </c>
      <c r="D347" s="3053"/>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2">
        <f t="shared" si="63"/>
        <v>0</v>
      </c>
    </row>
    <row r="348" spans="1:19">
      <c r="A348" s="155"/>
      <c r="B348" s="57"/>
      <c r="C348" s="24">
        <f t="shared" si="64"/>
        <v>1</v>
      </c>
      <c r="D348" s="3053"/>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2">
        <f t="shared" si="63"/>
        <v>0</v>
      </c>
    </row>
    <row r="349" spans="1:19">
      <c r="A349" s="155"/>
      <c r="B349" s="57"/>
      <c r="C349" s="24">
        <f t="shared" si="64"/>
        <v>1</v>
      </c>
      <c r="D349" s="3053"/>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2">
        <f t="shared" si="63"/>
        <v>0</v>
      </c>
    </row>
    <row r="350" spans="1:19">
      <c r="A350" s="155"/>
      <c r="B350" s="57"/>
      <c r="C350" s="24">
        <f t="shared" si="64"/>
        <v>1</v>
      </c>
      <c r="D350" s="3053"/>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2">
        <f t="shared" si="63"/>
        <v>0</v>
      </c>
    </row>
    <row r="351" spans="1:19">
      <c r="A351" s="155"/>
      <c r="B351" s="57"/>
      <c r="C351" s="24">
        <f t="shared" si="64"/>
        <v>1</v>
      </c>
      <c r="D351" s="3053"/>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2">
        <f t="shared" si="63"/>
        <v>0</v>
      </c>
    </row>
    <row r="352" spans="1:19">
      <c r="A352" s="155"/>
      <c r="B352" s="57"/>
      <c r="C352" s="24">
        <f t="shared" si="64"/>
        <v>1</v>
      </c>
      <c r="D352" s="3053"/>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2">
        <f t="shared" si="63"/>
        <v>0</v>
      </c>
    </row>
    <row r="353" spans="1:19">
      <c r="A353" s="155"/>
      <c r="B353" s="57"/>
      <c r="C353" s="24">
        <f t="shared" si="64"/>
        <v>1</v>
      </c>
      <c r="D353" s="3053"/>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2">
        <f t="shared" si="63"/>
        <v>0</v>
      </c>
    </row>
    <row r="354" spans="1:19">
      <c r="A354" s="155"/>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2">
        <f t="shared" si="63"/>
        <v>0</v>
      </c>
    </row>
    <row r="355" spans="1:19">
      <c r="A355" s="155"/>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2">
        <f t="shared" si="63"/>
        <v>0</v>
      </c>
    </row>
    <row r="356" spans="1:19">
      <c r="A356" s="155"/>
      <c r="B356" s="57"/>
      <c r="C356" s="24">
        <f t="shared" si="64"/>
        <v>1</v>
      </c>
      <c r="D356" s="3053"/>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2">
        <f t="shared" si="63"/>
        <v>0</v>
      </c>
    </row>
    <row r="357" spans="1:19">
      <c r="A357" s="155"/>
      <c r="B357" s="57"/>
      <c r="C357" s="24">
        <f t="shared" si="64"/>
        <v>1</v>
      </c>
      <c r="D357" s="3053"/>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2">
        <f t="shared" si="63"/>
        <v>0</v>
      </c>
    </row>
    <row r="358" spans="1:19">
      <c r="A358" s="155"/>
      <c r="B358" s="57"/>
      <c r="C358" s="24">
        <f t="shared" si="64"/>
        <v>1</v>
      </c>
      <c r="D358" s="3053"/>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2">
        <f t="shared" si="63"/>
        <v>0</v>
      </c>
    </row>
    <row r="359" spans="1:19">
      <c r="A359" s="155"/>
      <c r="B359" s="57"/>
      <c r="C359" s="24">
        <f t="shared" si="64"/>
        <v>1</v>
      </c>
      <c r="D359" s="3053"/>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2">
        <f t="shared" si="63"/>
        <v>0</v>
      </c>
    </row>
    <row r="360" spans="1:19">
      <c r="A360" s="155"/>
      <c r="B360" s="57"/>
      <c r="C360" s="24">
        <f t="shared" si="64"/>
        <v>1</v>
      </c>
      <c r="D360" s="3053"/>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2">
        <f t="shared" si="63"/>
        <v>0</v>
      </c>
    </row>
    <row r="361" spans="1:19">
      <c r="A361" s="155"/>
      <c r="B361" s="57"/>
      <c r="C361" s="24">
        <f t="shared" si="64"/>
        <v>1</v>
      </c>
      <c r="D361" s="3053"/>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2">
        <f t="shared" si="63"/>
        <v>0</v>
      </c>
    </row>
    <row r="362" spans="1:19">
      <c r="A362" s="155"/>
      <c r="B362" s="57"/>
      <c r="C362" s="24">
        <f t="shared" si="64"/>
        <v>1</v>
      </c>
      <c r="D362" s="3053"/>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2">
        <f t="shared" si="63"/>
        <v>0</v>
      </c>
    </row>
    <row r="363" spans="1:19">
      <c r="A363" s="155"/>
      <c r="B363" s="57"/>
      <c r="C363" s="24">
        <f t="shared" si="64"/>
        <v>1</v>
      </c>
      <c r="D363" s="3053"/>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2">
        <f t="shared" si="63"/>
        <v>0</v>
      </c>
    </row>
    <row r="364" spans="1:19">
      <c r="A364" s="155"/>
      <c r="B364" s="57"/>
      <c r="C364" s="24">
        <f t="shared" si="64"/>
        <v>1</v>
      </c>
      <c r="D364" s="3053"/>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2">
        <f t="shared" si="63"/>
        <v>0</v>
      </c>
    </row>
    <row r="365" spans="1:19">
      <c r="A365" s="155"/>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2">
        <f t="shared" si="63"/>
        <v>0</v>
      </c>
    </row>
    <row r="366" spans="1:19">
      <c r="A366" s="155"/>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2">
        <f t="shared" si="63"/>
        <v>0</v>
      </c>
    </row>
    <row r="367" spans="1:19">
      <c r="A367" s="155"/>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2">
        <f t="shared" si="63"/>
        <v>0</v>
      </c>
    </row>
    <row r="368" spans="1:19">
      <c r="A368" s="155"/>
      <c r="B368" s="57"/>
      <c r="C368" s="24">
        <f t="shared" si="64"/>
        <v>1</v>
      </c>
      <c r="D368" s="3053"/>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2">
        <f t="shared" si="63"/>
        <v>0</v>
      </c>
    </row>
    <row r="369" spans="1:19">
      <c r="A369" s="155"/>
      <c r="B369" s="57"/>
      <c r="C369" s="24">
        <f t="shared" si="64"/>
        <v>1</v>
      </c>
      <c r="D369" s="3053"/>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2">
        <f t="shared" si="63"/>
        <v>0</v>
      </c>
    </row>
    <row r="370" spans="1:19">
      <c r="A370" s="155"/>
      <c r="B370" s="57"/>
      <c r="C370" s="24">
        <f t="shared" si="64"/>
        <v>1</v>
      </c>
      <c r="D370" s="3053"/>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2">
        <f t="shared" si="63"/>
        <v>0</v>
      </c>
    </row>
    <row r="371" spans="1:19">
      <c r="A371" s="155"/>
      <c r="B371" s="57"/>
      <c r="C371" s="24">
        <f t="shared" si="64"/>
        <v>1</v>
      </c>
      <c r="D371" s="3053"/>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2">
        <f t="shared" si="63"/>
        <v>0</v>
      </c>
    </row>
    <row r="372" spans="1:19">
      <c r="A372" s="155"/>
      <c r="B372" s="57"/>
      <c r="C372" s="24">
        <f t="shared" si="64"/>
        <v>1</v>
      </c>
      <c r="D372" s="3053"/>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2">
        <f t="shared" si="63"/>
        <v>0</v>
      </c>
    </row>
    <row r="373" spans="1:19">
      <c r="A373" s="155"/>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2">
        <f t="shared" si="63"/>
        <v>0</v>
      </c>
    </row>
    <row r="374" spans="1:19">
      <c r="A374" s="155"/>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2">
        <f t="shared" si="63"/>
        <v>0</v>
      </c>
    </row>
    <row r="375" spans="1:19">
      <c r="A375" s="155"/>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2">
        <f t="shared" si="63"/>
        <v>0</v>
      </c>
    </row>
    <row r="376" spans="1:19">
      <c r="A376" s="155"/>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2">
        <f t="shared" si="63"/>
        <v>0</v>
      </c>
    </row>
    <row r="377" spans="1:19">
      <c r="A377" s="155"/>
      <c r="B377" s="57"/>
      <c r="C377" s="24">
        <f t="shared" si="64"/>
        <v>1</v>
      </c>
      <c r="D377" s="3053"/>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2">
        <f t="shared" si="63"/>
        <v>0</v>
      </c>
    </row>
    <row r="378" spans="1:19">
      <c r="A378" s="155"/>
      <c r="B378" s="57"/>
      <c r="C378" s="24">
        <f t="shared" si="64"/>
        <v>1</v>
      </c>
      <c r="D378" s="3053"/>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2">
        <f t="shared" si="63"/>
        <v>0</v>
      </c>
    </row>
    <row r="379" spans="1:19">
      <c r="A379" s="155"/>
      <c r="B379" s="57"/>
      <c r="C379" s="24">
        <f t="shared" si="64"/>
        <v>1</v>
      </c>
      <c r="D379" s="3053"/>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2">
        <f t="shared" si="63"/>
        <v>0</v>
      </c>
    </row>
    <row r="380" spans="1:19">
      <c r="A380" s="155"/>
      <c r="B380" s="57"/>
      <c r="C380" s="24">
        <f t="shared" si="64"/>
        <v>1</v>
      </c>
      <c r="D380" s="3053"/>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2">
        <f t="shared" si="63"/>
        <v>0</v>
      </c>
    </row>
    <row r="381" spans="1:19">
      <c r="A381" s="155"/>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2">
        <f t="shared" si="63"/>
        <v>0</v>
      </c>
    </row>
    <row r="382" spans="1:19">
      <c r="A382" s="155"/>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2">
        <f t="shared" si="63"/>
        <v>0</v>
      </c>
    </row>
    <row r="383" spans="1:19">
      <c r="A383" s="155"/>
      <c r="B383" s="57"/>
      <c r="C383" s="24">
        <f t="shared" si="64"/>
        <v>1</v>
      </c>
      <c r="D383" s="3053"/>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2">
        <f t="shared" si="63"/>
        <v>0</v>
      </c>
    </row>
    <row r="384" spans="1:19">
      <c r="A384" s="155"/>
      <c r="B384" s="57"/>
      <c r="C384" s="24">
        <f t="shared" si="64"/>
        <v>1</v>
      </c>
      <c r="D384" s="3053"/>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2">
        <f t="shared" si="63"/>
        <v>0</v>
      </c>
    </row>
    <row r="385" spans="1:19">
      <c r="A385" s="155"/>
      <c r="B385" s="57"/>
      <c r="C385" s="24">
        <f t="shared" si="64"/>
        <v>1</v>
      </c>
      <c r="D385" s="3053"/>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2">
        <f t="shared" ref="S385:S422" si="73">ROUND(R385*B385/10000,0)</f>
        <v>0</v>
      </c>
    </row>
    <row r="386" spans="1:19">
      <c r="A386" s="155"/>
      <c r="B386" s="57"/>
      <c r="C386" s="24">
        <f t="shared" si="64"/>
        <v>1</v>
      </c>
      <c r="D386" s="3053"/>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2">
        <f t="shared" si="73"/>
        <v>0</v>
      </c>
    </row>
    <row r="387" spans="1:19">
      <c r="A387" s="155"/>
      <c r="B387" s="57"/>
      <c r="C387" s="24">
        <f t="shared" si="64"/>
        <v>1</v>
      </c>
      <c r="D387" s="3053"/>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2">
        <f t="shared" si="73"/>
        <v>0</v>
      </c>
    </row>
    <row r="388" spans="1:19">
      <c r="A388" s="155"/>
      <c r="B388" s="57"/>
      <c r="C388" s="24">
        <f t="shared" si="64"/>
        <v>1</v>
      </c>
      <c r="D388" s="3053"/>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2">
        <f t="shared" si="73"/>
        <v>0</v>
      </c>
    </row>
    <row r="389" spans="1:19">
      <c r="A389" s="155"/>
      <c r="B389" s="57"/>
      <c r="C389" s="24">
        <f t="shared" si="64"/>
        <v>1</v>
      </c>
      <c r="D389" s="3053"/>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2">
        <f t="shared" si="73"/>
        <v>0</v>
      </c>
    </row>
    <row r="390" spans="1:19">
      <c r="A390" s="155"/>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2">
        <f t="shared" si="73"/>
        <v>0</v>
      </c>
    </row>
    <row r="391" spans="1:19">
      <c r="A391" s="155"/>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2">
        <f t="shared" si="73"/>
        <v>0</v>
      </c>
    </row>
    <row r="392" spans="1:19">
      <c r="A392" s="155"/>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2">
        <f t="shared" si="73"/>
        <v>0</v>
      </c>
    </row>
    <row r="393" spans="1:19">
      <c r="A393" s="155"/>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2">
        <f t="shared" si="73"/>
        <v>0</v>
      </c>
    </row>
    <row r="394" spans="1:19">
      <c r="A394" s="155"/>
      <c r="B394" s="57"/>
      <c r="C394" s="24">
        <f t="shared" si="64"/>
        <v>1</v>
      </c>
      <c r="D394" s="3053"/>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2">
        <f t="shared" si="73"/>
        <v>0</v>
      </c>
    </row>
    <row r="395" spans="1:19">
      <c r="A395" s="155"/>
      <c r="B395" s="57"/>
      <c r="C395" s="24">
        <f t="shared" si="64"/>
        <v>1</v>
      </c>
      <c r="D395" s="3053"/>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2">
        <f t="shared" si="73"/>
        <v>0</v>
      </c>
    </row>
    <row r="396" spans="1:19">
      <c r="A396" s="155"/>
      <c r="B396" s="57"/>
      <c r="C396" s="24">
        <f t="shared" si="64"/>
        <v>1</v>
      </c>
      <c r="D396" s="3053"/>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2">
        <f t="shared" si="73"/>
        <v>0</v>
      </c>
    </row>
    <row r="397" spans="1:19">
      <c r="A397" s="155"/>
      <c r="B397" s="57"/>
      <c r="C397" s="24">
        <f t="shared" si="64"/>
        <v>1</v>
      </c>
      <c r="D397" s="3053"/>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2">
        <f t="shared" si="73"/>
        <v>0</v>
      </c>
    </row>
    <row r="398" spans="1:19">
      <c r="A398" s="155"/>
      <c r="B398" s="57"/>
      <c r="C398" s="24">
        <f t="shared" si="64"/>
        <v>1</v>
      </c>
      <c r="D398" s="3053"/>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2">
        <f t="shared" si="73"/>
        <v>0</v>
      </c>
    </row>
    <row r="399" spans="1:19">
      <c r="A399" s="155"/>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2">
        <f t="shared" si="73"/>
        <v>0</v>
      </c>
    </row>
    <row r="400" spans="1:19">
      <c r="A400" s="155"/>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2">
        <f t="shared" si="73"/>
        <v>0</v>
      </c>
    </row>
    <row r="401" spans="1:19">
      <c r="A401" s="155"/>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2">
        <f t="shared" si="73"/>
        <v>0</v>
      </c>
    </row>
    <row r="402" spans="1:19">
      <c r="A402" s="155"/>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2">
        <f t="shared" si="73"/>
        <v>0</v>
      </c>
    </row>
    <row r="403" spans="1:19">
      <c r="A403" s="155"/>
      <c r="B403" s="57"/>
      <c r="C403" s="24">
        <f t="shared" si="64"/>
        <v>1</v>
      </c>
      <c r="D403" s="3053"/>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2">
        <f t="shared" si="73"/>
        <v>0</v>
      </c>
    </row>
    <row r="404" spans="1:19">
      <c r="A404" s="155"/>
      <c r="B404" s="57"/>
      <c r="C404" s="24">
        <f t="shared" si="64"/>
        <v>1</v>
      </c>
      <c r="D404" s="3053"/>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2">
        <f t="shared" si="73"/>
        <v>0</v>
      </c>
    </row>
    <row r="405" spans="1:19">
      <c r="A405" s="155"/>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2">
        <f t="shared" si="73"/>
        <v>0</v>
      </c>
    </row>
    <row r="406" spans="1:19">
      <c r="A406" s="155"/>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2">
        <f t="shared" si="73"/>
        <v>0</v>
      </c>
    </row>
    <row r="407" spans="1:19">
      <c r="A407" s="155"/>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2">
        <f t="shared" si="73"/>
        <v>0</v>
      </c>
    </row>
    <row r="408" spans="1:19">
      <c r="A408" s="155"/>
      <c r="B408" s="57"/>
      <c r="C408" s="24">
        <f t="shared" si="64"/>
        <v>1</v>
      </c>
      <c r="D408" s="3053"/>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2">
        <f t="shared" si="73"/>
        <v>0</v>
      </c>
    </row>
    <row r="409" spans="1:19">
      <c r="A409" s="155"/>
      <c r="B409" s="57"/>
      <c r="C409" s="24">
        <f t="shared" si="64"/>
        <v>1</v>
      </c>
      <c r="D409" s="3053"/>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2">
        <f t="shared" si="73"/>
        <v>0</v>
      </c>
    </row>
    <row r="410" spans="1:19">
      <c r="A410" s="155"/>
      <c r="B410" s="57"/>
      <c r="C410" s="24">
        <f t="shared" ref="C410:C473" si="74">IF(B410="",1,(LOOKUP(B410,$3:$3,$4:$4)-LOOKUP($B$24,$3:$3,$4:$4)+100)/100)</f>
        <v>1</v>
      </c>
      <c r="D410" s="3053"/>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2">
        <f t="shared" si="73"/>
        <v>0</v>
      </c>
    </row>
    <row r="411" spans="1:19">
      <c r="A411" s="155"/>
      <c r="B411" s="57"/>
      <c r="C411" s="24">
        <f t="shared" si="74"/>
        <v>1</v>
      </c>
      <c r="D411" s="3053"/>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2">
        <f t="shared" si="73"/>
        <v>0</v>
      </c>
    </row>
    <row r="412" spans="1:19">
      <c r="A412" s="155"/>
      <c r="B412" s="57"/>
      <c r="C412" s="24">
        <f t="shared" si="74"/>
        <v>1</v>
      </c>
      <c r="D412" s="3053"/>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2">
        <f t="shared" si="73"/>
        <v>0</v>
      </c>
    </row>
    <row r="413" spans="1:19">
      <c r="A413" s="155"/>
      <c r="B413" s="57"/>
      <c r="C413" s="24">
        <f t="shared" si="74"/>
        <v>1</v>
      </c>
      <c r="D413" s="3053"/>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2">
        <f t="shared" si="73"/>
        <v>0</v>
      </c>
    </row>
    <row r="414" spans="1:19">
      <c r="A414" s="155"/>
      <c r="B414" s="57"/>
      <c r="C414" s="24">
        <f t="shared" si="74"/>
        <v>1</v>
      </c>
      <c r="D414" s="3053"/>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2">
        <f t="shared" si="73"/>
        <v>0</v>
      </c>
    </row>
    <row r="415" spans="1:19">
      <c r="A415" s="155"/>
      <c r="B415" s="57"/>
      <c r="C415" s="24">
        <f t="shared" si="74"/>
        <v>1</v>
      </c>
      <c r="D415" s="3053"/>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2">
        <f t="shared" si="73"/>
        <v>0</v>
      </c>
    </row>
    <row r="416" spans="1:19">
      <c r="A416" s="155"/>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2">
        <f t="shared" si="73"/>
        <v>0</v>
      </c>
    </row>
    <row r="417" spans="1:19">
      <c r="A417" s="155"/>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2">
        <f t="shared" si="73"/>
        <v>0</v>
      </c>
    </row>
    <row r="418" spans="1:19">
      <c r="A418" s="155"/>
      <c r="B418" s="57"/>
      <c r="C418" s="24">
        <f t="shared" si="74"/>
        <v>1</v>
      </c>
      <c r="D418" s="3053"/>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2">
        <f t="shared" si="73"/>
        <v>0</v>
      </c>
    </row>
    <row r="419" spans="1:19">
      <c r="A419" s="155"/>
      <c r="B419" s="57"/>
      <c r="C419" s="24">
        <f t="shared" si="74"/>
        <v>1</v>
      </c>
      <c r="D419" s="3053"/>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2">
        <f t="shared" si="73"/>
        <v>0</v>
      </c>
    </row>
    <row r="420" spans="1:19">
      <c r="A420" s="155"/>
      <c r="B420" s="57"/>
      <c r="C420" s="24">
        <f t="shared" si="74"/>
        <v>1</v>
      </c>
      <c r="D420" s="3053"/>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2">
        <f t="shared" si="73"/>
        <v>0</v>
      </c>
    </row>
    <row r="421" spans="1:19">
      <c r="A421" s="155"/>
      <c r="B421" s="57"/>
      <c r="C421" s="24">
        <f t="shared" si="74"/>
        <v>1</v>
      </c>
      <c r="D421" s="3053"/>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2">
        <f t="shared" si="73"/>
        <v>0</v>
      </c>
    </row>
    <row r="422" spans="1:19">
      <c r="A422" s="155"/>
      <c r="B422" s="57"/>
      <c r="C422" s="24">
        <f t="shared" si="74"/>
        <v>1</v>
      </c>
      <c r="D422" s="3053"/>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2">
        <f t="shared" si="73"/>
        <v>0</v>
      </c>
    </row>
    <row r="423" spans="1:19">
      <c r="A423" s="155"/>
      <c r="B423" s="57"/>
      <c r="C423" s="24">
        <f t="shared" si="74"/>
        <v>1</v>
      </c>
      <c r="D423" s="3053"/>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2">
        <f t="shared" ref="S423:S467" si="83">ROUND(R423*B423/10000,0)</f>
        <v>0</v>
      </c>
    </row>
    <row r="424" spans="1:19">
      <c r="A424" s="155"/>
      <c r="B424" s="57"/>
      <c r="C424" s="24">
        <f t="shared" si="74"/>
        <v>1</v>
      </c>
      <c r="D424" s="3053"/>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2">
        <f t="shared" si="83"/>
        <v>0</v>
      </c>
    </row>
    <row r="425" spans="1:19">
      <c r="A425" s="155"/>
      <c r="B425" s="57"/>
      <c r="C425" s="24">
        <f t="shared" si="74"/>
        <v>1</v>
      </c>
      <c r="D425" s="3053"/>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2">
        <f t="shared" si="83"/>
        <v>0</v>
      </c>
    </row>
    <row r="426" spans="1:19">
      <c r="A426" s="155"/>
      <c r="B426" s="57"/>
      <c r="C426" s="24">
        <f t="shared" si="74"/>
        <v>1</v>
      </c>
      <c r="D426" s="3053"/>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2">
        <f t="shared" si="83"/>
        <v>0</v>
      </c>
    </row>
    <row r="427" spans="1:19">
      <c r="A427" s="155"/>
      <c r="B427" s="57"/>
      <c r="C427" s="24">
        <f t="shared" si="74"/>
        <v>1</v>
      </c>
      <c r="D427" s="3053"/>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2">
        <f t="shared" si="83"/>
        <v>0</v>
      </c>
    </row>
    <row r="428" spans="1:19">
      <c r="A428" s="155"/>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2">
        <f t="shared" si="83"/>
        <v>0</v>
      </c>
    </row>
    <row r="429" spans="1:19">
      <c r="A429" s="155"/>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2">
        <f t="shared" si="83"/>
        <v>0</v>
      </c>
    </row>
    <row r="430" spans="1:19">
      <c r="A430" s="155"/>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2">
        <f t="shared" si="83"/>
        <v>0</v>
      </c>
    </row>
    <row r="431" spans="1:19">
      <c r="A431" s="155"/>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2">
        <f t="shared" si="83"/>
        <v>0</v>
      </c>
    </row>
    <row r="432" spans="1:19">
      <c r="A432" s="155"/>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2">
        <f t="shared" si="83"/>
        <v>0</v>
      </c>
    </row>
    <row r="433" spans="1:19">
      <c r="A433" s="155"/>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2">
        <f t="shared" si="83"/>
        <v>0</v>
      </c>
    </row>
    <row r="434" spans="1:19">
      <c r="A434" s="155"/>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2">
        <f t="shared" si="83"/>
        <v>0</v>
      </c>
    </row>
    <row r="435" spans="1:19">
      <c r="A435" s="155"/>
      <c r="B435" s="57"/>
      <c r="C435" s="24">
        <f t="shared" si="74"/>
        <v>1</v>
      </c>
      <c r="D435" s="3053"/>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2">
        <f t="shared" si="83"/>
        <v>0</v>
      </c>
    </row>
    <row r="436" spans="1:19">
      <c r="A436" s="155"/>
      <c r="B436" s="57"/>
      <c r="C436" s="24">
        <f t="shared" si="74"/>
        <v>1</v>
      </c>
      <c r="D436" s="3053"/>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2">
        <f t="shared" si="83"/>
        <v>0</v>
      </c>
    </row>
    <row r="437" spans="1:19">
      <c r="A437" s="155"/>
      <c r="B437" s="57"/>
      <c r="C437" s="24">
        <f t="shared" si="74"/>
        <v>1</v>
      </c>
      <c r="D437" s="3053"/>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2">
        <f t="shared" si="83"/>
        <v>0</v>
      </c>
    </row>
    <row r="438" spans="1:19">
      <c r="A438" s="155"/>
      <c r="B438" s="57"/>
      <c r="C438" s="24">
        <f t="shared" si="74"/>
        <v>1</v>
      </c>
      <c r="D438" s="3053"/>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2">
        <f t="shared" si="83"/>
        <v>0</v>
      </c>
    </row>
    <row r="439" spans="1:19">
      <c r="A439" s="155"/>
      <c r="B439" s="57"/>
      <c r="C439" s="24">
        <f t="shared" si="74"/>
        <v>1</v>
      </c>
      <c r="D439" s="3053"/>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2">
        <f t="shared" si="83"/>
        <v>0</v>
      </c>
    </row>
    <row r="440" spans="1:19">
      <c r="A440" s="155"/>
      <c r="B440" s="57"/>
      <c r="C440" s="24">
        <f t="shared" si="74"/>
        <v>1</v>
      </c>
      <c r="D440" s="3053"/>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2">
        <f t="shared" si="83"/>
        <v>0</v>
      </c>
    </row>
    <row r="441" spans="1:19">
      <c r="A441" s="155"/>
      <c r="B441" s="57"/>
      <c r="C441" s="24">
        <f t="shared" si="74"/>
        <v>1</v>
      </c>
      <c r="D441" s="3053"/>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2">
        <f t="shared" si="83"/>
        <v>0</v>
      </c>
    </row>
    <row r="442" spans="1:19">
      <c r="A442" s="155"/>
      <c r="B442" s="57"/>
      <c r="C442" s="24">
        <f t="shared" si="74"/>
        <v>1</v>
      </c>
      <c r="D442" s="3053"/>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2">
        <f t="shared" si="83"/>
        <v>0</v>
      </c>
    </row>
    <row r="443" spans="1:19">
      <c r="A443" s="155"/>
      <c r="B443" s="57"/>
      <c r="C443" s="24">
        <f t="shared" si="74"/>
        <v>1</v>
      </c>
      <c r="D443" s="3053"/>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2">
        <f t="shared" si="83"/>
        <v>0</v>
      </c>
    </row>
    <row r="444" spans="1:19">
      <c r="A444" s="155"/>
      <c r="B444" s="57"/>
      <c r="C444" s="24">
        <f t="shared" si="74"/>
        <v>1</v>
      </c>
      <c r="D444" s="3053"/>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2">
        <f t="shared" si="83"/>
        <v>0</v>
      </c>
    </row>
    <row r="445" spans="1:19">
      <c r="A445" s="155"/>
      <c r="B445" s="57"/>
      <c r="C445" s="24">
        <f t="shared" si="74"/>
        <v>1</v>
      </c>
      <c r="D445" s="3053"/>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2">
        <f t="shared" si="83"/>
        <v>0</v>
      </c>
    </row>
    <row r="446" spans="1:19">
      <c r="A446" s="155"/>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2">
        <f t="shared" si="83"/>
        <v>0</v>
      </c>
    </row>
    <row r="447" spans="1:19">
      <c r="A447" s="155"/>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2">
        <f t="shared" si="83"/>
        <v>0</v>
      </c>
    </row>
    <row r="448" spans="1:19">
      <c r="A448" s="155"/>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2">
        <f t="shared" si="83"/>
        <v>0</v>
      </c>
    </row>
    <row r="449" spans="1:19">
      <c r="A449" s="155"/>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2">
        <f t="shared" si="83"/>
        <v>0</v>
      </c>
    </row>
    <row r="450" spans="1:19">
      <c r="A450" s="155"/>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2">
        <f t="shared" si="83"/>
        <v>0</v>
      </c>
    </row>
    <row r="451" spans="1:19">
      <c r="A451" s="155"/>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2">
        <f t="shared" si="83"/>
        <v>0</v>
      </c>
    </row>
    <row r="452" spans="1:19">
      <c r="A452" s="155"/>
      <c r="B452" s="57"/>
      <c r="C452" s="24">
        <f t="shared" si="74"/>
        <v>1</v>
      </c>
      <c r="D452" s="3053"/>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2">
        <f t="shared" si="83"/>
        <v>0</v>
      </c>
    </row>
    <row r="453" spans="1:19">
      <c r="A453" s="155"/>
      <c r="B453" s="57"/>
      <c r="C453" s="24">
        <f t="shared" si="74"/>
        <v>1</v>
      </c>
      <c r="D453" s="3053"/>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2">
        <f t="shared" si="83"/>
        <v>0</v>
      </c>
    </row>
    <row r="454" spans="1:19">
      <c r="A454" s="155"/>
      <c r="B454" s="57"/>
      <c r="C454" s="24">
        <f t="shared" si="74"/>
        <v>1</v>
      </c>
      <c r="D454" s="3053"/>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2">
        <f t="shared" si="83"/>
        <v>0</v>
      </c>
    </row>
    <row r="455" spans="1:19">
      <c r="A455" s="155"/>
      <c r="B455" s="57"/>
      <c r="C455" s="24">
        <f t="shared" si="74"/>
        <v>1</v>
      </c>
      <c r="D455" s="3053"/>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2">
        <f t="shared" si="83"/>
        <v>0</v>
      </c>
    </row>
    <row r="456" spans="1:19">
      <c r="A456" s="155"/>
      <c r="B456" s="57"/>
      <c r="C456" s="24">
        <f t="shared" si="74"/>
        <v>1</v>
      </c>
      <c r="D456" s="3053"/>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2">
        <f t="shared" si="83"/>
        <v>0</v>
      </c>
    </row>
    <row r="457" spans="1:19">
      <c r="A457" s="155"/>
      <c r="B457" s="57"/>
      <c r="C457" s="24">
        <f t="shared" si="74"/>
        <v>1</v>
      </c>
      <c r="D457" s="3053"/>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2">
        <f t="shared" si="83"/>
        <v>0</v>
      </c>
    </row>
    <row r="458" spans="1:19">
      <c r="A458" s="155"/>
      <c r="B458" s="57"/>
      <c r="C458" s="24">
        <f t="shared" si="74"/>
        <v>1</v>
      </c>
      <c r="D458" s="3053"/>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2">
        <f t="shared" si="83"/>
        <v>0</v>
      </c>
    </row>
    <row r="459" spans="1:19">
      <c r="A459" s="155"/>
      <c r="B459" s="57"/>
      <c r="C459" s="24">
        <f t="shared" si="74"/>
        <v>1</v>
      </c>
      <c r="D459" s="3053"/>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2">
        <f t="shared" si="83"/>
        <v>0</v>
      </c>
    </row>
    <row r="460" spans="1:19">
      <c r="A460" s="155"/>
      <c r="B460" s="57"/>
      <c r="C460" s="24">
        <f t="shared" si="74"/>
        <v>1</v>
      </c>
      <c r="D460" s="3053"/>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2">
        <f t="shared" si="83"/>
        <v>0</v>
      </c>
    </row>
    <row r="461" spans="1:19">
      <c r="A461" s="155"/>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2">
        <f t="shared" si="83"/>
        <v>0</v>
      </c>
    </row>
    <row r="462" spans="1:19">
      <c r="A462" s="155"/>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2">
        <f t="shared" si="83"/>
        <v>0</v>
      </c>
    </row>
    <row r="463" spans="1:19">
      <c r="A463" s="155"/>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2">
        <f t="shared" si="83"/>
        <v>0</v>
      </c>
    </row>
    <row r="464" spans="1:19">
      <c r="A464" s="155"/>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2">
        <f t="shared" si="83"/>
        <v>0</v>
      </c>
    </row>
    <row r="465" spans="1:19">
      <c r="A465" s="155"/>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2">
        <f t="shared" si="83"/>
        <v>0</v>
      </c>
    </row>
    <row r="466" spans="1:19">
      <c r="A466" s="155"/>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2">
        <f t="shared" si="83"/>
        <v>0</v>
      </c>
    </row>
    <row r="467" spans="1:19">
      <c r="A467" s="155"/>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2">
        <f t="shared" si="83"/>
        <v>0</v>
      </c>
    </row>
    <row r="468" spans="1:19">
      <c r="A468" s="155"/>
      <c r="B468" s="57"/>
      <c r="C468" s="24">
        <f t="shared" si="74"/>
        <v>1</v>
      </c>
      <c r="D468" s="3053"/>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2">
        <f t="shared" ref="S468:S497" si="84">ROUND(R468*B468/10000,0)</f>
        <v>0</v>
      </c>
    </row>
    <row r="469" spans="1:19">
      <c r="A469" s="155"/>
      <c r="B469" s="57"/>
      <c r="C469" s="24">
        <f t="shared" si="74"/>
        <v>1</v>
      </c>
      <c r="D469" s="3053"/>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2">
        <f t="shared" si="84"/>
        <v>0</v>
      </c>
    </row>
    <row r="470" spans="1:19">
      <c r="A470" s="155"/>
      <c r="B470" s="57"/>
      <c r="C470" s="24">
        <f t="shared" si="74"/>
        <v>1</v>
      </c>
      <c r="D470" s="3053"/>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2">
        <f t="shared" si="84"/>
        <v>0</v>
      </c>
    </row>
    <row r="471" spans="1:19">
      <c r="A471" s="155"/>
      <c r="B471" s="57"/>
      <c r="C471" s="24">
        <f t="shared" si="74"/>
        <v>1</v>
      </c>
      <c r="D471" s="3053"/>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2">
        <f t="shared" si="84"/>
        <v>0</v>
      </c>
    </row>
    <row r="472" spans="1:19">
      <c r="A472" s="155"/>
      <c r="B472" s="57"/>
      <c r="C472" s="24">
        <f t="shared" si="74"/>
        <v>1</v>
      </c>
      <c r="D472" s="3053"/>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2">
        <f t="shared" si="84"/>
        <v>0</v>
      </c>
    </row>
    <row r="473" spans="1:19">
      <c r="A473" s="155"/>
      <c r="B473" s="57"/>
      <c r="C473" s="24">
        <f t="shared" si="74"/>
        <v>1</v>
      </c>
      <c r="D473" s="3053"/>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2">
        <f t="shared" si="84"/>
        <v>0</v>
      </c>
    </row>
    <row r="474" spans="1:19">
      <c r="A474" s="155"/>
      <c r="B474" s="57"/>
      <c r="C474" s="24">
        <f t="shared" ref="C474:C524" si="85">IF(B474="",1,(LOOKUP(B474,$3:$3,$4:$4)-LOOKUP($B$24,$3:$3,$4:$4)+100)/100)</f>
        <v>1</v>
      </c>
      <c r="D474" s="3053"/>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2">
        <f t="shared" si="84"/>
        <v>0</v>
      </c>
    </row>
    <row r="475" spans="1:19">
      <c r="A475" s="155"/>
      <c r="B475" s="57"/>
      <c r="C475" s="24">
        <f t="shared" si="85"/>
        <v>1</v>
      </c>
      <c r="D475" s="3053"/>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2">
        <f t="shared" si="84"/>
        <v>0</v>
      </c>
    </row>
    <row r="476" spans="1:19">
      <c r="A476" s="155"/>
      <c r="B476" s="57"/>
      <c r="C476" s="24">
        <f t="shared" si="85"/>
        <v>1</v>
      </c>
      <c r="D476" s="3053"/>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2">
        <f t="shared" si="84"/>
        <v>0</v>
      </c>
    </row>
    <row r="477" spans="1:19">
      <c r="A477" s="155"/>
      <c r="B477" s="57"/>
      <c r="C477" s="24">
        <f t="shared" si="85"/>
        <v>1</v>
      </c>
      <c r="D477" s="3053"/>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2">
        <f t="shared" si="84"/>
        <v>0</v>
      </c>
    </row>
    <row r="478" spans="1:19">
      <c r="A478" s="155"/>
      <c r="B478" s="57"/>
      <c r="C478" s="24">
        <f t="shared" si="85"/>
        <v>1</v>
      </c>
      <c r="D478" s="3053"/>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2">
        <f t="shared" si="84"/>
        <v>0</v>
      </c>
    </row>
    <row r="479" spans="1:19">
      <c r="A479" s="155"/>
      <c r="B479" s="57"/>
      <c r="C479" s="24">
        <f t="shared" si="85"/>
        <v>1</v>
      </c>
      <c r="D479" s="3053"/>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2">
        <f t="shared" si="84"/>
        <v>0</v>
      </c>
    </row>
    <row r="480" spans="1:19">
      <c r="A480" s="155"/>
      <c r="B480" s="57"/>
      <c r="C480" s="24">
        <f t="shared" si="85"/>
        <v>1</v>
      </c>
      <c r="D480" s="3053"/>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2">
        <f t="shared" si="84"/>
        <v>0</v>
      </c>
    </row>
    <row r="481" spans="1:19">
      <c r="A481" s="155"/>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2">
        <f t="shared" si="84"/>
        <v>0</v>
      </c>
    </row>
    <row r="482" spans="1:19">
      <c r="A482" s="155"/>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2">
        <f t="shared" si="84"/>
        <v>0</v>
      </c>
    </row>
    <row r="483" spans="1:19">
      <c r="A483" s="155"/>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2">
        <f t="shared" si="84"/>
        <v>0</v>
      </c>
    </row>
    <row r="484" spans="1:19">
      <c r="A484" s="155"/>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2">
        <f t="shared" si="84"/>
        <v>0</v>
      </c>
    </row>
    <row r="485" spans="1:19">
      <c r="A485" s="155"/>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2">
        <f t="shared" si="84"/>
        <v>0</v>
      </c>
    </row>
    <row r="486" spans="1:19">
      <c r="A486" s="155"/>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2">
        <f t="shared" si="84"/>
        <v>0</v>
      </c>
    </row>
    <row r="487" spans="1:19">
      <c r="A487" s="155"/>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2">
        <f t="shared" si="84"/>
        <v>0</v>
      </c>
    </row>
    <row r="488" spans="1:19">
      <c r="A488" s="155"/>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2">
        <f t="shared" si="84"/>
        <v>0</v>
      </c>
    </row>
    <row r="489" spans="1:19">
      <c r="A489" s="155"/>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2">
        <f t="shared" si="84"/>
        <v>0</v>
      </c>
    </row>
    <row r="490" spans="1:19">
      <c r="A490" s="155"/>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2">
        <f t="shared" si="84"/>
        <v>0</v>
      </c>
    </row>
    <row r="491" spans="1:19">
      <c r="A491" s="155"/>
      <c r="B491" s="57"/>
      <c r="C491" s="24">
        <f t="shared" si="85"/>
        <v>1</v>
      </c>
      <c r="D491" s="3053"/>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2">
        <f t="shared" si="84"/>
        <v>0</v>
      </c>
    </row>
    <row r="492" spans="1:19">
      <c r="A492" s="155"/>
      <c r="B492" s="57"/>
      <c r="C492" s="24">
        <f t="shared" si="85"/>
        <v>1</v>
      </c>
      <c r="D492" s="3053"/>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2">
        <f t="shared" si="84"/>
        <v>0</v>
      </c>
    </row>
    <row r="493" spans="1:19">
      <c r="A493" s="155"/>
      <c r="B493" s="57"/>
      <c r="C493" s="24">
        <f t="shared" si="85"/>
        <v>1</v>
      </c>
      <c r="D493" s="3053"/>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2">
        <f t="shared" si="84"/>
        <v>0</v>
      </c>
    </row>
    <row r="494" spans="1:19">
      <c r="A494" s="155"/>
      <c r="B494" s="57"/>
      <c r="C494" s="24">
        <f t="shared" si="85"/>
        <v>1</v>
      </c>
      <c r="D494" s="3053"/>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2">
        <f t="shared" si="84"/>
        <v>0</v>
      </c>
    </row>
    <row r="495" spans="1:19">
      <c r="A495" s="155"/>
      <c r="B495" s="57"/>
      <c r="C495" s="24">
        <f t="shared" si="85"/>
        <v>1</v>
      </c>
      <c r="D495" s="3053"/>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2">
        <f t="shared" si="84"/>
        <v>0</v>
      </c>
    </row>
    <row r="496" spans="1:19">
      <c r="A496" s="155"/>
      <c r="B496" s="57"/>
      <c r="C496" s="24">
        <f t="shared" si="85"/>
        <v>1</v>
      </c>
      <c r="D496" s="3053"/>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2">
        <f t="shared" si="84"/>
        <v>0</v>
      </c>
    </row>
    <row r="497" spans="1:19">
      <c r="A497" s="155"/>
      <c r="B497" s="57"/>
      <c r="C497" s="24">
        <f t="shared" si="85"/>
        <v>1</v>
      </c>
      <c r="D497" s="3053"/>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2">
        <f t="shared" si="84"/>
        <v>0</v>
      </c>
    </row>
    <row r="498" spans="1:19">
      <c r="A498" s="155"/>
      <c r="B498" s="57"/>
      <c r="C498" s="24">
        <f t="shared" si="85"/>
        <v>1</v>
      </c>
      <c r="D498" s="3053"/>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2">
        <f t="shared" ref="S498:S524" si="94">ROUND(R498*B498/10000,0)</f>
        <v>0</v>
      </c>
    </row>
    <row r="499" spans="1:19">
      <c r="A499" s="155"/>
      <c r="B499" s="57"/>
      <c r="C499" s="24">
        <f t="shared" si="85"/>
        <v>1</v>
      </c>
      <c r="D499" s="3053"/>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2">
        <f t="shared" si="94"/>
        <v>0</v>
      </c>
    </row>
    <row r="500" spans="1:19">
      <c r="A500" s="155"/>
      <c r="B500" s="57"/>
      <c r="C500" s="24">
        <f t="shared" si="85"/>
        <v>1</v>
      </c>
      <c r="D500" s="3053"/>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2">
        <f t="shared" si="94"/>
        <v>0</v>
      </c>
    </row>
    <row r="501" spans="1:19">
      <c r="A501" s="155"/>
      <c r="B501" s="57"/>
      <c r="C501" s="24">
        <f t="shared" si="85"/>
        <v>1</v>
      </c>
      <c r="D501" s="3053"/>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2">
        <f t="shared" si="94"/>
        <v>0</v>
      </c>
    </row>
    <row r="502" spans="1:19">
      <c r="A502" s="155"/>
      <c r="B502" s="57"/>
      <c r="C502" s="24">
        <f t="shared" si="85"/>
        <v>1</v>
      </c>
      <c r="D502" s="3053"/>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2">
        <f t="shared" si="94"/>
        <v>0</v>
      </c>
    </row>
    <row r="503" spans="1:19">
      <c r="A503" s="155"/>
      <c r="B503" s="57"/>
      <c r="C503" s="24">
        <f t="shared" si="85"/>
        <v>1</v>
      </c>
      <c r="D503" s="3053"/>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2">
        <f t="shared" si="94"/>
        <v>0</v>
      </c>
    </row>
    <row r="504" spans="1:19">
      <c r="A504" s="155"/>
      <c r="B504" s="57"/>
      <c r="C504" s="24">
        <f t="shared" si="85"/>
        <v>1</v>
      </c>
      <c r="D504" s="3053"/>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2">
        <f t="shared" si="94"/>
        <v>0</v>
      </c>
    </row>
    <row r="505" spans="1:19">
      <c r="A505" s="155"/>
      <c r="B505" s="57"/>
      <c r="C505" s="24">
        <f t="shared" si="85"/>
        <v>1</v>
      </c>
      <c r="D505" s="3053"/>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2">
        <f t="shared" si="94"/>
        <v>0</v>
      </c>
    </row>
    <row r="506" spans="1:19">
      <c r="A506" s="155"/>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2">
        <f t="shared" si="94"/>
        <v>0</v>
      </c>
    </row>
    <row r="507" spans="1:19">
      <c r="A507" s="155"/>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2">
        <f t="shared" si="94"/>
        <v>0</v>
      </c>
    </row>
    <row r="508" spans="1:19">
      <c r="A508" s="155"/>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2">
        <f t="shared" si="94"/>
        <v>0</v>
      </c>
    </row>
    <row r="509" spans="1:19">
      <c r="A509" s="155"/>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2">
        <f t="shared" si="94"/>
        <v>0</v>
      </c>
    </row>
    <row r="510" spans="1:19">
      <c r="A510" s="155"/>
      <c r="B510" s="57"/>
      <c r="C510" s="24">
        <f t="shared" si="85"/>
        <v>1</v>
      </c>
      <c r="D510" s="3053"/>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2">
        <f t="shared" si="94"/>
        <v>0</v>
      </c>
    </row>
    <row r="511" spans="1:19">
      <c r="A511" s="155"/>
      <c r="B511" s="57"/>
      <c r="C511" s="24">
        <f t="shared" si="85"/>
        <v>1</v>
      </c>
      <c r="D511" s="3053"/>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2">
        <f t="shared" si="94"/>
        <v>0</v>
      </c>
    </row>
    <row r="512" spans="1:19">
      <c r="A512" s="155"/>
      <c r="B512" s="57"/>
      <c r="C512" s="24">
        <f t="shared" si="85"/>
        <v>1</v>
      </c>
      <c r="D512" s="3053"/>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2">
        <f t="shared" si="94"/>
        <v>0</v>
      </c>
    </row>
    <row r="513" spans="1:19">
      <c r="A513" s="155"/>
      <c r="B513" s="57"/>
      <c r="C513" s="24">
        <f t="shared" si="85"/>
        <v>1</v>
      </c>
      <c r="D513" s="3053"/>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2">
        <f t="shared" si="94"/>
        <v>0</v>
      </c>
    </row>
    <row r="514" spans="1:19">
      <c r="A514" s="155"/>
      <c r="B514" s="57"/>
      <c r="C514" s="24">
        <f t="shared" si="85"/>
        <v>1</v>
      </c>
      <c r="D514" s="3053"/>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2">
        <f t="shared" si="94"/>
        <v>0</v>
      </c>
    </row>
    <row r="515" spans="1:19">
      <c r="A515" s="155"/>
      <c r="B515" s="57"/>
      <c r="C515" s="24">
        <f t="shared" si="85"/>
        <v>1</v>
      </c>
      <c r="D515" s="3053"/>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2">
        <f t="shared" si="94"/>
        <v>0</v>
      </c>
    </row>
    <row r="516" spans="1:19">
      <c r="A516" s="155"/>
      <c r="B516" s="57"/>
      <c r="C516" s="24">
        <f t="shared" si="85"/>
        <v>1</v>
      </c>
      <c r="D516" s="3053"/>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2">
        <f t="shared" si="94"/>
        <v>0</v>
      </c>
    </row>
    <row r="517" spans="1:19">
      <c r="A517" s="155"/>
      <c r="B517" s="57"/>
      <c r="C517" s="24">
        <f t="shared" si="85"/>
        <v>1</v>
      </c>
      <c r="D517" s="3053"/>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2">
        <f t="shared" si="94"/>
        <v>0</v>
      </c>
    </row>
    <row r="518" spans="1:19">
      <c r="A518" s="155"/>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2">
        <f t="shared" si="94"/>
        <v>0</v>
      </c>
    </row>
    <row r="519" spans="1:19">
      <c r="A519" s="155"/>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2">
        <f t="shared" si="94"/>
        <v>0</v>
      </c>
    </row>
    <row r="520" spans="1:19">
      <c r="A520" s="155"/>
      <c r="B520" s="57"/>
      <c r="C520" s="24">
        <f t="shared" si="85"/>
        <v>1</v>
      </c>
      <c r="D520" s="3053"/>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2">
        <f t="shared" si="94"/>
        <v>0</v>
      </c>
    </row>
    <row r="521" spans="1:19">
      <c r="A521" s="155"/>
      <c r="B521" s="57"/>
      <c r="C521" s="24">
        <f t="shared" si="85"/>
        <v>1</v>
      </c>
      <c r="D521" s="3053"/>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2">
        <f t="shared" si="94"/>
        <v>0</v>
      </c>
    </row>
    <row r="522" spans="1:19">
      <c r="A522" s="155"/>
      <c r="B522" s="57"/>
      <c r="C522" s="24">
        <f t="shared" si="85"/>
        <v>1</v>
      </c>
      <c r="D522" s="3053"/>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2">
        <f t="shared" si="94"/>
        <v>0</v>
      </c>
    </row>
    <row r="523" spans="1:19">
      <c r="A523" s="155"/>
      <c r="B523" s="57"/>
      <c r="C523" s="24">
        <f t="shared" si="85"/>
        <v>1</v>
      </c>
      <c r="D523" s="3053"/>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2">
        <f t="shared" si="94"/>
        <v>0</v>
      </c>
    </row>
    <row r="524" spans="1:19">
      <c r="A524" s="155"/>
      <c r="B524" s="57"/>
      <c r="C524" s="24">
        <f t="shared" si="85"/>
        <v>1</v>
      </c>
      <c r="D524" s="3053"/>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2">
        <f t="shared" si="94"/>
        <v>0</v>
      </c>
    </row>
    <row r="525" spans="1:19">
      <c r="A525" s="155"/>
      <c r="B525" s="57"/>
      <c r="C525" s="24">
        <f t="shared" ref="C525" si="95">IF(B525="",1,(LOOKUP(B525,$3:$3,$4:$4)-LOOKUP($B$24,$3:$3,$4:$4)+100)/100)</f>
        <v>1</v>
      </c>
      <c r="D525" s="3053"/>
      <c r="E525" s="24">
        <f t="shared" ref="E525" si="96">(SUMIF($5:$5,D525,$6:$6)-SUMIF($5:$5,$D$24,$6:$6)+100)/100</f>
        <v>1</v>
      </c>
      <c r="F525" s="674"/>
      <c r="G525" s="24">
        <f t="shared" ref="G525" si="97">(SUMIF($7:$7,F525,$8:$8)-SUMIF($7:$7,$F$24,$8:$8)+100)/100</f>
        <v>1</v>
      </c>
      <c r="H525" s="674"/>
      <c r="I525" s="24">
        <f t="shared" ref="I525" si="98">(SUMIF($9:$9,H525,$10:$10)-SUMIF($9:$9,$H$24,$10:$10)+100)/100</f>
        <v>1</v>
      </c>
      <c r="J525" s="674"/>
      <c r="K525" s="24">
        <f t="shared" ref="K525" si="99">(SUMIF($11:$11,J525,$12:$12)-SUMIF($11:$11,$J$24,$12:$12)+100)/100</f>
        <v>1</v>
      </c>
      <c r="L525" s="674"/>
      <c r="M525" s="24">
        <f t="shared" ref="M525" si="100">(SUMIF($13:$13,L525,$14:$14)-SUMIF($13:$13,$L$24,$14:$14)+100)/100</f>
        <v>1</v>
      </c>
      <c r="N525" s="674"/>
      <c r="O525" s="24">
        <f t="shared" ref="O525" si="101">(SUMIF($15:$15,N525,$16:$16)-SUMIF($15:$15,$N$24,$16:$16)+100)/100</f>
        <v>1</v>
      </c>
      <c r="P525" s="674"/>
      <c r="Q525" s="24">
        <f t="shared" ref="Q525" si="102">(SUMIF($17:$17,P525,$18:$18)-SUMIF($17:$17,$P$24,$18:$18)+100)/100</f>
        <v>0</v>
      </c>
      <c r="R525" s="670">
        <f>IF(B525="",0,ROUND($R$24*C525*E525*G525*I525*K525*M525*O525*Q525,0))</f>
        <v>0</v>
      </c>
      <c r="S525" s="322">
        <f>ROUND(R525*B525/10000,0)</f>
        <v>0</v>
      </c>
    </row>
    <row r="526" spans="1:19">
      <c r="A526" s="155"/>
      <c r="B526" s="57"/>
      <c r="C526" s="24">
        <f t="shared" ref="C526:C589" si="103">IF(B526="",1,(LOOKUP(B526,$3:$3,$4:$4)-LOOKUP($B$24,$3:$3,$4:$4)+100)/100)</f>
        <v>1</v>
      </c>
      <c r="D526" s="3053"/>
      <c r="E526" s="24">
        <f t="shared" ref="E526:E589" si="104">(SUMIF($5:$5,D526,$6:$6)-SUMIF($5:$5,$D$24,$6:$6)+100)/100</f>
        <v>1</v>
      </c>
      <c r="F526" s="674"/>
      <c r="G526" s="24">
        <f t="shared" ref="G526:G589" si="105">(SUMIF($7:$7,F526,$8:$8)-SUMIF($7:$7,$F$24,$8:$8)+100)/100</f>
        <v>1</v>
      </c>
      <c r="H526" s="674"/>
      <c r="I526" s="24">
        <f t="shared" ref="I526:I589" si="106">(SUMIF($9:$9,H526,$10:$10)-SUMIF($9:$9,$H$24,$10:$10)+100)/100</f>
        <v>1</v>
      </c>
      <c r="J526" s="674"/>
      <c r="K526" s="24">
        <f t="shared" ref="K526:K589" si="107">(SUMIF($11:$11,J526,$12:$12)-SUMIF($11:$11,$J$24,$12:$12)+100)/100</f>
        <v>1</v>
      </c>
      <c r="L526" s="674"/>
      <c r="M526" s="24">
        <f t="shared" ref="M526:M589" si="108">(SUMIF($13:$13,L526,$14:$14)-SUMIF($13:$13,$L$24,$14:$14)+100)/100</f>
        <v>1</v>
      </c>
      <c r="N526" s="674"/>
      <c r="O526" s="24">
        <f t="shared" ref="O526:O589" si="109">(SUMIF($15:$15,N526,$16:$16)-SUMIF($15:$15,$N$24,$16:$16)+100)/100</f>
        <v>1</v>
      </c>
      <c r="P526" s="674"/>
      <c r="Q526" s="24">
        <f t="shared" ref="Q526:Q589" si="110">(SUMIF($17:$17,P526,$18:$18)-SUMIF($17:$17,$P$24,$18:$18)+100)/100</f>
        <v>0</v>
      </c>
      <c r="R526" s="670">
        <f t="shared" ref="R526:R589" si="111">IF(B526="",0,ROUND($R$24*C526*E526*G526*I526*K526*M526*O526*Q526,0))</f>
        <v>0</v>
      </c>
      <c r="S526" s="322">
        <f t="shared" ref="S526:S589" si="112">ROUND(R526*B526/10000,0)</f>
        <v>0</v>
      </c>
    </row>
    <row r="527" spans="1:19">
      <c r="A527" s="155"/>
      <c r="B527" s="57"/>
      <c r="C527" s="24">
        <f t="shared" si="103"/>
        <v>1</v>
      </c>
      <c r="D527" s="3053"/>
      <c r="E527" s="24">
        <f t="shared" si="104"/>
        <v>1</v>
      </c>
      <c r="F527" s="674"/>
      <c r="G527" s="24">
        <f t="shared" si="105"/>
        <v>1</v>
      </c>
      <c r="H527" s="674"/>
      <c r="I527" s="24">
        <f t="shared" si="106"/>
        <v>1</v>
      </c>
      <c r="J527" s="674"/>
      <c r="K527" s="24">
        <f t="shared" si="107"/>
        <v>1</v>
      </c>
      <c r="L527" s="674"/>
      <c r="M527" s="24">
        <f t="shared" si="108"/>
        <v>1</v>
      </c>
      <c r="N527" s="674"/>
      <c r="O527" s="24">
        <f t="shared" si="109"/>
        <v>1</v>
      </c>
      <c r="P527" s="674"/>
      <c r="Q527" s="24">
        <f t="shared" si="110"/>
        <v>0</v>
      </c>
      <c r="R527" s="670">
        <f t="shared" si="111"/>
        <v>0</v>
      </c>
      <c r="S527" s="322">
        <f t="shared" si="112"/>
        <v>0</v>
      </c>
    </row>
    <row r="528" spans="1:19">
      <c r="A528" s="155"/>
      <c r="B528" s="57"/>
      <c r="C528" s="24">
        <f t="shared" si="103"/>
        <v>1</v>
      </c>
      <c r="D528" s="674"/>
      <c r="E528" s="24">
        <f t="shared" si="104"/>
        <v>1</v>
      </c>
      <c r="F528" s="674"/>
      <c r="G528" s="24">
        <f t="shared" si="105"/>
        <v>1</v>
      </c>
      <c r="H528" s="674"/>
      <c r="I528" s="24">
        <f t="shared" si="106"/>
        <v>1</v>
      </c>
      <c r="J528" s="674"/>
      <c r="K528" s="24">
        <f t="shared" si="107"/>
        <v>1</v>
      </c>
      <c r="L528" s="674"/>
      <c r="M528" s="24">
        <f t="shared" si="108"/>
        <v>1</v>
      </c>
      <c r="N528" s="674"/>
      <c r="O528" s="24">
        <f t="shared" si="109"/>
        <v>1</v>
      </c>
      <c r="P528" s="674"/>
      <c r="Q528" s="24">
        <f t="shared" si="110"/>
        <v>0</v>
      </c>
      <c r="R528" s="670">
        <f t="shared" si="111"/>
        <v>0</v>
      </c>
      <c r="S528" s="322">
        <f t="shared" si="112"/>
        <v>0</v>
      </c>
    </row>
    <row r="529" spans="1:19">
      <c r="A529" s="155"/>
      <c r="B529" s="57"/>
      <c r="C529" s="24">
        <f t="shared" si="103"/>
        <v>1</v>
      </c>
      <c r="D529" s="674"/>
      <c r="E529" s="24">
        <f t="shared" si="104"/>
        <v>1</v>
      </c>
      <c r="F529" s="674"/>
      <c r="G529" s="24">
        <f t="shared" si="105"/>
        <v>1</v>
      </c>
      <c r="H529" s="674"/>
      <c r="I529" s="24">
        <f t="shared" si="106"/>
        <v>1</v>
      </c>
      <c r="J529" s="674"/>
      <c r="K529" s="24">
        <f t="shared" si="107"/>
        <v>1</v>
      </c>
      <c r="L529" s="674"/>
      <c r="M529" s="24">
        <f t="shared" si="108"/>
        <v>1</v>
      </c>
      <c r="N529" s="674"/>
      <c r="O529" s="24">
        <f t="shared" si="109"/>
        <v>1</v>
      </c>
      <c r="P529" s="674"/>
      <c r="Q529" s="24">
        <f t="shared" si="110"/>
        <v>0</v>
      </c>
      <c r="R529" s="670">
        <f t="shared" si="111"/>
        <v>0</v>
      </c>
      <c r="S529" s="322">
        <f t="shared" si="112"/>
        <v>0</v>
      </c>
    </row>
    <row r="530" spans="1:19">
      <c r="A530" s="155"/>
      <c r="B530" s="57"/>
      <c r="C530" s="24">
        <f t="shared" si="103"/>
        <v>1</v>
      </c>
      <c r="D530" s="674"/>
      <c r="E530" s="24">
        <f t="shared" si="104"/>
        <v>1</v>
      </c>
      <c r="F530" s="674"/>
      <c r="G530" s="24">
        <f t="shared" si="105"/>
        <v>1</v>
      </c>
      <c r="H530" s="674"/>
      <c r="I530" s="24">
        <f t="shared" si="106"/>
        <v>1</v>
      </c>
      <c r="J530" s="674"/>
      <c r="K530" s="24">
        <f t="shared" si="107"/>
        <v>1</v>
      </c>
      <c r="L530" s="674"/>
      <c r="M530" s="24">
        <f t="shared" si="108"/>
        <v>1</v>
      </c>
      <c r="N530" s="674"/>
      <c r="O530" s="24">
        <f t="shared" si="109"/>
        <v>1</v>
      </c>
      <c r="P530" s="674"/>
      <c r="Q530" s="24">
        <f t="shared" si="110"/>
        <v>0</v>
      </c>
      <c r="R530" s="670">
        <f t="shared" si="111"/>
        <v>0</v>
      </c>
      <c r="S530" s="322">
        <f t="shared" si="112"/>
        <v>0</v>
      </c>
    </row>
    <row r="531" spans="1:19">
      <c r="A531" s="155"/>
      <c r="B531" s="57"/>
      <c r="C531" s="24">
        <f t="shared" si="103"/>
        <v>1</v>
      </c>
      <c r="D531" s="674"/>
      <c r="E531" s="24">
        <f t="shared" si="104"/>
        <v>1</v>
      </c>
      <c r="F531" s="674"/>
      <c r="G531" s="24">
        <f t="shared" si="105"/>
        <v>1</v>
      </c>
      <c r="H531" s="674"/>
      <c r="I531" s="24">
        <f t="shared" si="106"/>
        <v>1</v>
      </c>
      <c r="J531" s="674"/>
      <c r="K531" s="24">
        <f t="shared" si="107"/>
        <v>1</v>
      </c>
      <c r="L531" s="674"/>
      <c r="M531" s="24">
        <f t="shared" si="108"/>
        <v>1</v>
      </c>
      <c r="N531" s="674"/>
      <c r="O531" s="24">
        <f t="shared" si="109"/>
        <v>1</v>
      </c>
      <c r="P531" s="674"/>
      <c r="Q531" s="24">
        <f t="shared" si="110"/>
        <v>0</v>
      </c>
      <c r="R531" s="670">
        <f t="shared" si="111"/>
        <v>0</v>
      </c>
      <c r="S531" s="322">
        <f t="shared" si="112"/>
        <v>0</v>
      </c>
    </row>
    <row r="532" spans="1:19">
      <c r="A532" s="155"/>
      <c r="B532" s="57"/>
      <c r="C532" s="24">
        <f t="shared" si="103"/>
        <v>1</v>
      </c>
      <c r="D532" s="674"/>
      <c r="E532" s="24">
        <f t="shared" si="104"/>
        <v>1</v>
      </c>
      <c r="F532" s="674"/>
      <c r="G532" s="24">
        <f t="shared" si="105"/>
        <v>1</v>
      </c>
      <c r="H532" s="674"/>
      <c r="I532" s="24">
        <f t="shared" si="106"/>
        <v>1</v>
      </c>
      <c r="J532" s="674"/>
      <c r="K532" s="24">
        <f t="shared" si="107"/>
        <v>1</v>
      </c>
      <c r="L532" s="674"/>
      <c r="M532" s="24">
        <f t="shared" si="108"/>
        <v>1</v>
      </c>
      <c r="N532" s="674"/>
      <c r="O532" s="24">
        <f t="shared" si="109"/>
        <v>1</v>
      </c>
      <c r="P532" s="674"/>
      <c r="Q532" s="24">
        <f t="shared" si="110"/>
        <v>0</v>
      </c>
      <c r="R532" s="670">
        <f t="shared" si="111"/>
        <v>0</v>
      </c>
      <c r="S532" s="322">
        <f t="shared" si="112"/>
        <v>0</v>
      </c>
    </row>
    <row r="533" spans="1:19">
      <c r="A533" s="155"/>
      <c r="B533" s="57"/>
      <c r="C533" s="24">
        <f t="shared" si="103"/>
        <v>1</v>
      </c>
      <c r="D533" s="3053"/>
      <c r="E533" s="24">
        <f t="shared" si="104"/>
        <v>1</v>
      </c>
      <c r="F533" s="674"/>
      <c r="G533" s="24">
        <f t="shared" si="105"/>
        <v>1</v>
      </c>
      <c r="H533" s="674"/>
      <c r="I533" s="24">
        <f t="shared" si="106"/>
        <v>1</v>
      </c>
      <c r="J533" s="674"/>
      <c r="K533" s="24">
        <f t="shared" si="107"/>
        <v>1</v>
      </c>
      <c r="L533" s="674"/>
      <c r="M533" s="24">
        <f t="shared" si="108"/>
        <v>1</v>
      </c>
      <c r="N533" s="674"/>
      <c r="O533" s="24">
        <f t="shared" si="109"/>
        <v>1</v>
      </c>
      <c r="P533" s="674"/>
      <c r="Q533" s="24">
        <f t="shared" si="110"/>
        <v>0</v>
      </c>
      <c r="R533" s="670">
        <f t="shared" si="111"/>
        <v>0</v>
      </c>
      <c r="S533" s="322">
        <f t="shared" si="112"/>
        <v>0</v>
      </c>
    </row>
    <row r="534" spans="1:19">
      <c r="A534" s="155"/>
      <c r="B534" s="57"/>
      <c r="C534" s="24">
        <f t="shared" si="103"/>
        <v>1</v>
      </c>
      <c r="D534" s="3053"/>
      <c r="E534" s="24">
        <f t="shared" si="104"/>
        <v>1</v>
      </c>
      <c r="F534" s="674"/>
      <c r="G534" s="24">
        <f t="shared" si="105"/>
        <v>1</v>
      </c>
      <c r="H534" s="674"/>
      <c r="I534" s="24">
        <f t="shared" si="106"/>
        <v>1</v>
      </c>
      <c r="J534" s="674"/>
      <c r="K534" s="24">
        <f t="shared" si="107"/>
        <v>1</v>
      </c>
      <c r="L534" s="674"/>
      <c r="M534" s="24">
        <f t="shared" si="108"/>
        <v>1</v>
      </c>
      <c r="N534" s="674"/>
      <c r="O534" s="24">
        <f t="shared" si="109"/>
        <v>1</v>
      </c>
      <c r="P534" s="674"/>
      <c r="Q534" s="24">
        <f t="shared" si="110"/>
        <v>0</v>
      </c>
      <c r="R534" s="670">
        <f t="shared" si="111"/>
        <v>0</v>
      </c>
      <c r="S534" s="322">
        <f t="shared" si="112"/>
        <v>0</v>
      </c>
    </row>
    <row r="535" spans="1:19">
      <c r="A535" s="155"/>
      <c r="B535" s="57"/>
      <c r="C535" s="24">
        <f t="shared" si="103"/>
        <v>1</v>
      </c>
      <c r="D535" s="3053"/>
      <c r="E535" s="24">
        <f t="shared" si="104"/>
        <v>1</v>
      </c>
      <c r="F535" s="674"/>
      <c r="G535" s="24">
        <f t="shared" si="105"/>
        <v>1</v>
      </c>
      <c r="H535" s="674"/>
      <c r="I535" s="24">
        <f t="shared" si="106"/>
        <v>1</v>
      </c>
      <c r="J535" s="674"/>
      <c r="K535" s="24">
        <f t="shared" si="107"/>
        <v>1</v>
      </c>
      <c r="L535" s="674"/>
      <c r="M535" s="24">
        <f t="shared" si="108"/>
        <v>1</v>
      </c>
      <c r="N535" s="674"/>
      <c r="O535" s="24">
        <f t="shared" si="109"/>
        <v>1</v>
      </c>
      <c r="P535" s="674"/>
      <c r="Q535" s="24">
        <f t="shared" si="110"/>
        <v>0</v>
      </c>
      <c r="R535" s="670">
        <f t="shared" si="111"/>
        <v>0</v>
      </c>
      <c r="S535" s="322">
        <f t="shared" si="112"/>
        <v>0</v>
      </c>
    </row>
    <row r="536" spans="1:19">
      <c r="A536" s="155"/>
      <c r="B536" s="57"/>
      <c r="C536" s="24">
        <f t="shared" si="103"/>
        <v>1</v>
      </c>
      <c r="D536" s="3053"/>
      <c r="E536" s="24">
        <f t="shared" si="104"/>
        <v>1</v>
      </c>
      <c r="F536" s="674"/>
      <c r="G536" s="24">
        <f t="shared" si="105"/>
        <v>1</v>
      </c>
      <c r="H536" s="674"/>
      <c r="I536" s="24">
        <f t="shared" si="106"/>
        <v>1</v>
      </c>
      <c r="J536" s="674"/>
      <c r="K536" s="24">
        <f t="shared" si="107"/>
        <v>1</v>
      </c>
      <c r="L536" s="674"/>
      <c r="M536" s="24">
        <f t="shared" si="108"/>
        <v>1</v>
      </c>
      <c r="N536" s="674"/>
      <c r="O536" s="24">
        <f t="shared" si="109"/>
        <v>1</v>
      </c>
      <c r="P536" s="674"/>
      <c r="Q536" s="24">
        <f t="shared" si="110"/>
        <v>0</v>
      </c>
      <c r="R536" s="670">
        <f t="shared" si="111"/>
        <v>0</v>
      </c>
      <c r="S536" s="322">
        <f t="shared" si="112"/>
        <v>0</v>
      </c>
    </row>
    <row r="537" spans="1:19">
      <c r="A537" s="155"/>
      <c r="B537" s="57"/>
      <c r="C537" s="24">
        <f t="shared" si="103"/>
        <v>1</v>
      </c>
      <c r="D537" s="3053"/>
      <c r="E537" s="24">
        <f t="shared" si="104"/>
        <v>1</v>
      </c>
      <c r="F537" s="674"/>
      <c r="G537" s="24">
        <f t="shared" si="105"/>
        <v>1</v>
      </c>
      <c r="H537" s="674"/>
      <c r="I537" s="24">
        <f t="shared" si="106"/>
        <v>1</v>
      </c>
      <c r="J537" s="674"/>
      <c r="K537" s="24">
        <f t="shared" si="107"/>
        <v>1</v>
      </c>
      <c r="L537" s="674"/>
      <c r="M537" s="24">
        <f t="shared" si="108"/>
        <v>1</v>
      </c>
      <c r="N537" s="674"/>
      <c r="O537" s="24">
        <f t="shared" si="109"/>
        <v>1</v>
      </c>
      <c r="P537" s="674"/>
      <c r="Q537" s="24">
        <f t="shared" si="110"/>
        <v>0</v>
      </c>
      <c r="R537" s="670">
        <f t="shared" si="111"/>
        <v>0</v>
      </c>
      <c r="S537" s="322">
        <f t="shared" si="112"/>
        <v>0</v>
      </c>
    </row>
    <row r="538" spans="1:19">
      <c r="A538" s="155"/>
      <c r="B538" s="57"/>
      <c r="C538" s="24">
        <f t="shared" si="103"/>
        <v>1</v>
      </c>
      <c r="D538" s="3053"/>
      <c r="E538" s="24">
        <f t="shared" si="104"/>
        <v>1</v>
      </c>
      <c r="F538" s="674"/>
      <c r="G538" s="24">
        <f t="shared" si="105"/>
        <v>1</v>
      </c>
      <c r="H538" s="674"/>
      <c r="I538" s="24">
        <f t="shared" si="106"/>
        <v>1</v>
      </c>
      <c r="J538" s="674"/>
      <c r="K538" s="24">
        <f t="shared" si="107"/>
        <v>1</v>
      </c>
      <c r="L538" s="674"/>
      <c r="M538" s="24">
        <f t="shared" si="108"/>
        <v>1</v>
      </c>
      <c r="N538" s="674"/>
      <c r="O538" s="24">
        <f t="shared" si="109"/>
        <v>1</v>
      </c>
      <c r="P538" s="674"/>
      <c r="Q538" s="24">
        <f t="shared" si="110"/>
        <v>0</v>
      </c>
      <c r="R538" s="670">
        <f t="shared" si="111"/>
        <v>0</v>
      </c>
      <c r="S538" s="322">
        <f t="shared" si="112"/>
        <v>0</v>
      </c>
    </row>
    <row r="539" spans="1:19">
      <c r="A539" s="155"/>
      <c r="B539" s="57"/>
      <c r="C539" s="24">
        <f t="shared" si="103"/>
        <v>1</v>
      </c>
      <c r="D539" s="3053"/>
      <c r="E539" s="24">
        <f t="shared" si="104"/>
        <v>1</v>
      </c>
      <c r="F539" s="674"/>
      <c r="G539" s="24">
        <f t="shared" si="105"/>
        <v>1</v>
      </c>
      <c r="H539" s="674"/>
      <c r="I539" s="24">
        <f t="shared" si="106"/>
        <v>1</v>
      </c>
      <c r="J539" s="674"/>
      <c r="K539" s="24">
        <f t="shared" si="107"/>
        <v>1</v>
      </c>
      <c r="L539" s="674"/>
      <c r="M539" s="24">
        <f t="shared" si="108"/>
        <v>1</v>
      </c>
      <c r="N539" s="674"/>
      <c r="O539" s="24">
        <f t="shared" si="109"/>
        <v>1</v>
      </c>
      <c r="P539" s="674"/>
      <c r="Q539" s="24">
        <f t="shared" si="110"/>
        <v>0</v>
      </c>
      <c r="R539" s="670">
        <f t="shared" si="111"/>
        <v>0</v>
      </c>
      <c r="S539" s="322">
        <f t="shared" si="112"/>
        <v>0</v>
      </c>
    </row>
    <row r="540" spans="1:19">
      <c r="A540" s="155"/>
      <c r="B540" s="57"/>
      <c r="C540" s="24">
        <f t="shared" si="103"/>
        <v>1</v>
      </c>
      <c r="D540" s="3053"/>
      <c r="E540" s="24">
        <f t="shared" si="104"/>
        <v>1</v>
      </c>
      <c r="F540" s="674"/>
      <c r="G540" s="24">
        <f t="shared" si="105"/>
        <v>1</v>
      </c>
      <c r="H540" s="674"/>
      <c r="I540" s="24">
        <f t="shared" si="106"/>
        <v>1</v>
      </c>
      <c r="J540" s="674"/>
      <c r="K540" s="24">
        <f t="shared" si="107"/>
        <v>1</v>
      </c>
      <c r="L540" s="674"/>
      <c r="M540" s="24">
        <f t="shared" si="108"/>
        <v>1</v>
      </c>
      <c r="N540" s="674"/>
      <c r="O540" s="24">
        <f t="shared" si="109"/>
        <v>1</v>
      </c>
      <c r="P540" s="674"/>
      <c r="Q540" s="24">
        <f t="shared" si="110"/>
        <v>0</v>
      </c>
      <c r="R540" s="670">
        <f t="shared" si="111"/>
        <v>0</v>
      </c>
      <c r="S540" s="322">
        <f t="shared" si="112"/>
        <v>0</v>
      </c>
    </row>
    <row r="541" spans="1:19">
      <c r="A541" s="155"/>
      <c r="B541" s="57"/>
      <c r="C541" s="24">
        <f t="shared" si="103"/>
        <v>1</v>
      </c>
      <c r="D541" s="3053"/>
      <c r="E541" s="24">
        <f t="shared" si="104"/>
        <v>1</v>
      </c>
      <c r="F541" s="674"/>
      <c r="G541" s="24">
        <f t="shared" si="105"/>
        <v>1</v>
      </c>
      <c r="H541" s="674"/>
      <c r="I541" s="24">
        <f t="shared" si="106"/>
        <v>1</v>
      </c>
      <c r="J541" s="674"/>
      <c r="K541" s="24">
        <f t="shared" si="107"/>
        <v>1</v>
      </c>
      <c r="L541" s="674"/>
      <c r="M541" s="24">
        <f t="shared" si="108"/>
        <v>1</v>
      </c>
      <c r="N541" s="674"/>
      <c r="O541" s="24">
        <f t="shared" si="109"/>
        <v>1</v>
      </c>
      <c r="P541" s="674"/>
      <c r="Q541" s="24">
        <f t="shared" si="110"/>
        <v>0</v>
      </c>
      <c r="R541" s="670">
        <f t="shared" si="111"/>
        <v>0</v>
      </c>
      <c r="S541" s="322">
        <f t="shared" si="112"/>
        <v>0</v>
      </c>
    </row>
    <row r="542" spans="1:19">
      <c r="A542" s="155"/>
      <c r="B542" s="57"/>
      <c r="C542" s="24">
        <f t="shared" si="103"/>
        <v>1</v>
      </c>
      <c r="D542" s="674"/>
      <c r="E542" s="24">
        <f t="shared" si="104"/>
        <v>1</v>
      </c>
      <c r="F542" s="674"/>
      <c r="G542" s="24">
        <f t="shared" si="105"/>
        <v>1</v>
      </c>
      <c r="H542" s="674"/>
      <c r="I542" s="24">
        <f t="shared" si="106"/>
        <v>1</v>
      </c>
      <c r="J542" s="674"/>
      <c r="K542" s="24">
        <f t="shared" si="107"/>
        <v>1</v>
      </c>
      <c r="L542" s="674"/>
      <c r="M542" s="24">
        <f t="shared" si="108"/>
        <v>1</v>
      </c>
      <c r="N542" s="674"/>
      <c r="O542" s="24">
        <f t="shared" si="109"/>
        <v>1</v>
      </c>
      <c r="P542" s="674"/>
      <c r="Q542" s="24">
        <f t="shared" si="110"/>
        <v>0</v>
      </c>
      <c r="R542" s="670">
        <f t="shared" si="111"/>
        <v>0</v>
      </c>
      <c r="S542" s="322">
        <f t="shared" si="112"/>
        <v>0</v>
      </c>
    </row>
    <row r="543" spans="1:19">
      <c r="A543" s="155"/>
      <c r="B543" s="57"/>
      <c r="C543" s="24">
        <f t="shared" si="103"/>
        <v>1</v>
      </c>
      <c r="D543" s="674"/>
      <c r="E543" s="24">
        <f t="shared" si="104"/>
        <v>1</v>
      </c>
      <c r="F543" s="674"/>
      <c r="G543" s="24">
        <f t="shared" si="105"/>
        <v>1</v>
      </c>
      <c r="H543" s="674"/>
      <c r="I543" s="24">
        <f t="shared" si="106"/>
        <v>1</v>
      </c>
      <c r="J543" s="674"/>
      <c r="K543" s="24">
        <f t="shared" si="107"/>
        <v>1</v>
      </c>
      <c r="L543" s="674"/>
      <c r="M543" s="24">
        <f t="shared" si="108"/>
        <v>1</v>
      </c>
      <c r="N543" s="674"/>
      <c r="O543" s="24">
        <f t="shared" si="109"/>
        <v>1</v>
      </c>
      <c r="P543" s="674"/>
      <c r="Q543" s="24">
        <f t="shared" si="110"/>
        <v>0</v>
      </c>
      <c r="R543" s="670">
        <f t="shared" si="111"/>
        <v>0</v>
      </c>
      <c r="S543" s="322">
        <f t="shared" si="112"/>
        <v>0</v>
      </c>
    </row>
    <row r="544" spans="1:19">
      <c r="A544" s="155"/>
      <c r="B544" s="57"/>
      <c r="C544" s="24">
        <f t="shared" si="103"/>
        <v>1</v>
      </c>
      <c r="D544" s="674"/>
      <c r="E544" s="24">
        <f t="shared" si="104"/>
        <v>1</v>
      </c>
      <c r="F544" s="674"/>
      <c r="G544" s="24">
        <f t="shared" si="105"/>
        <v>1</v>
      </c>
      <c r="H544" s="674"/>
      <c r="I544" s="24">
        <f t="shared" si="106"/>
        <v>1</v>
      </c>
      <c r="J544" s="674"/>
      <c r="K544" s="24">
        <f t="shared" si="107"/>
        <v>1</v>
      </c>
      <c r="L544" s="674"/>
      <c r="M544" s="24">
        <f t="shared" si="108"/>
        <v>1</v>
      </c>
      <c r="N544" s="674"/>
      <c r="O544" s="24">
        <f t="shared" si="109"/>
        <v>1</v>
      </c>
      <c r="P544" s="674"/>
      <c r="Q544" s="24">
        <f t="shared" si="110"/>
        <v>0</v>
      </c>
      <c r="R544" s="670">
        <f t="shared" si="111"/>
        <v>0</v>
      </c>
      <c r="S544" s="322">
        <f t="shared" si="112"/>
        <v>0</v>
      </c>
    </row>
    <row r="545" spans="1:19">
      <c r="A545" s="155"/>
      <c r="B545" s="57"/>
      <c r="C545" s="24">
        <f t="shared" si="103"/>
        <v>1</v>
      </c>
      <c r="D545" s="674"/>
      <c r="E545" s="24">
        <f t="shared" si="104"/>
        <v>1</v>
      </c>
      <c r="F545" s="674"/>
      <c r="G545" s="24">
        <f t="shared" si="105"/>
        <v>1</v>
      </c>
      <c r="H545" s="674"/>
      <c r="I545" s="24">
        <f t="shared" si="106"/>
        <v>1</v>
      </c>
      <c r="J545" s="674"/>
      <c r="K545" s="24">
        <f t="shared" si="107"/>
        <v>1</v>
      </c>
      <c r="L545" s="674"/>
      <c r="M545" s="24">
        <f t="shared" si="108"/>
        <v>1</v>
      </c>
      <c r="N545" s="674"/>
      <c r="O545" s="24">
        <f t="shared" si="109"/>
        <v>1</v>
      </c>
      <c r="P545" s="674"/>
      <c r="Q545" s="24">
        <f t="shared" si="110"/>
        <v>0</v>
      </c>
      <c r="R545" s="670">
        <f t="shared" si="111"/>
        <v>0</v>
      </c>
      <c r="S545" s="322">
        <f t="shared" si="112"/>
        <v>0</v>
      </c>
    </row>
    <row r="546" spans="1:19">
      <c r="A546" s="155"/>
      <c r="B546" s="57"/>
      <c r="C546" s="24">
        <f t="shared" si="103"/>
        <v>1</v>
      </c>
      <c r="D546" s="674"/>
      <c r="E546" s="24">
        <f t="shared" si="104"/>
        <v>1</v>
      </c>
      <c r="F546" s="674"/>
      <c r="G546" s="24">
        <f t="shared" si="105"/>
        <v>1</v>
      </c>
      <c r="H546" s="674"/>
      <c r="I546" s="24">
        <f t="shared" si="106"/>
        <v>1</v>
      </c>
      <c r="J546" s="674"/>
      <c r="K546" s="24">
        <f t="shared" si="107"/>
        <v>1</v>
      </c>
      <c r="L546" s="674"/>
      <c r="M546" s="24">
        <f t="shared" si="108"/>
        <v>1</v>
      </c>
      <c r="N546" s="674"/>
      <c r="O546" s="24">
        <f t="shared" si="109"/>
        <v>1</v>
      </c>
      <c r="P546" s="674"/>
      <c r="Q546" s="24">
        <f t="shared" si="110"/>
        <v>0</v>
      </c>
      <c r="R546" s="670">
        <f t="shared" si="111"/>
        <v>0</v>
      </c>
      <c r="S546" s="322">
        <f t="shared" si="112"/>
        <v>0</v>
      </c>
    </row>
    <row r="547" spans="1:19">
      <c r="A547" s="155"/>
      <c r="B547" s="57"/>
      <c r="C547" s="24">
        <f t="shared" si="103"/>
        <v>1</v>
      </c>
      <c r="D547" s="3053"/>
      <c r="E547" s="24">
        <f t="shared" si="104"/>
        <v>1</v>
      </c>
      <c r="F547" s="674"/>
      <c r="G547" s="24">
        <f t="shared" si="105"/>
        <v>1</v>
      </c>
      <c r="H547" s="674"/>
      <c r="I547" s="24">
        <f t="shared" si="106"/>
        <v>1</v>
      </c>
      <c r="J547" s="674"/>
      <c r="K547" s="24">
        <f t="shared" si="107"/>
        <v>1</v>
      </c>
      <c r="L547" s="674"/>
      <c r="M547" s="24">
        <f t="shared" si="108"/>
        <v>1</v>
      </c>
      <c r="N547" s="674"/>
      <c r="O547" s="24">
        <f t="shared" si="109"/>
        <v>1</v>
      </c>
      <c r="P547" s="674"/>
      <c r="Q547" s="24">
        <f t="shared" si="110"/>
        <v>0</v>
      </c>
      <c r="R547" s="670">
        <f t="shared" si="111"/>
        <v>0</v>
      </c>
      <c r="S547" s="322">
        <f t="shared" si="112"/>
        <v>0</v>
      </c>
    </row>
    <row r="548" spans="1:19">
      <c r="A548" s="155"/>
      <c r="B548" s="57"/>
      <c r="C548" s="24">
        <f t="shared" si="103"/>
        <v>1</v>
      </c>
      <c r="D548" s="3053"/>
      <c r="E548" s="24">
        <f t="shared" si="104"/>
        <v>1</v>
      </c>
      <c r="F548" s="674"/>
      <c r="G548" s="24">
        <f t="shared" si="105"/>
        <v>1</v>
      </c>
      <c r="H548" s="674"/>
      <c r="I548" s="24">
        <f t="shared" si="106"/>
        <v>1</v>
      </c>
      <c r="J548" s="674"/>
      <c r="K548" s="24">
        <f t="shared" si="107"/>
        <v>1</v>
      </c>
      <c r="L548" s="674"/>
      <c r="M548" s="24">
        <f t="shared" si="108"/>
        <v>1</v>
      </c>
      <c r="N548" s="674"/>
      <c r="O548" s="24">
        <f t="shared" si="109"/>
        <v>1</v>
      </c>
      <c r="P548" s="674"/>
      <c r="Q548" s="24">
        <f t="shared" si="110"/>
        <v>0</v>
      </c>
      <c r="R548" s="670">
        <f t="shared" si="111"/>
        <v>0</v>
      </c>
      <c r="S548" s="322">
        <f t="shared" si="112"/>
        <v>0</v>
      </c>
    </row>
    <row r="549" spans="1:19">
      <c r="A549" s="155"/>
      <c r="B549" s="57"/>
      <c r="C549" s="24">
        <f t="shared" si="103"/>
        <v>1</v>
      </c>
      <c r="D549" s="3053"/>
      <c r="E549" s="24">
        <f t="shared" si="104"/>
        <v>1</v>
      </c>
      <c r="F549" s="674"/>
      <c r="G549" s="24">
        <f t="shared" si="105"/>
        <v>1</v>
      </c>
      <c r="H549" s="674"/>
      <c r="I549" s="24">
        <f t="shared" si="106"/>
        <v>1</v>
      </c>
      <c r="J549" s="674"/>
      <c r="K549" s="24">
        <f t="shared" si="107"/>
        <v>1</v>
      </c>
      <c r="L549" s="674"/>
      <c r="M549" s="24">
        <f t="shared" si="108"/>
        <v>1</v>
      </c>
      <c r="N549" s="674"/>
      <c r="O549" s="24">
        <f t="shared" si="109"/>
        <v>1</v>
      </c>
      <c r="P549" s="674"/>
      <c r="Q549" s="24">
        <f t="shared" si="110"/>
        <v>0</v>
      </c>
      <c r="R549" s="670">
        <f t="shared" si="111"/>
        <v>0</v>
      </c>
      <c r="S549" s="322">
        <f t="shared" si="112"/>
        <v>0</v>
      </c>
    </row>
    <row r="550" spans="1:19">
      <c r="A550" s="155"/>
      <c r="B550" s="57"/>
      <c r="C550" s="24">
        <f t="shared" si="103"/>
        <v>1</v>
      </c>
      <c r="D550" s="3053"/>
      <c r="E550" s="24">
        <f t="shared" si="104"/>
        <v>1</v>
      </c>
      <c r="F550" s="674"/>
      <c r="G550" s="24">
        <f t="shared" si="105"/>
        <v>1</v>
      </c>
      <c r="H550" s="674"/>
      <c r="I550" s="24">
        <f t="shared" si="106"/>
        <v>1</v>
      </c>
      <c r="J550" s="674"/>
      <c r="K550" s="24">
        <f t="shared" si="107"/>
        <v>1</v>
      </c>
      <c r="L550" s="674"/>
      <c r="M550" s="24">
        <f t="shared" si="108"/>
        <v>1</v>
      </c>
      <c r="N550" s="674"/>
      <c r="O550" s="24">
        <f t="shared" si="109"/>
        <v>1</v>
      </c>
      <c r="P550" s="674"/>
      <c r="Q550" s="24">
        <f t="shared" si="110"/>
        <v>0</v>
      </c>
      <c r="R550" s="670">
        <f t="shared" si="111"/>
        <v>0</v>
      </c>
      <c r="S550" s="322">
        <f t="shared" si="112"/>
        <v>0</v>
      </c>
    </row>
    <row r="551" spans="1:19">
      <c r="A551" s="155"/>
      <c r="B551" s="57"/>
      <c r="C551" s="24">
        <f t="shared" si="103"/>
        <v>1</v>
      </c>
      <c r="D551" s="3053"/>
      <c r="E551" s="24">
        <f t="shared" si="104"/>
        <v>1</v>
      </c>
      <c r="F551" s="674"/>
      <c r="G551" s="24">
        <f t="shared" si="105"/>
        <v>1</v>
      </c>
      <c r="H551" s="674"/>
      <c r="I551" s="24">
        <f t="shared" si="106"/>
        <v>1</v>
      </c>
      <c r="J551" s="674"/>
      <c r="K551" s="24">
        <f t="shared" si="107"/>
        <v>1</v>
      </c>
      <c r="L551" s="674"/>
      <c r="M551" s="24">
        <f t="shared" si="108"/>
        <v>1</v>
      </c>
      <c r="N551" s="674"/>
      <c r="O551" s="24">
        <f t="shared" si="109"/>
        <v>1</v>
      </c>
      <c r="P551" s="674"/>
      <c r="Q551" s="24">
        <f t="shared" si="110"/>
        <v>0</v>
      </c>
      <c r="R551" s="670">
        <f t="shared" si="111"/>
        <v>0</v>
      </c>
      <c r="S551" s="322">
        <f t="shared" si="112"/>
        <v>0</v>
      </c>
    </row>
    <row r="552" spans="1:19">
      <c r="A552" s="155"/>
      <c r="B552" s="57"/>
      <c r="C552" s="24">
        <f t="shared" si="103"/>
        <v>1</v>
      </c>
      <c r="D552" s="674"/>
      <c r="E552" s="24">
        <f t="shared" si="104"/>
        <v>1</v>
      </c>
      <c r="F552" s="674"/>
      <c r="G552" s="24">
        <f t="shared" si="105"/>
        <v>1</v>
      </c>
      <c r="H552" s="674"/>
      <c r="I552" s="24">
        <f t="shared" si="106"/>
        <v>1</v>
      </c>
      <c r="J552" s="674"/>
      <c r="K552" s="24">
        <f t="shared" si="107"/>
        <v>1</v>
      </c>
      <c r="L552" s="674"/>
      <c r="M552" s="24">
        <f t="shared" si="108"/>
        <v>1</v>
      </c>
      <c r="N552" s="674"/>
      <c r="O552" s="24">
        <f t="shared" si="109"/>
        <v>1</v>
      </c>
      <c r="P552" s="674"/>
      <c r="Q552" s="24">
        <f t="shared" si="110"/>
        <v>0</v>
      </c>
      <c r="R552" s="670">
        <f t="shared" si="111"/>
        <v>0</v>
      </c>
      <c r="S552" s="322">
        <f t="shared" si="112"/>
        <v>0</v>
      </c>
    </row>
    <row r="553" spans="1:19">
      <c r="A553" s="155"/>
      <c r="B553" s="57"/>
      <c r="C553" s="24">
        <f t="shared" si="103"/>
        <v>1</v>
      </c>
      <c r="D553" s="674"/>
      <c r="E553" s="24">
        <f t="shared" si="104"/>
        <v>1</v>
      </c>
      <c r="F553" s="674"/>
      <c r="G553" s="24">
        <f t="shared" si="105"/>
        <v>1</v>
      </c>
      <c r="H553" s="674"/>
      <c r="I553" s="24">
        <f t="shared" si="106"/>
        <v>1</v>
      </c>
      <c r="J553" s="674"/>
      <c r="K553" s="24">
        <f t="shared" si="107"/>
        <v>1</v>
      </c>
      <c r="L553" s="674"/>
      <c r="M553" s="24">
        <f t="shared" si="108"/>
        <v>1</v>
      </c>
      <c r="N553" s="674"/>
      <c r="O553" s="24">
        <f t="shared" si="109"/>
        <v>1</v>
      </c>
      <c r="P553" s="674"/>
      <c r="Q553" s="24">
        <f t="shared" si="110"/>
        <v>0</v>
      </c>
      <c r="R553" s="670">
        <f t="shared" si="111"/>
        <v>0</v>
      </c>
      <c r="S553" s="322">
        <f t="shared" si="112"/>
        <v>0</v>
      </c>
    </row>
    <row r="554" spans="1:19">
      <c r="A554" s="155"/>
      <c r="B554" s="57"/>
      <c r="C554" s="24">
        <f t="shared" si="103"/>
        <v>1</v>
      </c>
      <c r="D554" s="674"/>
      <c r="E554" s="24">
        <f t="shared" si="104"/>
        <v>1</v>
      </c>
      <c r="F554" s="674"/>
      <c r="G554" s="24">
        <f t="shared" si="105"/>
        <v>1</v>
      </c>
      <c r="H554" s="674"/>
      <c r="I554" s="24">
        <f t="shared" si="106"/>
        <v>1</v>
      </c>
      <c r="J554" s="674"/>
      <c r="K554" s="24">
        <f t="shared" si="107"/>
        <v>1</v>
      </c>
      <c r="L554" s="674"/>
      <c r="M554" s="24">
        <f t="shared" si="108"/>
        <v>1</v>
      </c>
      <c r="N554" s="674"/>
      <c r="O554" s="24">
        <f t="shared" si="109"/>
        <v>1</v>
      </c>
      <c r="P554" s="674"/>
      <c r="Q554" s="24">
        <f t="shared" si="110"/>
        <v>0</v>
      </c>
      <c r="R554" s="670">
        <f t="shared" si="111"/>
        <v>0</v>
      </c>
      <c r="S554" s="322">
        <f t="shared" si="112"/>
        <v>0</v>
      </c>
    </row>
    <row r="555" spans="1:19">
      <c r="A555" s="155"/>
      <c r="B555" s="57"/>
      <c r="C555" s="24">
        <f t="shared" si="103"/>
        <v>1</v>
      </c>
      <c r="D555" s="674"/>
      <c r="E555" s="24">
        <f t="shared" si="104"/>
        <v>1</v>
      </c>
      <c r="F555" s="674"/>
      <c r="G555" s="24">
        <f t="shared" si="105"/>
        <v>1</v>
      </c>
      <c r="H555" s="674"/>
      <c r="I555" s="24">
        <f t="shared" si="106"/>
        <v>1</v>
      </c>
      <c r="J555" s="674"/>
      <c r="K555" s="24">
        <f t="shared" si="107"/>
        <v>1</v>
      </c>
      <c r="L555" s="674"/>
      <c r="M555" s="24">
        <f t="shared" si="108"/>
        <v>1</v>
      </c>
      <c r="N555" s="674"/>
      <c r="O555" s="24">
        <f t="shared" si="109"/>
        <v>1</v>
      </c>
      <c r="P555" s="674"/>
      <c r="Q555" s="24">
        <f t="shared" si="110"/>
        <v>0</v>
      </c>
      <c r="R555" s="670">
        <f t="shared" si="111"/>
        <v>0</v>
      </c>
      <c r="S555" s="322">
        <f t="shared" si="112"/>
        <v>0</v>
      </c>
    </row>
    <row r="556" spans="1:19">
      <c r="A556" s="155"/>
      <c r="B556" s="57"/>
      <c r="C556" s="24">
        <f t="shared" si="103"/>
        <v>1</v>
      </c>
      <c r="D556" s="3053"/>
      <c r="E556" s="24">
        <f t="shared" si="104"/>
        <v>1</v>
      </c>
      <c r="F556" s="674"/>
      <c r="G556" s="24">
        <f t="shared" si="105"/>
        <v>1</v>
      </c>
      <c r="H556" s="674"/>
      <c r="I556" s="24">
        <f t="shared" si="106"/>
        <v>1</v>
      </c>
      <c r="J556" s="674"/>
      <c r="K556" s="24">
        <f t="shared" si="107"/>
        <v>1</v>
      </c>
      <c r="L556" s="674"/>
      <c r="M556" s="24">
        <f t="shared" si="108"/>
        <v>1</v>
      </c>
      <c r="N556" s="674"/>
      <c r="O556" s="24">
        <f t="shared" si="109"/>
        <v>1</v>
      </c>
      <c r="P556" s="674"/>
      <c r="Q556" s="24">
        <f t="shared" si="110"/>
        <v>0</v>
      </c>
      <c r="R556" s="670">
        <f t="shared" si="111"/>
        <v>0</v>
      </c>
      <c r="S556" s="322">
        <f t="shared" si="112"/>
        <v>0</v>
      </c>
    </row>
    <row r="557" spans="1:19">
      <c r="A557" s="155"/>
      <c r="B557" s="57"/>
      <c r="C557" s="24">
        <f t="shared" si="103"/>
        <v>1</v>
      </c>
      <c r="D557" s="3053"/>
      <c r="E557" s="24">
        <f t="shared" si="104"/>
        <v>1</v>
      </c>
      <c r="F557" s="674"/>
      <c r="G557" s="24">
        <f t="shared" si="105"/>
        <v>1</v>
      </c>
      <c r="H557" s="674"/>
      <c r="I557" s="24">
        <f t="shared" si="106"/>
        <v>1</v>
      </c>
      <c r="J557" s="674"/>
      <c r="K557" s="24">
        <f t="shared" si="107"/>
        <v>1</v>
      </c>
      <c r="L557" s="674"/>
      <c r="M557" s="24">
        <f t="shared" si="108"/>
        <v>1</v>
      </c>
      <c r="N557" s="674"/>
      <c r="O557" s="24">
        <f t="shared" si="109"/>
        <v>1</v>
      </c>
      <c r="P557" s="674"/>
      <c r="Q557" s="24">
        <f t="shared" si="110"/>
        <v>0</v>
      </c>
      <c r="R557" s="670">
        <f t="shared" si="111"/>
        <v>0</v>
      </c>
      <c r="S557" s="322">
        <f t="shared" si="112"/>
        <v>0</v>
      </c>
    </row>
    <row r="558" spans="1:19">
      <c r="A558" s="155"/>
      <c r="B558" s="57"/>
      <c r="C558" s="24">
        <f t="shared" si="103"/>
        <v>1</v>
      </c>
      <c r="D558" s="3053"/>
      <c r="E558" s="24">
        <f t="shared" si="104"/>
        <v>1</v>
      </c>
      <c r="F558" s="674"/>
      <c r="G558" s="24">
        <f t="shared" si="105"/>
        <v>1</v>
      </c>
      <c r="H558" s="674"/>
      <c r="I558" s="24">
        <f t="shared" si="106"/>
        <v>1</v>
      </c>
      <c r="J558" s="674"/>
      <c r="K558" s="24">
        <f t="shared" si="107"/>
        <v>1</v>
      </c>
      <c r="L558" s="674"/>
      <c r="M558" s="24">
        <f t="shared" si="108"/>
        <v>1</v>
      </c>
      <c r="N558" s="674"/>
      <c r="O558" s="24">
        <f t="shared" si="109"/>
        <v>1</v>
      </c>
      <c r="P558" s="674"/>
      <c r="Q558" s="24">
        <f t="shared" si="110"/>
        <v>0</v>
      </c>
      <c r="R558" s="670">
        <f t="shared" si="111"/>
        <v>0</v>
      </c>
      <c r="S558" s="322">
        <f t="shared" si="112"/>
        <v>0</v>
      </c>
    </row>
    <row r="559" spans="1:19">
      <c r="A559" s="155"/>
      <c r="B559" s="57"/>
      <c r="C559" s="24">
        <f t="shared" si="103"/>
        <v>1</v>
      </c>
      <c r="D559" s="3053"/>
      <c r="E559" s="24">
        <f t="shared" si="104"/>
        <v>1</v>
      </c>
      <c r="F559" s="674"/>
      <c r="G559" s="24">
        <f t="shared" si="105"/>
        <v>1</v>
      </c>
      <c r="H559" s="674"/>
      <c r="I559" s="24">
        <f t="shared" si="106"/>
        <v>1</v>
      </c>
      <c r="J559" s="674"/>
      <c r="K559" s="24">
        <f t="shared" si="107"/>
        <v>1</v>
      </c>
      <c r="L559" s="674"/>
      <c r="M559" s="24">
        <f t="shared" si="108"/>
        <v>1</v>
      </c>
      <c r="N559" s="674"/>
      <c r="O559" s="24">
        <f t="shared" si="109"/>
        <v>1</v>
      </c>
      <c r="P559" s="674"/>
      <c r="Q559" s="24">
        <f t="shared" si="110"/>
        <v>0</v>
      </c>
      <c r="R559" s="670">
        <f t="shared" si="111"/>
        <v>0</v>
      </c>
      <c r="S559" s="322">
        <f t="shared" si="112"/>
        <v>0</v>
      </c>
    </row>
    <row r="560" spans="1:19">
      <c r="A560" s="155"/>
      <c r="B560" s="57"/>
      <c r="C560" s="24">
        <f t="shared" si="103"/>
        <v>1</v>
      </c>
      <c r="D560" s="3053"/>
      <c r="E560" s="24">
        <f t="shared" si="104"/>
        <v>1</v>
      </c>
      <c r="F560" s="674"/>
      <c r="G560" s="24">
        <f t="shared" si="105"/>
        <v>1</v>
      </c>
      <c r="H560" s="674"/>
      <c r="I560" s="24">
        <f t="shared" si="106"/>
        <v>1</v>
      </c>
      <c r="J560" s="674"/>
      <c r="K560" s="24">
        <f t="shared" si="107"/>
        <v>1</v>
      </c>
      <c r="L560" s="674"/>
      <c r="M560" s="24">
        <f t="shared" si="108"/>
        <v>1</v>
      </c>
      <c r="N560" s="674"/>
      <c r="O560" s="24">
        <f t="shared" si="109"/>
        <v>1</v>
      </c>
      <c r="P560" s="674"/>
      <c r="Q560" s="24">
        <f t="shared" si="110"/>
        <v>0</v>
      </c>
      <c r="R560" s="670">
        <f t="shared" si="111"/>
        <v>0</v>
      </c>
      <c r="S560" s="322">
        <f t="shared" si="112"/>
        <v>0</v>
      </c>
    </row>
    <row r="561" spans="1:19">
      <c r="A561" s="155"/>
      <c r="B561" s="57"/>
      <c r="C561" s="24">
        <f t="shared" si="103"/>
        <v>1</v>
      </c>
      <c r="D561" s="3053"/>
      <c r="E561" s="24">
        <f t="shared" si="104"/>
        <v>1</v>
      </c>
      <c r="F561" s="674"/>
      <c r="G561" s="24">
        <f t="shared" si="105"/>
        <v>1</v>
      </c>
      <c r="H561" s="674"/>
      <c r="I561" s="24">
        <f t="shared" si="106"/>
        <v>1</v>
      </c>
      <c r="J561" s="674"/>
      <c r="K561" s="24">
        <f t="shared" si="107"/>
        <v>1</v>
      </c>
      <c r="L561" s="674"/>
      <c r="M561" s="24">
        <f t="shared" si="108"/>
        <v>1</v>
      </c>
      <c r="N561" s="674"/>
      <c r="O561" s="24">
        <f t="shared" si="109"/>
        <v>1</v>
      </c>
      <c r="P561" s="674"/>
      <c r="Q561" s="24">
        <f t="shared" si="110"/>
        <v>0</v>
      </c>
      <c r="R561" s="670">
        <f t="shared" si="111"/>
        <v>0</v>
      </c>
      <c r="S561" s="322">
        <f t="shared" si="112"/>
        <v>0</v>
      </c>
    </row>
    <row r="562" spans="1:19">
      <c r="A562" s="155"/>
      <c r="B562" s="57"/>
      <c r="C562" s="24">
        <f t="shared" si="103"/>
        <v>1</v>
      </c>
      <c r="D562" s="3053"/>
      <c r="E562" s="24">
        <f t="shared" si="104"/>
        <v>1</v>
      </c>
      <c r="F562" s="674"/>
      <c r="G562" s="24">
        <f t="shared" si="105"/>
        <v>1</v>
      </c>
      <c r="H562" s="674"/>
      <c r="I562" s="24">
        <f t="shared" si="106"/>
        <v>1</v>
      </c>
      <c r="J562" s="674"/>
      <c r="K562" s="24">
        <f t="shared" si="107"/>
        <v>1</v>
      </c>
      <c r="L562" s="674"/>
      <c r="M562" s="24">
        <f t="shared" si="108"/>
        <v>1</v>
      </c>
      <c r="N562" s="674"/>
      <c r="O562" s="24">
        <f t="shared" si="109"/>
        <v>1</v>
      </c>
      <c r="P562" s="674"/>
      <c r="Q562" s="24">
        <f t="shared" si="110"/>
        <v>0</v>
      </c>
      <c r="R562" s="670">
        <f t="shared" si="111"/>
        <v>0</v>
      </c>
      <c r="S562" s="322">
        <f t="shared" si="112"/>
        <v>0</v>
      </c>
    </row>
    <row r="563" spans="1:19">
      <c r="A563" s="155"/>
      <c r="B563" s="57"/>
      <c r="C563" s="24">
        <f t="shared" si="103"/>
        <v>1</v>
      </c>
      <c r="D563" s="3053"/>
      <c r="E563" s="24">
        <f t="shared" si="104"/>
        <v>1</v>
      </c>
      <c r="F563" s="674"/>
      <c r="G563" s="24">
        <f t="shared" si="105"/>
        <v>1</v>
      </c>
      <c r="H563" s="674"/>
      <c r="I563" s="24">
        <f t="shared" si="106"/>
        <v>1</v>
      </c>
      <c r="J563" s="674"/>
      <c r="K563" s="24">
        <f t="shared" si="107"/>
        <v>1</v>
      </c>
      <c r="L563" s="674"/>
      <c r="M563" s="24">
        <f t="shared" si="108"/>
        <v>1</v>
      </c>
      <c r="N563" s="674"/>
      <c r="O563" s="24">
        <f t="shared" si="109"/>
        <v>1</v>
      </c>
      <c r="P563" s="674"/>
      <c r="Q563" s="24">
        <f t="shared" si="110"/>
        <v>0</v>
      </c>
      <c r="R563" s="670">
        <f t="shared" si="111"/>
        <v>0</v>
      </c>
      <c r="S563" s="322">
        <f t="shared" si="112"/>
        <v>0</v>
      </c>
    </row>
    <row r="564" spans="1:19">
      <c r="A564" s="155"/>
      <c r="B564" s="57"/>
      <c r="C564" s="24">
        <f t="shared" si="103"/>
        <v>1</v>
      </c>
      <c r="D564" s="3053"/>
      <c r="E564" s="24">
        <f t="shared" si="104"/>
        <v>1</v>
      </c>
      <c r="F564" s="674"/>
      <c r="G564" s="24">
        <f t="shared" si="105"/>
        <v>1</v>
      </c>
      <c r="H564" s="674"/>
      <c r="I564" s="24">
        <f t="shared" si="106"/>
        <v>1</v>
      </c>
      <c r="J564" s="674"/>
      <c r="K564" s="24">
        <f t="shared" si="107"/>
        <v>1</v>
      </c>
      <c r="L564" s="674"/>
      <c r="M564" s="24">
        <f t="shared" si="108"/>
        <v>1</v>
      </c>
      <c r="N564" s="674"/>
      <c r="O564" s="24">
        <f t="shared" si="109"/>
        <v>1</v>
      </c>
      <c r="P564" s="674"/>
      <c r="Q564" s="24">
        <f t="shared" si="110"/>
        <v>0</v>
      </c>
      <c r="R564" s="670">
        <f t="shared" si="111"/>
        <v>0</v>
      </c>
      <c r="S564" s="322">
        <f t="shared" si="112"/>
        <v>0</v>
      </c>
    </row>
    <row r="565" spans="1:19">
      <c r="A565" s="155"/>
      <c r="B565" s="57"/>
      <c r="C565" s="24">
        <f t="shared" si="103"/>
        <v>1</v>
      </c>
      <c r="D565" s="674"/>
      <c r="E565" s="24">
        <f t="shared" si="104"/>
        <v>1</v>
      </c>
      <c r="F565" s="674"/>
      <c r="G565" s="24">
        <f t="shared" si="105"/>
        <v>1</v>
      </c>
      <c r="H565" s="674"/>
      <c r="I565" s="24">
        <f t="shared" si="106"/>
        <v>1</v>
      </c>
      <c r="J565" s="674"/>
      <c r="K565" s="24">
        <f t="shared" si="107"/>
        <v>1</v>
      </c>
      <c r="L565" s="674"/>
      <c r="M565" s="24">
        <f t="shared" si="108"/>
        <v>1</v>
      </c>
      <c r="N565" s="674"/>
      <c r="O565" s="24">
        <f t="shared" si="109"/>
        <v>1</v>
      </c>
      <c r="P565" s="674"/>
      <c r="Q565" s="24">
        <f t="shared" si="110"/>
        <v>0</v>
      </c>
      <c r="R565" s="670">
        <f t="shared" si="111"/>
        <v>0</v>
      </c>
      <c r="S565" s="322">
        <f t="shared" si="112"/>
        <v>0</v>
      </c>
    </row>
    <row r="566" spans="1:19">
      <c r="A566" s="155"/>
      <c r="B566" s="57"/>
      <c r="C566" s="24">
        <f t="shared" si="103"/>
        <v>1</v>
      </c>
      <c r="D566" s="674"/>
      <c r="E566" s="24">
        <f t="shared" si="104"/>
        <v>1</v>
      </c>
      <c r="F566" s="674"/>
      <c r="G566" s="24">
        <f t="shared" si="105"/>
        <v>1</v>
      </c>
      <c r="H566" s="674"/>
      <c r="I566" s="24">
        <f t="shared" si="106"/>
        <v>1</v>
      </c>
      <c r="J566" s="674"/>
      <c r="K566" s="24">
        <f t="shared" si="107"/>
        <v>1</v>
      </c>
      <c r="L566" s="674"/>
      <c r="M566" s="24">
        <f t="shared" si="108"/>
        <v>1</v>
      </c>
      <c r="N566" s="674"/>
      <c r="O566" s="24">
        <f t="shared" si="109"/>
        <v>1</v>
      </c>
      <c r="P566" s="674"/>
      <c r="Q566" s="24">
        <f t="shared" si="110"/>
        <v>0</v>
      </c>
      <c r="R566" s="670">
        <f t="shared" si="111"/>
        <v>0</v>
      </c>
      <c r="S566" s="322">
        <f t="shared" si="112"/>
        <v>0</v>
      </c>
    </row>
    <row r="567" spans="1:19">
      <c r="A567" s="155"/>
      <c r="B567" s="57"/>
      <c r="C567" s="24">
        <f t="shared" si="103"/>
        <v>1</v>
      </c>
      <c r="D567" s="674"/>
      <c r="E567" s="24">
        <f t="shared" si="104"/>
        <v>1</v>
      </c>
      <c r="F567" s="674"/>
      <c r="G567" s="24">
        <f t="shared" si="105"/>
        <v>1</v>
      </c>
      <c r="H567" s="674"/>
      <c r="I567" s="24">
        <f t="shared" si="106"/>
        <v>1</v>
      </c>
      <c r="J567" s="674"/>
      <c r="K567" s="24">
        <f t="shared" si="107"/>
        <v>1</v>
      </c>
      <c r="L567" s="674"/>
      <c r="M567" s="24">
        <f t="shared" si="108"/>
        <v>1</v>
      </c>
      <c r="N567" s="674"/>
      <c r="O567" s="24">
        <f t="shared" si="109"/>
        <v>1</v>
      </c>
      <c r="P567" s="674"/>
      <c r="Q567" s="24">
        <f t="shared" si="110"/>
        <v>0</v>
      </c>
      <c r="R567" s="670">
        <f t="shared" si="111"/>
        <v>0</v>
      </c>
      <c r="S567" s="322">
        <f t="shared" si="112"/>
        <v>0</v>
      </c>
    </row>
    <row r="568" spans="1:19">
      <c r="A568" s="155"/>
      <c r="B568" s="57"/>
      <c r="C568" s="24">
        <f t="shared" si="103"/>
        <v>1</v>
      </c>
      <c r="D568" s="674"/>
      <c r="E568" s="24">
        <f t="shared" si="104"/>
        <v>1</v>
      </c>
      <c r="F568" s="674"/>
      <c r="G568" s="24">
        <f t="shared" si="105"/>
        <v>1</v>
      </c>
      <c r="H568" s="674"/>
      <c r="I568" s="24">
        <f t="shared" si="106"/>
        <v>1</v>
      </c>
      <c r="J568" s="674"/>
      <c r="K568" s="24">
        <f t="shared" si="107"/>
        <v>1</v>
      </c>
      <c r="L568" s="674"/>
      <c r="M568" s="24">
        <f t="shared" si="108"/>
        <v>1</v>
      </c>
      <c r="N568" s="674"/>
      <c r="O568" s="24">
        <f t="shared" si="109"/>
        <v>1</v>
      </c>
      <c r="P568" s="674"/>
      <c r="Q568" s="24">
        <f t="shared" si="110"/>
        <v>0</v>
      </c>
      <c r="R568" s="670">
        <f t="shared" si="111"/>
        <v>0</v>
      </c>
      <c r="S568" s="322">
        <f t="shared" si="112"/>
        <v>0</v>
      </c>
    </row>
    <row r="569" spans="1:19">
      <c r="A569" s="155"/>
      <c r="B569" s="57"/>
      <c r="C569" s="24">
        <f t="shared" si="103"/>
        <v>1</v>
      </c>
      <c r="D569" s="3053"/>
      <c r="E569" s="24">
        <f t="shared" si="104"/>
        <v>1</v>
      </c>
      <c r="F569" s="674"/>
      <c r="G569" s="24">
        <f t="shared" si="105"/>
        <v>1</v>
      </c>
      <c r="H569" s="674"/>
      <c r="I569" s="24">
        <f t="shared" si="106"/>
        <v>1</v>
      </c>
      <c r="J569" s="674"/>
      <c r="K569" s="24">
        <f t="shared" si="107"/>
        <v>1</v>
      </c>
      <c r="L569" s="674"/>
      <c r="M569" s="24">
        <f t="shared" si="108"/>
        <v>1</v>
      </c>
      <c r="N569" s="674"/>
      <c r="O569" s="24">
        <f t="shared" si="109"/>
        <v>1</v>
      </c>
      <c r="P569" s="674"/>
      <c r="Q569" s="24">
        <f t="shared" si="110"/>
        <v>0</v>
      </c>
      <c r="R569" s="670">
        <f t="shared" si="111"/>
        <v>0</v>
      </c>
      <c r="S569" s="322">
        <f t="shared" si="112"/>
        <v>0</v>
      </c>
    </row>
    <row r="570" spans="1:19">
      <c r="A570" s="155"/>
      <c r="B570" s="57"/>
      <c r="C570" s="24">
        <f t="shared" si="103"/>
        <v>1</v>
      </c>
      <c r="D570" s="3053"/>
      <c r="E570" s="24">
        <f t="shared" si="104"/>
        <v>1</v>
      </c>
      <c r="F570" s="674"/>
      <c r="G570" s="24">
        <f t="shared" si="105"/>
        <v>1</v>
      </c>
      <c r="H570" s="674"/>
      <c r="I570" s="24">
        <f t="shared" si="106"/>
        <v>1</v>
      </c>
      <c r="J570" s="674"/>
      <c r="K570" s="24">
        <f t="shared" si="107"/>
        <v>1</v>
      </c>
      <c r="L570" s="674"/>
      <c r="M570" s="24">
        <f t="shared" si="108"/>
        <v>1</v>
      </c>
      <c r="N570" s="674"/>
      <c r="O570" s="24">
        <f t="shared" si="109"/>
        <v>1</v>
      </c>
      <c r="P570" s="674"/>
      <c r="Q570" s="24">
        <f t="shared" si="110"/>
        <v>0</v>
      </c>
      <c r="R570" s="670">
        <f t="shared" si="111"/>
        <v>0</v>
      </c>
      <c r="S570" s="322">
        <f t="shared" si="112"/>
        <v>0</v>
      </c>
    </row>
    <row r="571" spans="1:19">
      <c r="A571" s="155"/>
      <c r="B571" s="57"/>
      <c r="C571" s="24">
        <f t="shared" si="103"/>
        <v>1</v>
      </c>
      <c r="D571" s="3053"/>
      <c r="E571" s="24">
        <f t="shared" si="104"/>
        <v>1</v>
      </c>
      <c r="F571" s="674"/>
      <c r="G571" s="24">
        <f t="shared" si="105"/>
        <v>1</v>
      </c>
      <c r="H571" s="674"/>
      <c r="I571" s="24">
        <f t="shared" si="106"/>
        <v>1</v>
      </c>
      <c r="J571" s="674"/>
      <c r="K571" s="24">
        <f t="shared" si="107"/>
        <v>1</v>
      </c>
      <c r="L571" s="674"/>
      <c r="M571" s="24">
        <f t="shared" si="108"/>
        <v>1</v>
      </c>
      <c r="N571" s="674"/>
      <c r="O571" s="24">
        <f t="shared" si="109"/>
        <v>1</v>
      </c>
      <c r="P571" s="674"/>
      <c r="Q571" s="24">
        <f t="shared" si="110"/>
        <v>0</v>
      </c>
      <c r="R571" s="670">
        <f t="shared" si="111"/>
        <v>0</v>
      </c>
      <c r="S571" s="322">
        <f t="shared" si="112"/>
        <v>0</v>
      </c>
    </row>
    <row r="572" spans="1:19">
      <c r="A572" s="155"/>
      <c r="B572" s="57"/>
      <c r="C572" s="24">
        <f t="shared" si="103"/>
        <v>1</v>
      </c>
      <c r="D572" s="3053"/>
      <c r="E572" s="24">
        <f t="shared" si="104"/>
        <v>1</v>
      </c>
      <c r="F572" s="674"/>
      <c r="G572" s="24">
        <f t="shared" si="105"/>
        <v>1</v>
      </c>
      <c r="H572" s="674"/>
      <c r="I572" s="24">
        <f t="shared" si="106"/>
        <v>1</v>
      </c>
      <c r="J572" s="674"/>
      <c r="K572" s="24">
        <f t="shared" si="107"/>
        <v>1</v>
      </c>
      <c r="L572" s="674"/>
      <c r="M572" s="24">
        <f t="shared" si="108"/>
        <v>1</v>
      </c>
      <c r="N572" s="674"/>
      <c r="O572" s="24">
        <f t="shared" si="109"/>
        <v>1</v>
      </c>
      <c r="P572" s="674"/>
      <c r="Q572" s="24">
        <f t="shared" si="110"/>
        <v>0</v>
      </c>
      <c r="R572" s="670">
        <f t="shared" si="111"/>
        <v>0</v>
      </c>
      <c r="S572" s="322">
        <f t="shared" si="112"/>
        <v>0</v>
      </c>
    </row>
    <row r="573" spans="1:19">
      <c r="A573" s="155"/>
      <c r="B573" s="57"/>
      <c r="C573" s="24">
        <f t="shared" si="103"/>
        <v>1</v>
      </c>
      <c r="D573" s="3053"/>
      <c r="E573" s="24">
        <f t="shared" si="104"/>
        <v>1</v>
      </c>
      <c r="F573" s="674"/>
      <c r="G573" s="24">
        <f t="shared" si="105"/>
        <v>1</v>
      </c>
      <c r="H573" s="674"/>
      <c r="I573" s="24">
        <f t="shared" si="106"/>
        <v>1</v>
      </c>
      <c r="J573" s="674"/>
      <c r="K573" s="24">
        <f t="shared" si="107"/>
        <v>1</v>
      </c>
      <c r="L573" s="674"/>
      <c r="M573" s="24">
        <f t="shared" si="108"/>
        <v>1</v>
      </c>
      <c r="N573" s="674"/>
      <c r="O573" s="24">
        <f t="shared" si="109"/>
        <v>1</v>
      </c>
      <c r="P573" s="674"/>
      <c r="Q573" s="24">
        <f t="shared" si="110"/>
        <v>0</v>
      </c>
      <c r="R573" s="670">
        <f t="shared" si="111"/>
        <v>0</v>
      </c>
      <c r="S573" s="322">
        <f t="shared" si="112"/>
        <v>0</v>
      </c>
    </row>
    <row r="574" spans="1:19">
      <c r="A574" s="155"/>
      <c r="B574" s="57"/>
      <c r="C574" s="24">
        <f t="shared" si="103"/>
        <v>1</v>
      </c>
      <c r="D574" s="3053"/>
      <c r="E574" s="24">
        <f t="shared" si="104"/>
        <v>1</v>
      </c>
      <c r="F574" s="674"/>
      <c r="G574" s="24">
        <f t="shared" si="105"/>
        <v>1</v>
      </c>
      <c r="H574" s="674"/>
      <c r="I574" s="24">
        <f t="shared" si="106"/>
        <v>1</v>
      </c>
      <c r="J574" s="674"/>
      <c r="K574" s="24">
        <f t="shared" si="107"/>
        <v>1</v>
      </c>
      <c r="L574" s="674"/>
      <c r="M574" s="24">
        <f t="shared" si="108"/>
        <v>1</v>
      </c>
      <c r="N574" s="674"/>
      <c r="O574" s="24">
        <f t="shared" si="109"/>
        <v>1</v>
      </c>
      <c r="P574" s="674"/>
      <c r="Q574" s="24">
        <f t="shared" si="110"/>
        <v>0</v>
      </c>
      <c r="R574" s="670">
        <f t="shared" si="111"/>
        <v>0</v>
      </c>
      <c r="S574" s="322">
        <f t="shared" si="112"/>
        <v>0</v>
      </c>
    </row>
    <row r="575" spans="1:19">
      <c r="A575" s="155"/>
      <c r="B575" s="57"/>
      <c r="C575" s="24">
        <f t="shared" si="103"/>
        <v>1</v>
      </c>
      <c r="D575" s="3053"/>
      <c r="E575" s="24">
        <f t="shared" si="104"/>
        <v>1</v>
      </c>
      <c r="F575" s="674"/>
      <c r="G575" s="24">
        <f t="shared" si="105"/>
        <v>1</v>
      </c>
      <c r="H575" s="674"/>
      <c r="I575" s="24">
        <f t="shared" si="106"/>
        <v>1</v>
      </c>
      <c r="J575" s="674"/>
      <c r="K575" s="24">
        <f t="shared" si="107"/>
        <v>1</v>
      </c>
      <c r="L575" s="674"/>
      <c r="M575" s="24">
        <f t="shared" si="108"/>
        <v>1</v>
      </c>
      <c r="N575" s="674"/>
      <c r="O575" s="24">
        <f t="shared" si="109"/>
        <v>1</v>
      </c>
      <c r="P575" s="674"/>
      <c r="Q575" s="24">
        <f t="shared" si="110"/>
        <v>0</v>
      </c>
      <c r="R575" s="670">
        <f t="shared" si="111"/>
        <v>0</v>
      </c>
      <c r="S575" s="322">
        <f t="shared" si="112"/>
        <v>0</v>
      </c>
    </row>
    <row r="576" spans="1:19">
      <c r="A576" s="155"/>
      <c r="B576" s="57"/>
      <c r="C576" s="24">
        <f t="shared" si="103"/>
        <v>1</v>
      </c>
      <c r="D576" s="3053"/>
      <c r="E576" s="24">
        <f t="shared" si="104"/>
        <v>1</v>
      </c>
      <c r="F576" s="674"/>
      <c r="G576" s="24">
        <f t="shared" si="105"/>
        <v>1</v>
      </c>
      <c r="H576" s="674"/>
      <c r="I576" s="24">
        <f t="shared" si="106"/>
        <v>1</v>
      </c>
      <c r="J576" s="674"/>
      <c r="K576" s="24">
        <f t="shared" si="107"/>
        <v>1</v>
      </c>
      <c r="L576" s="674"/>
      <c r="M576" s="24">
        <f t="shared" si="108"/>
        <v>1</v>
      </c>
      <c r="N576" s="674"/>
      <c r="O576" s="24">
        <f t="shared" si="109"/>
        <v>1</v>
      </c>
      <c r="P576" s="674"/>
      <c r="Q576" s="24">
        <f t="shared" si="110"/>
        <v>0</v>
      </c>
      <c r="R576" s="670">
        <f t="shared" si="111"/>
        <v>0</v>
      </c>
      <c r="S576" s="322">
        <f t="shared" si="112"/>
        <v>0</v>
      </c>
    </row>
    <row r="577" spans="1:19">
      <c r="A577" s="155"/>
      <c r="B577" s="57"/>
      <c r="C577" s="24">
        <f t="shared" si="103"/>
        <v>1</v>
      </c>
      <c r="D577" s="3053"/>
      <c r="E577" s="24">
        <f t="shared" si="104"/>
        <v>1</v>
      </c>
      <c r="F577" s="674"/>
      <c r="G577" s="24">
        <f t="shared" si="105"/>
        <v>1</v>
      </c>
      <c r="H577" s="674"/>
      <c r="I577" s="24">
        <f t="shared" si="106"/>
        <v>1</v>
      </c>
      <c r="J577" s="674"/>
      <c r="K577" s="24">
        <f t="shared" si="107"/>
        <v>1</v>
      </c>
      <c r="L577" s="674"/>
      <c r="M577" s="24">
        <f t="shared" si="108"/>
        <v>1</v>
      </c>
      <c r="N577" s="674"/>
      <c r="O577" s="24">
        <f t="shared" si="109"/>
        <v>1</v>
      </c>
      <c r="P577" s="674"/>
      <c r="Q577" s="24">
        <f t="shared" si="110"/>
        <v>0</v>
      </c>
      <c r="R577" s="670">
        <f t="shared" si="111"/>
        <v>0</v>
      </c>
      <c r="S577" s="322">
        <f t="shared" si="112"/>
        <v>0</v>
      </c>
    </row>
    <row r="578" spans="1:19">
      <c r="A578" s="155"/>
      <c r="B578" s="57"/>
      <c r="C578" s="24">
        <f t="shared" si="103"/>
        <v>1</v>
      </c>
      <c r="D578" s="3053"/>
      <c r="E578" s="24">
        <f t="shared" si="104"/>
        <v>1</v>
      </c>
      <c r="F578" s="674"/>
      <c r="G578" s="24">
        <f t="shared" si="105"/>
        <v>1</v>
      </c>
      <c r="H578" s="674"/>
      <c r="I578" s="24">
        <f t="shared" si="106"/>
        <v>1</v>
      </c>
      <c r="J578" s="674"/>
      <c r="K578" s="24">
        <f t="shared" si="107"/>
        <v>1</v>
      </c>
      <c r="L578" s="674"/>
      <c r="M578" s="24">
        <f t="shared" si="108"/>
        <v>1</v>
      </c>
      <c r="N578" s="674"/>
      <c r="O578" s="24">
        <f t="shared" si="109"/>
        <v>1</v>
      </c>
      <c r="P578" s="674"/>
      <c r="Q578" s="24">
        <f t="shared" si="110"/>
        <v>0</v>
      </c>
      <c r="R578" s="670">
        <f t="shared" si="111"/>
        <v>0</v>
      </c>
      <c r="S578" s="322">
        <f t="shared" si="112"/>
        <v>0</v>
      </c>
    </row>
    <row r="579" spans="1:19">
      <c r="A579" s="155"/>
      <c r="B579" s="57"/>
      <c r="C579" s="24">
        <f t="shared" si="103"/>
        <v>1</v>
      </c>
      <c r="D579" s="674"/>
      <c r="E579" s="24">
        <f t="shared" si="104"/>
        <v>1</v>
      </c>
      <c r="F579" s="674"/>
      <c r="G579" s="24">
        <f t="shared" si="105"/>
        <v>1</v>
      </c>
      <c r="H579" s="674"/>
      <c r="I579" s="24">
        <f t="shared" si="106"/>
        <v>1</v>
      </c>
      <c r="J579" s="674"/>
      <c r="K579" s="24">
        <f t="shared" si="107"/>
        <v>1</v>
      </c>
      <c r="L579" s="674"/>
      <c r="M579" s="24">
        <f t="shared" si="108"/>
        <v>1</v>
      </c>
      <c r="N579" s="674"/>
      <c r="O579" s="24">
        <f t="shared" si="109"/>
        <v>1</v>
      </c>
      <c r="P579" s="674"/>
      <c r="Q579" s="24">
        <f t="shared" si="110"/>
        <v>0</v>
      </c>
      <c r="R579" s="670">
        <f t="shared" si="111"/>
        <v>0</v>
      </c>
      <c r="S579" s="322">
        <f t="shared" si="112"/>
        <v>0</v>
      </c>
    </row>
    <row r="580" spans="1:19">
      <c r="A580" s="155"/>
      <c r="B580" s="57"/>
      <c r="C580" s="24">
        <f t="shared" si="103"/>
        <v>1</v>
      </c>
      <c r="D580" s="674"/>
      <c r="E580" s="24">
        <f t="shared" si="104"/>
        <v>1</v>
      </c>
      <c r="F580" s="674"/>
      <c r="G580" s="24">
        <f t="shared" si="105"/>
        <v>1</v>
      </c>
      <c r="H580" s="674"/>
      <c r="I580" s="24">
        <f t="shared" si="106"/>
        <v>1</v>
      </c>
      <c r="J580" s="674"/>
      <c r="K580" s="24">
        <f t="shared" si="107"/>
        <v>1</v>
      </c>
      <c r="L580" s="674"/>
      <c r="M580" s="24">
        <f t="shared" si="108"/>
        <v>1</v>
      </c>
      <c r="N580" s="674"/>
      <c r="O580" s="24">
        <f t="shared" si="109"/>
        <v>1</v>
      </c>
      <c r="P580" s="674"/>
      <c r="Q580" s="24">
        <f t="shared" si="110"/>
        <v>0</v>
      </c>
      <c r="R580" s="670">
        <f t="shared" si="111"/>
        <v>0</v>
      </c>
      <c r="S580" s="322">
        <f t="shared" si="112"/>
        <v>0</v>
      </c>
    </row>
    <row r="581" spans="1:19">
      <c r="A581" s="155"/>
      <c r="B581" s="57"/>
      <c r="C581" s="24">
        <f t="shared" si="103"/>
        <v>1</v>
      </c>
      <c r="D581" s="674"/>
      <c r="E581" s="24">
        <f t="shared" si="104"/>
        <v>1</v>
      </c>
      <c r="F581" s="674"/>
      <c r="G581" s="24">
        <f t="shared" si="105"/>
        <v>1</v>
      </c>
      <c r="H581" s="674"/>
      <c r="I581" s="24">
        <f t="shared" si="106"/>
        <v>1</v>
      </c>
      <c r="J581" s="674"/>
      <c r="K581" s="24">
        <f t="shared" si="107"/>
        <v>1</v>
      </c>
      <c r="L581" s="674"/>
      <c r="M581" s="24">
        <f t="shared" si="108"/>
        <v>1</v>
      </c>
      <c r="N581" s="674"/>
      <c r="O581" s="24">
        <f t="shared" si="109"/>
        <v>1</v>
      </c>
      <c r="P581" s="674"/>
      <c r="Q581" s="24">
        <f t="shared" si="110"/>
        <v>0</v>
      </c>
      <c r="R581" s="670">
        <f t="shared" si="111"/>
        <v>0</v>
      </c>
      <c r="S581" s="322">
        <f t="shared" si="112"/>
        <v>0</v>
      </c>
    </row>
    <row r="582" spans="1:19">
      <c r="A582" s="155"/>
      <c r="B582" s="57"/>
      <c r="C582" s="24">
        <f t="shared" si="103"/>
        <v>1</v>
      </c>
      <c r="D582" s="674"/>
      <c r="E582" s="24">
        <f t="shared" si="104"/>
        <v>1</v>
      </c>
      <c r="F582" s="674"/>
      <c r="G582" s="24">
        <f t="shared" si="105"/>
        <v>1</v>
      </c>
      <c r="H582" s="674"/>
      <c r="I582" s="24">
        <f t="shared" si="106"/>
        <v>1</v>
      </c>
      <c r="J582" s="674"/>
      <c r="K582" s="24">
        <f t="shared" si="107"/>
        <v>1</v>
      </c>
      <c r="L582" s="674"/>
      <c r="M582" s="24">
        <f t="shared" si="108"/>
        <v>1</v>
      </c>
      <c r="N582" s="674"/>
      <c r="O582" s="24">
        <f t="shared" si="109"/>
        <v>1</v>
      </c>
      <c r="P582" s="674"/>
      <c r="Q582" s="24">
        <f t="shared" si="110"/>
        <v>0</v>
      </c>
      <c r="R582" s="670">
        <f t="shared" si="111"/>
        <v>0</v>
      </c>
      <c r="S582" s="322">
        <f t="shared" si="112"/>
        <v>0</v>
      </c>
    </row>
    <row r="583" spans="1:19">
      <c r="A583" s="155"/>
      <c r="B583" s="57"/>
      <c r="C583" s="24">
        <f t="shared" si="103"/>
        <v>1</v>
      </c>
      <c r="D583" s="674"/>
      <c r="E583" s="24">
        <f t="shared" si="104"/>
        <v>1</v>
      </c>
      <c r="F583" s="674"/>
      <c r="G583" s="24">
        <f t="shared" si="105"/>
        <v>1</v>
      </c>
      <c r="H583" s="674"/>
      <c r="I583" s="24">
        <f t="shared" si="106"/>
        <v>1</v>
      </c>
      <c r="J583" s="674"/>
      <c r="K583" s="24">
        <f t="shared" si="107"/>
        <v>1</v>
      </c>
      <c r="L583" s="674"/>
      <c r="M583" s="24">
        <f t="shared" si="108"/>
        <v>1</v>
      </c>
      <c r="N583" s="674"/>
      <c r="O583" s="24">
        <f t="shared" si="109"/>
        <v>1</v>
      </c>
      <c r="P583" s="674"/>
      <c r="Q583" s="24">
        <f t="shared" si="110"/>
        <v>0</v>
      </c>
      <c r="R583" s="670">
        <f t="shared" si="111"/>
        <v>0</v>
      </c>
      <c r="S583" s="322">
        <f t="shared" si="112"/>
        <v>0</v>
      </c>
    </row>
    <row r="584" spans="1:19">
      <c r="A584" s="155"/>
      <c r="B584" s="57"/>
      <c r="C584" s="24">
        <f t="shared" si="103"/>
        <v>1</v>
      </c>
      <c r="D584" s="674"/>
      <c r="E584" s="24">
        <f t="shared" si="104"/>
        <v>1</v>
      </c>
      <c r="F584" s="674"/>
      <c r="G584" s="24">
        <f t="shared" si="105"/>
        <v>1</v>
      </c>
      <c r="H584" s="674"/>
      <c r="I584" s="24">
        <f t="shared" si="106"/>
        <v>1</v>
      </c>
      <c r="J584" s="674"/>
      <c r="K584" s="24">
        <f t="shared" si="107"/>
        <v>1</v>
      </c>
      <c r="L584" s="674"/>
      <c r="M584" s="24">
        <f t="shared" si="108"/>
        <v>1</v>
      </c>
      <c r="N584" s="674"/>
      <c r="O584" s="24">
        <f t="shared" si="109"/>
        <v>1</v>
      </c>
      <c r="P584" s="674"/>
      <c r="Q584" s="24">
        <f t="shared" si="110"/>
        <v>0</v>
      </c>
      <c r="R584" s="670">
        <f t="shared" si="111"/>
        <v>0</v>
      </c>
      <c r="S584" s="322">
        <f t="shared" si="112"/>
        <v>0</v>
      </c>
    </row>
    <row r="585" spans="1:19">
      <c r="A585" s="155"/>
      <c r="B585" s="57"/>
      <c r="C585" s="24">
        <f t="shared" si="103"/>
        <v>1</v>
      </c>
      <c r="D585" s="674"/>
      <c r="E585" s="24">
        <f t="shared" si="104"/>
        <v>1</v>
      </c>
      <c r="F585" s="674"/>
      <c r="G585" s="24">
        <f t="shared" si="105"/>
        <v>1</v>
      </c>
      <c r="H585" s="674"/>
      <c r="I585" s="24">
        <f t="shared" si="106"/>
        <v>1</v>
      </c>
      <c r="J585" s="674"/>
      <c r="K585" s="24">
        <f t="shared" si="107"/>
        <v>1</v>
      </c>
      <c r="L585" s="674"/>
      <c r="M585" s="24">
        <f t="shared" si="108"/>
        <v>1</v>
      </c>
      <c r="N585" s="674"/>
      <c r="O585" s="24">
        <f t="shared" si="109"/>
        <v>1</v>
      </c>
      <c r="P585" s="674"/>
      <c r="Q585" s="24">
        <f t="shared" si="110"/>
        <v>0</v>
      </c>
      <c r="R585" s="670">
        <f t="shared" si="111"/>
        <v>0</v>
      </c>
      <c r="S585" s="322">
        <f t="shared" si="112"/>
        <v>0</v>
      </c>
    </row>
    <row r="586" spans="1:19">
      <c r="A586" s="155"/>
      <c r="B586" s="57"/>
      <c r="C586" s="24">
        <f t="shared" si="103"/>
        <v>1</v>
      </c>
      <c r="D586" s="3053"/>
      <c r="E586" s="24">
        <f t="shared" si="104"/>
        <v>1</v>
      </c>
      <c r="F586" s="674"/>
      <c r="G586" s="24">
        <f t="shared" si="105"/>
        <v>1</v>
      </c>
      <c r="H586" s="674"/>
      <c r="I586" s="24">
        <f t="shared" si="106"/>
        <v>1</v>
      </c>
      <c r="J586" s="674"/>
      <c r="K586" s="24">
        <f t="shared" si="107"/>
        <v>1</v>
      </c>
      <c r="L586" s="674"/>
      <c r="M586" s="24">
        <f t="shared" si="108"/>
        <v>1</v>
      </c>
      <c r="N586" s="674"/>
      <c r="O586" s="24">
        <f t="shared" si="109"/>
        <v>1</v>
      </c>
      <c r="P586" s="674"/>
      <c r="Q586" s="24">
        <f t="shared" si="110"/>
        <v>0</v>
      </c>
      <c r="R586" s="670">
        <f t="shared" si="111"/>
        <v>0</v>
      </c>
      <c r="S586" s="322">
        <f t="shared" si="112"/>
        <v>0</v>
      </c>
    </row>
    <row r="587" spans="1:19">
      <c r="A587" s="155"/>
      <c r="B587" s="57"/>
      <c r="C587" s="24">
        <f t="shared" si="103"/>
        <v>1</v>
      </c>
      <c r="D587" s="3053"/>
      <c r="E587" s="24">
        <f t="shared" si="104"/>
        <v>1</v>
      </c>
      <c r="F587" s="674"/>
      <c r="G587" s="24">
        <f t="shared" si="105"/>
        <v>1</v>
      </c>
      <c r="H587" s="674"/>
      <c r="I587" s="24">
        <f t="shared" si="106"/>
        <v>1</v>
      </c>
      <c r="J587" s="674"/>
      <c r="K587" s="24">
        <f t="shared" si="107"/>
        <v>1</v>
      </c>
      <c r="L587" s="674"/>
      <c r="M587" s="24">
        <f t="shared" si="108"/>
        <v>1</v>
      </c>
      <c r="N587" s="674"/>
      <c r="O587" s="24">
        <f t="shared" si="109"/>
        <v>1</v>
      </c>
      <c r="P587" s="674"/>
      <c r="Q587" s="24">
        <f t="shared" si="110"/>
        <v>0</v>
      </c>
      <c r="R587" s="670">
        <f t="shared" si="111"/>
        <v>0</v>
      </c>
      <c r="S587" s="322">
        <f t="shared" si="112"/>
        <v>0</v>
      </c>
    </row>
    <row r="588" spans="1:19">
      <c r="A588" s="155"/>
      <c r="B588" s="57"/>
      <c r="C588" s="24">
        <f t="shared" si="103"/>
        <v>1</v>
      </c>
      <c r="D588" s="3053"/>
      <c r="E588" s="24">
        <f t="shared" si="104"/>
        <v>1</v>
      </c>
      <c r="F588" s="674"/>
      <c r="G588" s="24">
        <f t="shared" si="105"/>
        <v>1</v>
      </c>
      <c r="H588" s="674"/>
      <c r="I588" s="24">
        <f t="shared" si="106"/>
        <v>1</v>
      </c>
      <c r="J588" s="674"/>
      <c r="K588" s="24">
        <f t="shared" si="107"/>
        <v>1</v>
      </c>
      <c r="L588" s="674"/>
      <c r="M588" s="24">
        <f t="shared" si="108"/>
        <v>1</v>
      </c>
      <c r="N588" s="674"/>
      <c r="O588" s="24">
        <f t="shared" si="109"/>
        <v>1</v>
      </c>
      <c r="P588" s="674"/>
      <c r="Q588" s="24">
        <f t="shared" si="110"/>
        <v>0</v>
      </c>
      <c r="R588" s="670">
        <f t="shared" si="111"/>
        <v>0</v>
      </c>
      <c r="S588" s="322">
        <f t="shared" si="112"/>
        <v>0</v>
      </c>
    </row>
    <row r="589" spans="1:19">
      <c r="A589" s="155"/>
      <c r="B589" s="57"/>
      <c r="C589" s="24">
        <f t="shared" si="103"/>
        <v>1</v>
      </c>
      <c r="D589" s="3053"/>
      <c r="E589" s="24">
        <f t="shared" si="104"/>
        <v>1</v>
      </c>
      <c r="F589" s="674"/>
      <c r="G589" s="24">
        <f t="shared" si="105"/>
        <v>1</v>
      </c>
      <c r="H589" s="674"/>
      <c r="I589" s="24">
        <f t="shared" si="106"/>
        <v>1</v>
      </c>
      <c r="J589" s="674"/>
      <c r="K589" s="24">
        <f t="shared" si="107"/>
        <v>1</v>
      </c>
      <c r="L589" s="674"/>
      <c r="M589" s="24">
        <f t="shared" si="108"/>
        <v>1</v>
      </c>
      <c r="N589" s="674"/>
      <c r="O589" s="24">
        <f t="shared" si="109"/>
        <v>1</v>
      </c>
      <c r="P589" s="674"/>
      <c r="Q589" s="24">
        <f t="shared" si="110"/>
        <v>0</v>
      </c>
      <c r="R589" s="670">
        <f t="shared" si="111"/>
        <v>0</v>
      </c>
      <c r="S589" s="322">
        <f t="shared" si="112"/>
        <v>0</v>
      </c>
    </row>
    <row r="590" spans="1:19">
      <c r="A590" s="155"/>
      <c r="B590" s="57"/>
      <c r="C590" s="24">
        <f t="shared" ref="C590:C653" si="113">IF(B590="",1,(LOOKUP(B590,$3:$3,$4:$4)-LOOKUP($B$24,$3:$3,$4:$4)+100)/100)</f>
        <v>1</v>
      </c>
      <c r="D590" s="3053"/>
      <c r="E590" s="24">
        <f t="shared" ref="E590:E653" si="114">(SUMIF($5:$5,D590,$6:$6)-SUMIF($5:$5,$D$24,$6:$6)+100)/100</f>
        <v>1</v>
      </c>
      <c r="F590" s="674"/>
      <c r="G590" s="24">
        <f t="shared" ref="G590:G653" si="115">(SUMIF($7:$7,F590,$8:$8)-SUMIF($7:$7,$F$24,$8:$8)+100)/100</f>
        <v>1</v>
      </c>
      <c r="H590" s="674"/>
      <c r="I590" s="24">
        <f t="shared" ref="I590:I653" si="116">(SUMIF($9:$9,H590,$10:$10)-SUMIF($9:$9,$H$24,$10:$10)+100)/100</f>
        <v>1</v>
      </c>
      <c r="J590" s="674"/>
      <c r="K590" s="24">
        <f t="shared" ref="K590:K653" si="117">(SUMIF($11:$11,J590,$12:$12)-SUMIF($11:$11,$J$24,$12:$12)+100)/100</f>
        <v>1</v>
      </c>
      <c r="L590" s="674"/>
      <c r="M590" s="24">
        <f t="shared" ref="M590:M653" si="118">(SUMIF($13:$13,L590,$14:$14)-SUMIF($13:$13,$L$24,$14:$14)+100)/100</f>
        <v>1</v>
      </c>
      <c r="N590" s="674"/>
      <c r="O590" s="24">
        <f t="shared" ref="O590:O653" si="119">(SUMIF($15:$15,N590,$16:$16)-SUMIF($15:$15,$N$24,$16:$16)+100)/100</f>
        <v>1</v>
      </c>
      <c r="P590" s="674"/>
      <c r="Q590" s="24">
        <f t="shared" ref="Q590:Q653" si="120">(SUMIF($17:$17,P590,$18:$18)-SUMIF($17:$17,$P$24,$18:$18)+100)/100</f>
        <v>0</v>
      </c>
      <c r="R590" s="670">
        <f t="shared" ref="R590:R653" si="121">IF(B590="",0,ROUND($R$24*C590*E590*G590*I590*K590*M590*O590*Q590,0))</f>
        <v>0</v>
      </c>
      <c r="S590" s="322">
        <f t="shared" ref="S590:S653" si="122">ROUND(R590*B590/10000,0)</f>
        <v>0</v>
      </c>
    </row>
    <row r="591" spans="1:19">
      <c r="A591" s="155"/>
      <c r="B591" s="57"/>
      <c r="C591" s="24">
        <f t="shared" si="113"/>
        <v>1</v>
      </c>
      <c r="D591" s="3053"/>
      <c r="E591" s="24">
        <f t="shared" si="114"/>
        <v>1</v>
      </c>
      <c r="F591" s="674"/>
      <c r="G591" s="24">
        <f t="shared" si="115"/>
        <v>1</v>
      </c>
      <c r="H591" s="674"/>
      <c r="I591" s="24">
        <f t="shared" si="116"/>
        <v>1</v>
      </c>
      <c r="J591" s="674"/>
      <c r="K591" s="24">
        <f t="shared" si="117"/>
        <v>1</v>
      </c>
      <c r="L591" s="674"/>
      <c r="M591" s="24">
        <f t="shared" si="118"/>
        <v>1</v>
      </c>
      <c r="N591" s="674"/>
      <c r="O591" s="24">
        <f t="shared" si="119"/>
        <v>1</v>
      </c>
      <c r="P591" s="674"/>
      <c r="Q591" s="24">
        <f t="shared" si="120"/>
        <v>0</v>
      </c>
      <c r="R591" s="670">
        <f t="shared" si="121"/>
        <v>0</v>
      </c>
      <c r="S591" s="322">
        <f t="shared" si="122"/>
        <v>0</v>
      </c>
    </row>
    <row r="592" spans="1:19">
      <c r="A592" s="155"/>
      <c r="B592" s="57"/>
      <c r="C592" s="24">
        <f t="shared" si="113"/>
        <v>1</v>
      </c>
      <c r="D592" s="3053"/>
      <c r="E592" s="24">
        <f t="shared" si="114"/>
        <v>1</v>
      </c>
      <c r="F592" s="674"/>
      <c r="G592" s="24">
        <f t="shared" si="115"/>
        <v>1</v>
      </c>
      <c r="H592" s="674"/>
      <c r="I592" s="24">
        <f t="shared" si="116"/>
        <v>1</v>
      </c>
      <c r="J592" s="674"/>
      <c r="K592" s="24">
        <f t="shared" si="117"/>
        <v>1</v>
      </c>
      <c r="L592" s="674"/>
      <c r="M592" s="24">
        <f t="shared" si="118"/>
        <v>1</v>
      </c>
      <c r="N592" s="674"/>
      <c r="O592" s="24">
        <f t="shared" si="119"/>
        <v>1</v>
      </c>
      <c r="P592" s="674"/>
      <c r="Q592" s="24">
        <f t="shared" si="120"/>
        <v>0</v>
      </c>
      <c r="R592" s="670">
        <f t="shared" si="121"/>
        <v>0</v>
      </c>
      <c r="S592" s="322">
        <f t="shared" si="122"/>
        <v>0</v>
      </c>
    </row>
    <row r="593" spans="1:19">
      <c r="A593" s="155"/>
      <c r="B593" s="57"/>
      <c r="C593" s="24">
        <f t="shared" si="113"/>
        <v>1</v>
      </c>
      <c r="D593" s="3053"/>
      <c r="E593" s="24">
        <f t="shared" si="114"/>
        <v>1</v>
      </c>
      <c r="F593" s="674"/>
      <c r="G593" s="24">
        <f t="shared" si="115"/>
        <v>1</v>
      </c>
      <c r="H593" s="674"/>
      <c r="I593" s="24">
        <f t="shared" si="116"/>
        <v>1</v>
      </c>
      <c r="J593" s="674"/>
      <c r="K593" s="24">
        <f t="shared" si="117"/>
        <v>1</v>
      </c>
      <c r="L593" s="674"/>
      <c r="M593" s="24">
        <f t="shared" si="118"/>
        <v>1</v>
      </c>
      <c r="N593" s="674"/>
      <c r="O593" s="24">
        <f t="shared" si="119"/>
        <v>1</v>
      </c>
      <c r="P593" s="674"/>
      <c r="Q593" s="24">
        <f t="shared" si="120"/>
        <v>0</v>
      </c>
      <c r="R593" s="670">
        <f t="shared" si="121"/>
        <v>0</v>
      </c>
      <c r="S593" s="322">
        <f t="shared" si="122"/>
        <v>0</v>
      </c>
    </row>
    <row r="594" spans="1:19">
      <c r="A594" s="155"/>
      <c r="B594" s="57"/>
      <c r="C594" s="24">
        <f t="shared" si="113"/>
        <v>1</v>
      </c>
      <c r="D594" s="3053"/>
      <c r="E594" s="24">
        <f t="shared" si="114"/>
        <v>1</v>
      </c>
      <c r="F594" s="674"/>
      <c r="G594" s="24">
        <f t="shared" si="115"/>
        <v>1</v>
      </c>
      <c r="H594" s="674"/>
      <c r="I594" s="24">
        <f t="shared" si="116"/>
        <v>1</v>
      </c>
      <c r="J594" s="674"/>
      <c r="K594" s="24">
        <f t="shared" si="117"/>
        <v>1</v>
      </c>
      <c r="L594" s="674"/>
      <c r="M594" s="24">
        <f t="shared" si="118"/>
        <v>1</v>
      </c>
      <c r="N594" s="674"/>
      <c r="O594" s="24">
        <f t="shared" si="119"/>
        <v>1</v>
      </c>
      <c r="P594" s="674"/>
      <c r="Q594" s="24">
        <f t="shared" si="120"/>
        <v>0</v>
      </c>
      <c r="R594" s="670">
        <f t="shared" si="121"/>
        <v>0</v>
      </c>
      <c r="S594" s="322">
        <f t="shared" si="122"/>
        <v>0</v>
      </c>
    </row>
    <row r="595" spans="1:19">
      <c r="A595" s="155"/>
      <c r="B595" s="57"/>
      <c r="C595" s="24">
        <f t="shared" si="113"/>
        <v>1</v>
      </c>
      <c r="D595" s="3053"/>
      <c r="E595" s="24">
        <f t="shared" si="114"/>
        <v>1</v>
      </c>
      <c r="F595" s="674"/>
      <c r="G595" s="24">
        <f t="shared" si="115"/>
        <v>1</v>
      </c>
      <c r="H595" s="674"/>
      <c r="I595" s="24">
        <f t="shared" si="116"/>
        <v>1</v>
      </c>
      <c r="J595" s="674"/>
      <c r="K595" s="24">
        <f t="shared" si="117"/>
        <v>1</v>
      </c>
      <c r="L595" s="674"/>
      <c r="M595" s="24">
        <f t="shared" si="118"/>
        <v>1</v>
      </c>
      <c r="N595" s="674"/>
      <c r="O595" s="24">
        <f t="shared" si="119"/>
        <v>1</v>
      </c>
      <c r="P595" s="674"/>
      <c r="Q595" s="24">
        <f t="shared" si="120"/>
        <v>0</v>
      </c>
      <c r="R595" s="670">
        <f t="shared" si="121"/>
        <v>0</v>
      </c>
      <c r="S595" s="322">
        <f t="shared" si="122"/>
        <v>0</v>
      </c>
    </row>
    <row r="596" spans="1:19">
      <c r="A596" s="155"/>
      <c r="B596" s="57"/>
      <c r="C596" s="24">
        <f t="shared" si="113"/>
        <v>1</v>
      </c>
      <c r="D596" s="3053"/>
      <c r="E596" s="24">
        <f t="shared" si="114"/>
        <v>1</v>
      </c>
      <c r="F596" s="674"/>
      <c r="G596" s="24">
        <f t="shared" si="115"/>
        <v>1</v>
      </c>
      <c r="H596" s="674"/>
      <c r="I596" s="24">
        <f t="shared" si="116"/>
        <v>1</v>
      </c>
      <c r="J596" s="674"/>
      <c r="K596" s="24">
        <f t="shared" si="117"/>
        <v>1</v>
      </c>
      <c r="L596" s="674"/>
      <c r="M596" s="24">
        <f t="shared" si="118"/>
        <v>1</v>
      </c>
      <c r="N596" s="674"/>
      <c r="O596" s="24">
        <f t="shared" si="119"/>
        <v>1</v>
      </c>
      <c r="P596" s="674"/>
      <c r="Q596" s="24">
        <f t="shared" si="120"/>
        <v>0</v>
      </c>
      <c r="R596" s="670">
        <f t="shared" si="121"/>
        <v>0</v>
      </c>
      <c r="S596" s="322">
        <f t="shared" si="122"/>
        <v>0</v>
      </c>
    </row>
    <row r="597" spans="1:19">
      <c r="A597" s="155"/>
      <c r="B597" s="57"/>
      <c r="C597" s="24">
        <f t="shared" si="113"/>
        <v>1</v>
      </c>
      <c r="D597" s="3053"/>
      <c r="E597" s="24">
        <f t="shared" si="114"/>
        <v>1</v>
      </c>
      <c r="F597" s="674"/>
      <c r="G597" s="24">
        <f t="shared" si="115"/>
        <v>1</v>
      </c>
      <c r="H597" s="674"/>
      <c r="I597" s="24">
        <f t="shared" si="116"/>
        <v>1</v>
      </c>
      <c r="J597" s="674"/>
      <c r="K597" s="24">
        <f t="shared" si="117"/>
        <v>1</v>
      </c>
      <c r="L597" s="674"/>
      <c r="M597" s="24">
        <f t="shared" si="118"/>
        <v>1</v>
      </c>
      <c r="N597" s="674"/>
      <c r="O597" s="24">
        <f t="shared" si="119"/>
        <v>1</v>
      </c>
      <c r="P597" s="674"/>
      <c r="Q597" s="24">
        <f t="shared" si="120"/>
        <v>0</v>
      </c>
      <c r="R597" s="670">
        <f t="shared" si="121"/>
        <v>0</v>
      </c>
      <c r="S597" s="322">
        <f t="shared" si="122"/>
        <v>0</v>
      </c>
    </row>
    <row r="598" spans="1:19">
      <c r="A598" s="155"/>
      <c r="B598" s="57"/>
      <c r="C598" s="24">
        <f t="shared" si="113"/>
        <v>1</v>
      </c>
      <c r="D598" s="3053"/>
      <c r="E598" s="24">
        <f t="shared" si="114"/>
        <v>1</v>
      </c>
      <c r="F598" s="674"/>
      <c r="G598" s="24">
        <f t="shared" si="115"/>
        <v>1</v>
      </c>
      <c r="H598" s="674"/>
      <c r="I598" s="24">
        <f t="shared" si="116"/>
        <v>1</v>
      </c>
      <c r="J598" s="674"/>
      <c r="K598" s="24">
        <f t="shared" si="117"/>
        <v>1</v>
      </c>
      <c r="L598" s="674"/>
      <c r="M598" s="24">
        <f t="shared" si="118"/>
        <v>1</v>
      </c>
      <c r="N598" s="674"/>
      <c r="O598" s="24">
        <f t="shared" si="119"/>
        <v>1</v>
      </c>
      <c r="P598" s="674"/>
      <c r="Q598" s="24">
        <f t="shared" si="120"/>
        <v>0</v>
      </c>
      <c r="R598" s="670">
        <f t="shared" si="121"/>
        <v>0</v>
      </c>
      <c r="S598" s="322">
        <f t="shared" si="122"/>
        <v>0</v>
      </c>
    </row>
    <row r="599" spans="1:19">
      <c r="A599" s="155"/>
      <c r="B599" s="57"/>
      <c r="C599" s="24">
        <f t="shared" si="113"/>
        <v>1</v>
      </c>
      <c r="D599" s="3053"/>
      <c r="E599" s="24">
        <f t="shared" si="114"/>
        <v>1</v>
      </c>
      <c r="F599" s="674"/>
      <c r="G599" s="24">
        <f t="shared" si="115"/>
        <v>1</v>
      </c>
      <c r="H599" s="674"/>
      <c r="I599" s="24">
        <f t="shared" si="116"/>
        <v>1</v>
      </c>
      <c r="J599" s="674"/>
      <c r="K599" s="24">
        <f t="shared" si="117"/>
        <v>1</v>
      </c>
      <c r="L599" s="674"/>
      <c r="M599" s="24">
        <f t="shared" si="118"/>
        <v>1</v>
      </c>
      <c r="N599" s="674"/>
      <c r="O599" s="24">
        <f t="shared" si="119"/>
        <v>1</v>
      </c>
      <c r="P599" s="674"/>
      <c r="Q599" s="24">
        <f t="shared" si="120"/>
        <v>0</v>
      </c>
      <c r="R599" s="670">
        <f t="shared" si="121"/>
        <v>0</v>
      </c>
      <c r="S599" s="322">
        <f t="shared" si="122"/>
        <v>0</v>
      </c>
    </row>
    <row r="600" spans="1:19">
      <c r="A600" s="155"/>
      <c r="B600" s="57"/>
      <c r="C600" s="24">
        <f t="shared" si="113"/>
        <v>1</v>
      </c>
      <c r="D600" s="3053"/>
      <c r="E600" s="24">
        <f t="shared" si="114"/>
        <v>1</v>
      </c>
      <c r="F600" s="674"/>
      <c r="G600" s="24">
        <f t="shared" si="115"/>
        <v>1</v>
      </c>
      <c r="H600" s="674"/>
      <c r="I600" s="24">
        <f t="shared" si="116"/>
        <v>1</v>
      </c>
      <c r="J600" s="674"/>
      <c r="K600" s="24">
        <f t="shared" si="117"/>
        <v>1</v>
      </c>
      <c r="L600" s="674"/>
      <c r="M600" s="24">
        <f t="shared" si="118"/>
        <v>1</v>
      </c>
      <c r="N600" s="674"/>
      <c r="O600" s="24">
        <f t="shared" si="119"/>
        <v>1</v>
      </c>
      <c r="P600" s="674"/>
      <c r="Q600" s="24">
        <f t="shared" si="120"/>
        <v>0</v>
      </c>
      <c r="R600" s="670">
        <f t="shared" si="121"/>
        <v>0</v>
      </c>
      <c r="S600" s="322">
        <f t="shared" si="122"/>
        <v>0</v>
      </c>
    </row>
    <row r="601" spans="1:19">
      <c r="A601" s="155"/>
      <c r="B601" s="57"/>
      <c r="C601" s="24">
        <f t="shared" si="113"/>
        <v>1</v>
      </c>
      <c r="D601" s="674"/>
      <c r="E601" s="24">
        <f t="shared" si="114"/>
        <v>1</v>
      </c>
      <c r="F601" s="674"/>
      <c r="G601" s="24">
        <f t="shared" si="115"/>
        <v>1</v>
      </c>
      <c r="H601" s="674"/>
      <c r="I601" s="24">
        <f t="shared" si="116"/>
        <v>1</v>
      </c>
      <c r="J601" s="674"/>
      <c r="K601" s="24">
        <f t="shared" si="117"/>
        <v>1</v>
      </c>
      <c r="L601" s="674"/>
      <c r="M601" s="24">
        <f t="shared" si="118"/>
        <v>1</v>
      </c>
      <c r="N601" s="674"/>
      <c r="O601" s="24">
        <f t="shared" si="119"/>
        <v>1</v>
      </c>
      <c r="P601" s="674"/>
      <c r="Q601" s="24">
        <f t="shared" si="120"/>
        <v>0</v>
      </c>
      <c r="R601" s="670">
        <f t="shared" si="121"/>
        <v>0</v>
      </c>
      <c r="S601" s="322">
        <f t="shared" si="122"/>
        <v>0</v>
      </c>
    </row>
    <row r="602" spans="1:19">
      <c r="A602" s="155"/>
      <c r="B602" s="57"/>
      <c r="C602" s="24">
        <f t="shared" si="113"/>
        <v>1</v>
      </c>
      <c r="D602" s="674"/>
      <c r="E602" s="24">
        <f t="shared" si="114"/>
        <v>1</v>
      </c>
      <c r="F602" s="674"/>
      <c r="G602" s="24">
        <f t="shared" si="115"/>
        <v>1</v>
      </c>
      <c r="H602" s="674"/>
      <c r="I602" s="24">
        <f t="shared" si="116"/>
        <v>1</v>
      </c>
      <c r="J602" s="674"/>
      <c r="K602" s="24">
        <f t="shared" si="117"/>
        <v>1</v>
      </c>
      <c r="L602" s="674"/>
      <c r="M602" s="24">
        <f t="shared" si="118"/>
        <v>1</v>
      </c>
      <c r="N602" s="674"/>
      <c r="O602" s="24">
        <f t="shared" si="119"/>
        <v>1</v>
      </c>
      <c r="P602" s="674"/>
      <c r="Q602" s="24">
        <f t="shared" si="120"/>
        <v>0</v>
      </c>
      <c r="R602" s="670">
        <f t="shared" si="121"/>
        <v>0</v>
      </c>
      <c r="S602" s="322">
        <f t="shared" si="122"/>
        <v>0</v>
      </c>
    </row>
    <row r="603" spans="1:19">
      <c r="A603" s="155"/>
      <c r="B603" s="57"/>
      <c r="C603" s="24">
        <f t="shared" si="113"/>
        <v>1</v>
      </c>
      <c r="D603" s="674"/>
      <c r="E603" s="24">
        <f t="shared" si="114"/>
        <v>1</v>
      </c>
      <c r="F603" s="674"/>
      <c r="G603" s="24">
        <f t="shared" si="115"/>
        <v>1</v>
      </c>
      <c r="H603" s="674"/>
      <c r="I603" s="24">
        <f t="shared" si="116"/>
        <v>1</v>
      </c>
      <c r="J603" s="674"/>
      <c r="K603" s="24">
        <f t="shared" si="117"/>
        <v>1</v>
      </c>
      <c r="L603" s="674"/>
      <c r="M603" s="24">
        <f t="shared" si="118"/>
        <v>1</v>
      </c>
      <c r="N603" s="674"/>
      <c r="O603" s="24">
        <f t="shared" si="119"/>
        <v>1</v>
      </c>
      <c r="P603" s="674"/>
      <c r="Q603" s="24">
        <f t="shared" si="120"/>
        <v>0</v>
      </c>
      <c r="R603" s="670">
        <f t="shared" si="121"/>
        <v>0</v>
      </c>
      <c r="S603" s="322">
        <f t="shared" si="122"/>
        <v>0</v>
      </c>
    </row>
    <row r="604" spans="1:19">
      <c r="A604" s="155"/>
      <c r="B604" s="57"/>
      <c r="C604" s="24">
        <f t="shared" si="113"/>
        <v>1</v>
      </c>
      <c r="D604" s="674"/>
      <c r="E604" s="24">
        <f t="shared" si="114"/>
        <v>1</v>
      </c>
      <c r="F604" s="674"/>
      <c r="G604" s="24">
        <f t="shared" si="115"/>
        <v>1</v>
      </c>
      <c r="H604" s="674"/>
      <c r="I604" s="24">
        <f t="shared" si="116"/>
        <v>1</v>
      </c>
      <c r="J604" s="674"/>
      <c r="K604" s="24">
        <f t="shared" si="117"/>
        <v>1</v>
      </c>
      <c r="L604" s="674"/>
      <c r="M604" s="24">
        <f t="shared" si="118"/>
        <v>1</v>
      </c>
      <c r="N604" s="674"/>
      <c r="O604" s="24">
        <f t="shared" si="119"/>
        <v>1</v>
      </c>
      <c r="P604" s="674"/>
      <c r="Q604" s="24">
        <f t="shared" si="120"/>
        <v>0</v>
      </c>
      <c r="R604" s="670">
        <f t="shared" si="121"/>
        <v>0</v>
      </c>
      <c r="S604" s="322">
        <f t="shared" si="122"/>
        <v>0</v>
      </c>
    </row>
    <row r="605" spans="1:19">
      <c r="A605" s="155"/>
      <c r="B605" s="57"/>
      <c r="C605" s="24">
        <f t="shared" si="113"/>
        <v>1</v>
      </c>
      <c r="D605" s="674"/>
      <c r="E605" s="24">
        <f t="shared" si="114"/>
        <v>1</v>
      </c>
      <c r="F605" s="674"/>
      <c r="G605" s="24">
        <f t="shared" si="115"/>
        <v>1</v>
      </c>
      <c r="H605" s="674"/>
      <c r="I605" s="24">
        <f t="shared" si="116"/>
        <v>1</v>
      </c>
      <c r="J605" s="674"/>
      <c r="K605" s="24">
        <f t="shared" si="117"/>
        <v>1</v>
      </c>
      <c r="L605" s="674"/>
      <c r="M605" s="24">
        <f t="shared" si="118"/>
        <v>1</v>
      </c>
      <c r="N605" s="674"/>
      <c r="O605" s="24">
        <f t="shared" si="119"/>
        <v>1</v>
      </c>
      <c r="P605" s="674"/>
      <c r="Q605" s="24">
        <f t="shared" si="120"/>
        <v>0</v>
      </c>
      <c r="R605" s="670">
        <f t="shared" si="121"/>
        <v>0</v>
      </c>
      <c r="S605" s="322">
        <f t="shared" si="122"/>
        <v>0</v>
      </c>
    </row>
    <row r="606" spans="1:19">
      <c r="A606" s="155"/>
      <c r="B606" s="57"/>
      <c r="C606" s="24">
        <f t="shared" si="113"/>
        <v>1</v>
      </c>
      <c r="D606" s="674"/>
      <c r="E606" s="24">
        <f t="shared" si="114"/>
        <v>1</v>
      </c>
      <c r="F606" s="674"/>
      <c r="G606" s="24">
        <f t="shared" si="115"/>
        <v>1</v>
      </c>
      <c r="H606" s="674"/>
      <c r="I606" s="24">
        <f t="shared" si="116"/>
        <v>1</v>
      </c>
      <c r="J606" s="674"/>
      <c r="K606" s="24">
        <f t="shared" si="117"/>
        <v>1</v>
      </c>
      <c r="L606" s="674"/>
      <c r="M606" s="24">
        <f t="shared" si="118"/>
        <v>1</v>
      </c>
      <c r="N606" s="674"/>
      <c r="O606" s="24">
        <f t="shared" si="119"/>
        <v>1</v>
      </c>
      <c r="P606" s="674"/>
      <c r="Q606" s="24">
        <f t="shared" si="120"/>
        <v>0</v>
      </c>
      <c r="R606" s="670">
        <f t="shared" si="121"/>
        <v>0</v>
      </c>
      <c r="S606" s="322">
        <f t="shared" si="122"/>
        <v>0</v>
      </c>
    </row>
    <row r="607" spans="1:19">
      <c r="A607" s="155"/>
      <c r="B607" s="57"/>
      <c r="C607" s="24">
        <f t="shared" si="113"/>
        <v>1</v>
      </c>
      <c r="D607" s="3053"/>
      <c r="E607" s="24">
        <f t="shared" si="114"/>
        <v>1</v>
      </c>
      <c r="F607" s="674"/>
      <c r="G607" s="24">
        <f t="shared" si="115"/>
        <v>1</v>
      </c>
      <c r="H607" s="674"/>
      <c r="I607" s="24">
        <f t="shared" si="116"/>
        <v>1</v>
      </c>
      <c r="J607" s="674"/>
      <c r="K607" s="24">
        <f t="shared" si="117"/>
        <v>1</v>
      </c>
      <c r="L607" s="674"/>
      <c r="M607" s="24">
        <f t="shared" si="118"/>
        <v>1</v>
      </c>
      <c r="N607" s="674"/>
      <c r="O607" s="24">
        <f t="shared" si="119"/>
        <v>1</v>
      </c>
      <c r="P607" s="674"/>
      <c r="Q607" s="24">
        <f t="shared" si="120"/>
        <v>0</v>
      </c>
      <c r="R607" s="670">
        <f t="shared" si="121"/>
        <v>0</v>
      </c>
      <c r="S607" s="322">
        <f t="shared" si="122"/>
        <v>0</v>
      </c>
    </row>
    <row r="608" spans="1:19">
      <c r="A608" s="155"/>
      <c r="B608" s="57"/>
      <c r="C608" s="24">
        <f t="shared" si="113"/>
        <v>1</v>
      </c>
      <c r="D608" s="3053"/>
      <c r="E608" s="24">
        <f t="shared" si="114"/>
        <v>1</v>
      </c>
      <c r="F608" s="674"/>
      <c r="G608" s="24">
        <f t="shared" si="115"/>
        <v>1</v>
      </c>
      <c r="H608" s="674"/>
      <c r="I608" s="24">
        <f t="shared" si="116"/>
        <v>1</v>
      </c>
      <c r="J608" s="674"/>
      <c r="K608" s="24">
        <f t="shared" si="117"/>
        <v>1</v>
      </c>
      <c r="L608" s="674"/>
      <c r="M608" s="24">
        <f t="shared" si="118"/>
        <v>1</v>
      </c>
      <c r="N608" s="674"/>
      <c r="O608" s="24">
        <f t="shared" si="119"/>
        <v>1</v>
      </c>
      <c r="P608" s="674"/>
      <c r="Q608" s="24">
        <f t="shared" si="120"/>
        <v>0</v>
      </c>
      <c r="R608" s="670">
        <f t="shared" si="121"/>
        <v>0</v>
      </c>
      <c r="S608" s="322">
        <f t="shared" si="122"/>
        <v>0</v>
      </c>
    </row>
    <row r="609" spans="1:19">
      <c r="A609" s="155"/>
      <c r="B609" s="57"/>
      <c r="C609" s="24">
        <f t="shared" si="113"/>
        <v>1</v>
      </c>
      <c r="D609" s="3053"/>
      <c r="E609" s="24">
        <f t="shared" si="114"/>
        <v>1</v>
      </c>
      <c r="F609" s="674"/>
      <c r="G609" s="24">
        <f t="shared" si="115"/>
        <v>1</v>
      </c>
      <c r="H609" s="674"/>
      <c r="I609" s="24">
        <f t="shared" si="116"/>
        <v>1</v>
      </c>
      <c r="J609" s="674"/>
      <c r="K609" s="24">
        <f t="shared" si="117"/>
        <v>1</v>
      </c>
      <c r="L609" s="674"/>
      <c r="M609" s="24">
        <f t="shared" si="118"/>
        <v>1</v>
      </c>
      <c r="N609" s="674"/>
      <c r="O609" s="24">
        <f t="shared" si="119"/>
        <v>1</v>
      </c>
      <c r="P609" s="674"/>
      <c r="Q609" s="24">
        <f t="shared" si="120"/>
        <v>0</v>
      </c>
      <c r="R609" s="670">
        <f t="shared" si="121"/>
        <v>0</v>
      </c>
      <c r="S609" s="322">
        <f t="shared" si="122"/>
        <v>0</v>
      </c>
    </row>
    <row r="610" spans="1:19">
      <c r="A610" s="155"/>
      <c r="B610" s="57"/>
      <c r="C610" s="24">
        <f t="shared" si="113"/>
        <v>1</v>
      </c>
      <c r="D610" s="3053"/>
      <c r="E610" s="24">
        <f t="shared" si="114"/>
        <v>1</v>
      </c>
      <c r="F610" s="674"/>
      <c r="G610" s="24">
        <f t="shared" si="115"/>
        <v>1</v>
      </c>
      <c r="H610" s="674"/>
      <c r="I610" s="24">
        <f t="shared" si="116"/>
        <v>1</v>
      </c>
      <c r="J610" s="674"/>
      <c r="K610" s="24">
        <f t="shared" si="117"/>
        <v>1</v>
      </c>
      <c r="L610" s="674"/>
      <c r="M610" s="24">
        <f t="shared" si="118"/>
        <v>1</v>
      </c>
      <c r="N610" s="674"/>
      <c r="O610" s="24">
        <f t="shared" si="119"/>
        <v>1</v>
      </c>
      <c r="P610" s="674"/>
      <c r="Q610" s="24">
        <f t="shared" si="120"/>
        <v>0</v>
      </c>
      <c r="R610" s="670">
        <f t="shared" si="121"/>
        <v>0</v>
      </c>
      <c r="S610" s="322">
        <f t="shared" si="122"/>
        <v>0</v>
      </c>
    </row>
    <row r="611" spans="1:19">
      <c r="A611" s="155"/>
      <c r="B611" s="57"/>
      <c r="C611" s="24">
        <f t="shared" si="113"/>
        <v>1</v>
      </c>
      <c r="D611" s="3053"/>
      <c r="E611" s="24">
        <f t="shared" si="114"/>
        <v>1</v>
      </c>
      <c r="F611" s="674"/>
      <c r="G611" s="24">
        <f t="shared" si="115"/>
        <v>1</v>
      </c>
      <c r="H611" s="674"/>
      <c r="I611" s="24">
        <f t="shared" si="116"/>
        <v>1</v>
      </c>
      <c r="J611" s="674"/>
      <c r="K611" s="24">
        <f t="shared" si="117"/>
        <v>1</v>
      </c>
      <c r="L611" s="674"/>
      <c r="M611" s="24">
        <f t="shared" si="118"/>
        <v>1</v>
      </c>
      <c r="N611" s="674"/>
      <c r="O611" s="24">
        <f t="shared" si="119"/>
        <v>1</v>
      </c>
      <c r="P611" s="674"/>
      <c r="Q611" s="24">
        <f t="shared" si="120"/>
        <v>0</v>
      </c>
      <c r="R611" s="670">
        <f t="shared" si="121"/>
        <v>0</v>
      </c>
      <c r="S611" s="322">
        <f t="shared" si="122"/>
        <v>0</v>
      </c>
    </row>
    <row r="612" spans="1:19">
      <c r="A612" s="155"/>
      <c r="B612" s="57"/>
      <c r="C612" s="24">
        <f t="shared" si="113"/>
        <v>1</v>
      </c>
      <c r="D612" s="3053"/>
      <c r="E612" s="24">
        <f t="shared" si="114"/>
        <v>1</v>
      </c>
      <c r="F612" s="674"/>
      <c r="G612" s="24">
        <f t="shared" si="115"/>
        <v>1</v>
      </c>
      <c r="H612" s="674"/>
      <c r="I612" s="24">
        <f t="shared" si="116"/>
        <v>1</v>
      </c>
      <c r="J612" s="674"/>
      <c r="K612" s="24">
        <f t="shared" si="117"/>
        <v>1</v>
      </c>
      <c r="L612" s="674"/>
      <c r="M612" s="24">
        <f t="shared" si="118"/>
        <v>1</v>
      </c>
      <c r="N612" s="674"/>
      <c r="O612" s="24">
        <f t="shared" si="119"/>
        <v>1</v>
      </c>
      <c r="P612" s="674"/>
      <c r="Q612" s="24">
        <f t="shared" si="120"/>
        <v>0</v>
      </c>
      <c r="R612" s="670">
        <f t="shared" si="121"/>
        <v>0</v>
      </c>
      <c r="S612" s="322">
        <f t="shared" si="122"/>
        <v>0</v>
      </c>
    </row>
    <row r="613" spans="1:19">
      <c r="A613" s="155"/>
      <c r="B613" s="57"/>
      <c r="C613" s="24">
        <f t="shared" si="113"/>
        <v>1</v>
      </c>
      <c r="D613" s="3053"/>
      <c r="E613" s="24">
        <f t="shared" si="114"/>
        <v>1</v>
      </c>
      <c r="F613" s="674"/>
      <c r="G613" s="24">
        <f t="shared" si="115"/>
        <v>1</v>
      </c>
      <c r="H613" s="674"/>
      <c r="I613" s="24">
        <f t="shared" si="116"/>
        <v>1</v>
      </c>
      <c r="J613" s="674"/>
      <c r="K613" s="24">
        <f t="shared" si="117"/>
        <v>1</v>
      </c>
      <c r="L613" s="674"/>
      <c r="M613" s="24">
        <f t="shared" si="118"/>
        <v>1</v>
      </c>
      <c r="N613" s="674"/>
      <c r="O613" s="24">
        <f t="shared" si="119"/>
        <v>1</v>
      </c>
      <c r="P613" s="674"/>
      <c r="Q613" s="24">
        <f t="shared" si="120"/>
        <v>0</v>
      </c>
      <c r="R613" s="670">
        <f t="shared" si="121"/>
        <v>0</v>
      </c>
      <c r="S613" s="322">
        <f t="shared" si="122"/>
        <v>0</v>
      </c>
    </row>
    <row r="614" spans="1:19">
      <c r="A614" s="155"/>
      <c r="B614" s="57"/>
      <c r="C614" s="24">
        <f t="shared" si="113"/>
        <v>1</v>
      </c>
      <c r="D614" s="3053"/>
      <c r="E614" s="24">
        <f t="shared" si="114"/>
        <v>1</v>
      </c>
      <c r="F614" s="674"/>
      <c r="G614" s="24">
        <f t="shared" si="115"/>
        <v>1</v>
      </c>
      <c r="H614" s="674"/>
      <c r="I614" s="24">
        <f t="shared" si="116"/>
        <v>1</v>
      </c>
      <c r="J614" s="674"/>
      <c r="K614" s="24">
        <f t="shared" si="117"/>
        <v>1</v>
      </c>
      <c r="L614" s="674"/>
      <c r="M614" s="24">
        <f t="shared" si="118"/>
        <v>1</v>
      </c>
      <c r="N614" s="674"/>
      <c r="O614" s="24">
        <f t="shared" si="119"/>
        <v>1</v>
      </c>
      <c r="P614" s="674"/>
      <c r="Q614" s="24">
        <f t="shared" si="120"/>
        <v>0</v>
      </c>
      <c r="R614" s="670">
        <f t="shared" si="121"/>
        <v>0</v>
      </c>
      <c r="S614" s="322">
        <f t="shared" si="122"/>
        <v>0</v>
      </c>
    </row>
    <row r="615" spans="1:19">
      <c r="A615" s="155"/>
      <c r="B615" s="57"/>
      <c r="C615" s="24">
        <f t="shared" si="113"/>
        <v>1</v>
      </c>
      <c r="D615" s="3053"/>
      <c r="E615" s="24">
        <f t="shared" si="114"/>
        <v>1</v>
      </c>
      <c r="F615" s="674"/>
      <c r="G615" s="24">
        <f t="shared" si="115"/>
        <v>1</v>
      </c>
      <c r="H615" s="674"/>
      <c r="I615" s="24">
        <f t="shared" si="116"/>
        <v>1</v>
      </c>
      <c r="J615" s="674"/>
      <c r="K615" s="24">
        <f t="shared" si="117"/>
        <v>1</v>
      </c>
      <c r="L615" s="674"/>
      <c r="M615" s="24">
        <f t="shared" si="118"/>
        <v>1</v>
      </c>
      <c r="N615" s="674"/>
      <c r="O615" s="24">
        <f t="shared" si="119"/>
        <v>1</v>
      </c>
      <c r="P615" s="674"/>
      <c r="Q615" s="24">
        <f t="shared" si="120"/>
        <v>0</v>
      </c>
      <c r="R615" s="670">
        <f t="shared" si="121"/>
        <v>0</v>
      </c>
      <c r="S615" s="322">
        <f t="shared" si="122"/>
        <v>0</v>
      </c>
    </row>
    <row r="616" spans="1:19">
      <c r="A616" s="155"/>
      <c r="B616" s="57"/>
      <c r="C616" s="24">
        <f t="shared" si="113"/>
        <v>1</v>
      </c>
      <c r="D616" s="3053"/>
      <c r="E616" s="24">
        <f t="shared" si="114"/>
        <v>1</v>
      </c>
      <c r="F616" s="674"/>
      <c r="G616" s="24">
        <f t="shared" si="115"/>
        <v>1</v>
      </c>
      <c r="H616" s="674"/>
      <c r="I616" s="24">
        <f t="shared" si="116"/>
        <v>1</v>
      </c>
      <c r="J616" s="674"/>
      <c r="K616" s="24">
        <f t="shared" si="117"/>
        <v>1</v>
      </c>
      <c r="L616" s="674"/>
      <c r="M616" s="24">
        <f t="shared" si="118"/>
        <v>1</v>
      </c>
      <c r="N616" s="674"/>
      <c r="O616" s="24">
        <f t="shared" si="119"/>
        <v>1</v>
      </c>
      <c r="P616" s="674"/>
      <c r="Q616" s="24">
        <f t="shared" si="120"/>
        <v>0</v>
      </c>
      <c r="R616" s="670">
        <f t="shared" si="121"/>
        <v>0</v>
      </c>
      <c r="S616" s="322">
        <f t="shared" si="122"/>
        <v>0</v>
      </c>
    </row>
    <row r="617" spans="1:19">
      <c r="A617" s="155"/>
      <c r="B617" s="57"/>
      <c r="C617" s="24">
        <f t="shared" si="113"/>
        <v>1</v>
      </c>
      <c r="D617" s="3053"/>
      <c r="E617" s="24">
        <f t="shared" si="114"/>
        <v>1</v>
      </c>
      <c r="F617" s="674"/>
      <c r="G617" s="24">
        <f t="shared" si="115"/>
        <v>1</v>
      </c>
      <c r="H617" s="674"/>
      <c r="I617" s="24">
        <f t="shared" si="116"/>
        <v>1</v>
      </c>
      <c r="J617" s="674"/>
      <c r="K617" s="24">
        <f t="shared" si="117"/>
        <v>1</v>
      </c>
      <c r="L617" s="674"/>
      <c r="M617" s="24">
        <f t="shared" si="118"/>
        <v>1</v>
      </c>
      <c r="N617" s="674"/>
      <c r="O617" s="24">
        <f t="shared" si="119"/>
        <v>1</v>
      </c>
      <c r="P617" s="674"/>
      <c r="Q617" s="24">
        <f t="shared" si="120"/>
        <v>0</v>
      </c>
      <c r="R617" s="670">
        <f t="shared" si="121"/>
        <v>0</v>
      </c>
      <c r="S617" s="322">
        <f t="shared" si="122"/>
        <v>0</v>
      </c>
    </row>
    <row r="618" spans="1:19">
      <c r="A618" s="155"/>
      <c r="B618" s="57"/>
      <c r="C618" s="24">
        <f t="shared" si="113"/>
        <v>1</v>
      </c>
      <c r="D618" s="3053"/>
      <c r="E618" s="24">
        <f t="shared" si="114"/>
        <v>1</v>
      </c>
      <c r="F618" s="674"/>
      <c r="G618" s="24">
        <f t="shared" si="115"/>
        <v>1</v>
      </c>
      <c r="H618" s="674"/>
      <c r="I618" s="24">
        <f t="shared" si="116"/>
        <v>1</v>
      </c>
      <c r="J618" s="674"/>
      <c r="K618" s="24">
        <f t="shared" si="117"/>
        <v>1</v>
      </c>
      <c r="L618" s="674"/>
      <c r="M618" s="24">
        <f t="shared" si="118"/>
        <v>1</v>
      </c>
      <c r="N618" s="674"/>
      <c r="O618" s="24">
        <f t="shared" si="119"/>
        <v>1</v>
      </c>
      <c r="P618" s="674"/>
      <c r="Q618" s="24">
        <f t="shared" si="120"/>
        <v>0</v>
      </c>
      <c r="R618" s="670">
        <f t="shared" si="121"/>
        <v>0</v>
      </c>
      <c r="S618" s="322">
        <f t="shared" si="122"/>
        <v>0</v>
      </c>
    </row>
    <row r="619" spans="1:19">
      <c r="A619" s="155"/>
      <c r="B619" s="57"/>
      <c r="C619" s="24">
        <f t="shared" si="113"/>
        <v>1</v>
      </c>
      <c r="D619" s="674"/>
      <c r="E619" s="24">
        <f t="shared" si="114"/>
        <v>1</v>
      </c>
      <c r="F619" s="674"/>
      <c r="G619" s="24">
        <f t="shared" si="115"/>
        <v>1</v>
      </c>
      <c r="H619" s="674"/>
      <c r="I619" s="24">
        <f t="shared" si="116"/>
        <v>1</v>
      </c>
      <c r="J619" s="674"/>
      <c r="K619" s="24">
        <f t="shared" si="117"/>
        <v>1</v>
      </c>
      <c r="L619" s="674"/>
      <c r="M619" s="24">
        <f t="shared" si="118"/>
        <v>1</v>
      </c>
      <c r="N619" s="674"/>
      <c r="O619" s="24">
        <f t="shared" si="119"/>
        <v>1</v>
      </c>
      <c r="P619" s="674"/>
      <c r="Q619" s="24">
        <f t="shared" si="120"/>
        <v>0</v>
      </c>
      <c r="R619" s="670">
        <f t="shared" si="121"/>
        <v>0</v>
      </c>
      <c r="S619" s="322">
        <f t="shared" si="122"/>
        <v>0</v>
      </c>
    </row>
    <row r="620" spans="1:19">
      <c r="A620" s="155"/>
      <c r="B620" s="57"/>
      <c r="C620" s="24">
        <f t="shared" si="113"/>
        <v>1</v>
      </c>
      <c r="D620" s="674"/>
      <c r="E620" s="24">
        <f t="shared" si="114"/>
        <v>1</v>
      </c>
      <c r="F620" s="674"/>
      <c r="G620" s="24">
        <f t="shared" si="115"/>
        <v>1</v>
      </c>
      <c r="H620" s="674"/>
      <c r="I620" s="24">
        <f t="shared" si="116"/>
        <v>1</v>
      </c>
      <c r="J620" s="674"/>
      <c r="K620" s="24">
        <f t="shared" si="117"/>
        <v>1</v>
      </c>
      <c r="L620" s="674"/>
      <c r="M620" s="24">
        <f t="shared" si="118"/>
        <v>1</v>
      </c>
      <c r="N620" s="674"/>
      <c r="O620" s="24">
        <f t="shared" si="119"/>
        <v>1</v>
      </c>
      <c r="P620" s="674"/>
      <c r="Q620" s="24">
        <f t="shared" si="120"/>
        <v>0</v>
      </c>
      <c r="R620" s="670">
        <f t="shared" si="121"/>
        <v>0</v>
      </c>
      <c r="S620" s="322">
        <f t="shared" si="122"/>
        <v>0</v>
      </c>
    </row>
    <row r="621" spans="1:19">
      <c r="A621" s="155"/>
      <c r="B621" s="57"/>
      <c r="C621" s="24">
        <f t="shared" si="113"/>
        <v>1</v>
      </c>
      <c r="D621" s="674"/>
      <c r="E621" s="24">
        <f t="shared" si="114"/>
        <v>1</v>
      </c>
      <c r="F621" s="674"/>
      <c r="G621" s="24">
        <f t="shared" si="115"/>
        <v>1</v>
      </c>
      <c r="H621" s="674"/>
      <c r="I621" s="24">
        <f t="shared" si="116"/>
        <v>1</v>
      </c>
      <c r="J621" s="674"/>
      <c r="K621" s="24">
        <f t="shared" si="117"/>
        <v>1</v>
      </c>
      <c r="L621" s="674"/>
      <c r="M621" s="24">
        <f t="shared" si="118"/>
        <v>1</v>
      </c>
      <c r="N621" s="674"/>
      <c r="O621" s="24">
        <f t="shared" si="119"/>
        <v>1</v>
      </c>
      <c r="P621" s="674"/>
      <c r="Q621" s="24">
        <f t="shared" si="120"/>
        <v>0</v>
      </c>
      <c r="R621" s="670">
        <f t="shared" si="121"/>
        <v>0</v>
      </c>
      <c r="S621" s="322">
        <f t="shared" si="122"/>
        <v>0</v>
      </c>
    </row>
    <row r="622" spans="1:19">
      <c r="A622" s="155"/>
      <c r="B622" s="57"/>
      <c r="C622" s="24">
        <f t="shared" si="113"/>
        <v>1</v>
      </c>
      <c r="D622" s="674"/>
      <c r="E622" s="24">
        <f t="shared" si="114"/>
        <v>1</v>
      </c>
      <c r="F622" s="674"/>
      <c r="G622" s="24">
        <f t="shared" si="115"/>
        <v>1</v>
      </c>
      <c r="H622" s="674"/>
      <c r="I622" s="24">
        <f t="shared" si="116"/>
        <v>1</v>
      </c>
      <c r="J622" s="674"/>
      <c r="K622" s="24">
        <f t="shared" si="117"/>
        <v>1</v>
      </c>
      <c r="L622" s="674"/>
      <c r="M622" s="24">
        <f t="shared" si="118"/>
        <v>1</v>
      </c>
      <c r="N622" s="674"/>
      <c r="O622" s="24">
        <f t="shared" si="119"/>
        <v>1</v>
      </c>
      <c r="P622" s="674"/>
      <c r="Q622" s="24">
        <f t="shared" si="120"/>
        <v>0</v>
      </c>
      <c r="R622" s="670">
        <f t="shared" si="121"/>
        <v>0</v>
      </c>
      <c r="S622" s="322">
        <f t="shared" si="122"/>
        <v>0</v>
      </c>
    </row>
    <row r="623" spans="1:19">
      <c r="A623" s="155"/>
      <c r="B623" s="57"/>
      <c r="C623" s="24">
        <f t="shared" si="113"/>
        <v>1</v>
      </c>
      <c r="D623" s="674"/>
      <c r="E623" s="24">
        <f t="shared" si="114"/>
        <v>1</v>
      </c>
      <c r="F623" s="674"/>
      <c r="G623" s="24">
        <f t="shared" si="115"/>
        <v>1</v>
      </c>
      <c r="H623" s="674"/>
      <c r="I623" s="24">
        <f t="shared" si="116"/>
        <v>1</v>
      </c>
      <c r="J623" s="674"/>
      <c r="K623" s="24">
        <f t="shared" si="117"/>
        <v>1</v>
      </c>
      <c r="L623" s="674"/>
      <c r="M623" s="24">
        <f t="shared" si="118"/>
        <v>1</v>
      </c>
      <c r="N623" s="674"/>
      <c r="O623" s="24">
        <f t="shared" si="119"/>
        <v>1</v>
      </c>
      <c r="P623" s="674"/>
      <c r="Q623" s="24">
        <f t="shared" si="120"/>
        <v>0</v>
      </c>
      <c r="R623" s="670">
        <f t="shared" si="121"/>
        <v>0</v>
      </c>
      <c r="S623" s="322">
        <f t="shared" si="122"/>
        <v>0</v>
      </c>
    </row>
    <row r="624" spans="1:19">
      <c r="A624" s="155"/>
      <c r="B624" s="57"/>
      <c r="C624" s="24">
        <f t="shared" si="113"/>
        <v>1</v>
      </c>
      <c r="D624" s="674"/>
      <c r="E624" s="24">
        <f t="shared" si="114"/>
        <v>1</v>
      </c>
      <c r="F624" s="674"/>
      <c r="G624" s="24">
        <f t="shared" si="115"/>
        <v>1</v>
      </c>
      <c r="H624" s="674"/>
      <c r="I624" s="24">
        <f t="shared" si="116"/>
        <v>1</v>
      </c>
      <c r="J624" s="674"/>
      <c r="K624" s="24">
        <f t="shared" si="117"/>
        <v>1</v>
      </c>
      <c r="L624" s="674"/>
      <c r="M624" s="24">
        <f t="shared" si="118"/>
        <v>1</v>
      </c>
      <c r="N624" s="674"/>
      <c r="O624" s="24">
        <f t="shared" si="119"/>
        <v>1</v>
      </c>
      <c r="P624" s="674"/>
      <c r="Q624" s="24">
        <f t="shared" si="120"/>
        <v>0</v>
      </c>
      <c r="R624" s="670">
        <f t="shared" si="121"/>
        <v>0</v>
      </c>
      <c r="S624" s="322">
        <f t="shared" si="122"/>
        <v>0</v>
      </c>
    </row>
    <row r="625" spans="1:19">
      <c r="A625" s="155"/>
      <c r="B625" s="57"/>
      <c r="C625" s="24">
        <f t="shared" si="113"/>
        <v>1</v>
      </c>
      <c r="D625" s="674"/>
      <c r="E625" s="24">
        <f t="shared" si="114"/>
        <v>1</v>
      </c>
      <c r="F625" s="674"/>
      <c r="G625" s="24">
        <f t="shared" si="115"/>
        <v>1</v>
      </c>
      <c r="H625" s="674"/>
      <c r="I625" s="24">
        <f t="shared" si="116"/>
        <v>1</v>
      </c>
      <c r="J625" s="674"/>
      <c r="K625" s="24">
        <f t="shared" si="117"/>
        <v>1</v>
      </c>
      <c r="L625" s="674"/>
      <c r="M625" s="24">
        <f t="shared" si="118"/>
        <v>1</v>
      </c>
      <c r="N625" s="674"/>
      <c r="O625" s="24">
        <f t="shared" si="119"/>
        <v>1</v>
      </c>
      <c r="P625" s="674"/>
      <c r="Q625" s="24">
        <f t="shared" si="120"/>
        <v>0</v>
      </c>
      <c r="R625" s="670">
        <f t="shared" si="121"/>
        <v>0</v>
      </c>
      <c r="S625" s="322">
        <f t="shared" si="122"/>
        <v>0</v>
      </c>
    </row>
    <row r="626" spans="1:19">
      <c r="A626" s="155"/>
      <c r="B626" s="57"/>
      <c r="C626" s="24">
        <f t="shared" si="113"/>
        <v>1</v>
      </c>
      <c r="D626" s="3053"/>
      <c r="E626" s="24">
        <f t="shared" si="114"/>
        <v>1</v>
      </c>
      <c r="F626" s="674"/>
      <c r="G626" s="24">
        <f t="shared" si="115"/>
        <v>1</v>
      </c>
      <c r="H626" s="674"/>
      <c r="I626" s="24">
        <f t="shared" si="116"/>
        <v>1</v>
      </c>
      <c r="J626" s="674"/>
      <c r="K626" s="24">
        <f t="shared" si="117"/>
        <v>1</v>
      </c>
      <c r="L626" s="674"/>
      <c r="M626" s="24">
        <f t="shared" si="118"/>
        <v>1</v>
      </c>
      <c r="N626" s="674"/>
      <c r="O626" s="24">
        <f t="shared" si="119"/>
        <v>1</v>
      </c>
      <c r="P626" s="674"/>
      <c r="Q626" s="24">
        <f t="shared" si="120"/>
        <v>0</v>
      </c>
      <c r="R626" s="670">
        <f t="shared" si="121"/>
        <v>0</v>
      </c>
      <c r="S626" s="322">
        <f t="shared" si="122"/>
        <v>0</v>
      </c>
    </row>
    <row r="627" spans="1:19">
      <c r="A627" s="155"/>
      <c r="B627" s="57"/>
      <c r="C627" s="24">
        <f t="shared" si="113"/>
        <v>1</v>
      </c>
      <c r="D627" s="3053"/>
      <c r="E627" s="24">
        <f t="shared" si="114"/>
        <v>1</v>
      </c>
      <c r="F627" s="674"/>
      <c r="G627" s="24">
        <f t="shared" si="115"/>
        <v>1</v>
      </c>
      <c r="H627" s="674"/>
      <c r="I627" s="24">
        <f t="shared" si="116"/>
        <v>1</v>
      </c>
      <c r="J627" s="674"/>
      <c r="K627" s="24">
        <f t="shared" si="117"/>
        <v>1</v>
      </c>
      <c r="L627" s="674"/>
      <c r="M627" s="24">
        <f t="shared" si="118"/>
        <v>1</v>
      </c>
      <c r="N627" s="674"/>
      <c r="O627" s="24">
        <f t="shared" si="119"/>
        <v>1</v>
      </c>
      <c r="P627" s="674"/>
      <c r="Q627" s="24">
        <f t="shared" si="120"/>
        <v>0</v>
      </c>
      <c r="R627" s="670">
        <f t="shared" si="121"/>
        <v>0</v>
      </c>
      <c r="S627" s="322">
        <f t="shared" si="122"/>
        <v>0</v>
      </c>
    </row>
    <row r="628" spans="1:19">
      <c r="A628" s="155"/>
      <c r="B628" s="57"/>
      <c r="C628" s="24">
        <f t="shared" si="113"/>
        <v>1</v>
      </c>
      <c r="D628" s="3053"/>
      <c r="E628" s="24">
        <f t="shared" si="114"/>
        <v>1</v>
      </c>
      <c r="F628" s="674"/>
      <c r="G628" s="24">
        <f t="shared" si="115"/>
        <v>1</v>
      </c>
      <c r="H628" s="674"/>
      <c r="I628" s="24">
        <f t="shared" si="116"/>
        <v>1</v>
      </c>
      <c r="J628" s="674"/>
      <c r="K628" s="24">
        <f t="shared" si="117"/>
        <v>1</v>
      </c>
      <c r="L628" s="674"/>
      <c r="M628" s="24">
        <f t="shared" si="118"/>
        <v>1</v>
      </c>
      <c r="N628" s="674"/>
      <c r="O628" s="24">
        <f t="shared" si="119"/>
        <v>1</v>
      </c>
      <c r="P628" s="674"/>
      <c r="Q628" s="24">
        <f t="shared" si="120"/>
        <v>0</v>
      </c>
      <c r="R628" s="670">
        <f t="shared" si="121"/>
        <v>0</v>
      </c>
      <c r="S628" s="322">
        <f t="shared" si="122"/>
        <v>0</v>
      </c>
    </row>
    <row r="629" spans="1:19">
      <c r="A629" s="155"/>
      <c r="B629" s="57"/>
      <c r="C629" s="24">
        <f t="shared" si="113"/>
        <v>1</v>
      </c>
      <c r="D629" s="3053"/>
      <c r="E629" s="24">
        <f t="shared" si="114"/>
        <v>1</v>
      </c>
      <c r="F629" s="674"/>
      <c r="G629" s="24">
        <f t="shared" si="115"/>
        <v>1</v>
      </c>
      <c r="H629" s="674"/>
      <c r="I629" s="24">
        <f t="shared" si="116"/>
        <v>1</v>
      </c>
      <c r="J629" s="674"/>
      <c r="K629" s="24">
        <f t="shared" si="117"/>
        <v>1</v>
      </c>
      <c r="L629" s="674"/>
      <c r="M629" s="24">
        <f t="shared" si="118"/>
        <v>1</v>
      </c>
      <c r="N629" s="674"/>
      <c r="O629" s="24">
        <f t="shared" si="119"/>
        <v>1</v>
      </c>
      <c r="P629" s="674"/>
      <c r="Q629" s="24">
        <f t="shared" si="120"/>
        <v>0</v>
      </c>
      <c r="R629" s="670">
        <f t="shared" si="121"/>
        <v>0</v>
      </c>
      <c r="S629" s="322">
        <f t="shared" si="122"/>
        <v>0</v>
      </c>
    </row>
    <row r="630" spans="1:19">
      <c r="A630" s="155"/>
      <c r="B630" s="57"/>
      <c r="C630" s="24">
        <f t="shared" si="113"/>
        <v>1</v>
      </c>
      <c r="D630" s="3053"/>
      <c r="E630" s="24">
        <f t="shared" si="114"/>
        <v>1</v>
      </c>
      <c r="F630" s="674"/>
      <c r="G630" s="24">
        <f t="shared" si="115"/>
        <v>1</v>
      </c>
      <c r="H630" s="674"/>
      <c r="I630" s="24">
        <f t="shared" si="116"/>
        <v>1</v>
      </c>
      <c r="J630" s="674"/>
      <c r="K630" s="24">
        <f t="shared" si="117"/>
        <v>1</v>
      </c>
      <c r="L630" s="674"/>
      <c r="M630" s="24">
        <f t="shared" si="118"/>
        <v>1</v>
      </c>
      <c r="N630" s="674"/>
      <c r="O630" s="24">
        <f t="shared" si="119"/>
        <v>1</v>
      </c>
      <c r="P630" s="674"/>
      <c r="Q630" s="24">
        <f t="shared" si="120"/>
        <v>0</v>
      </c>
      <c r="R630" s="670">
        <f t="shared" si="121"/>
        <v>0</v>
      </c>
      <c r="S630" s="322">
        <f t="shared" si="122"/>
        <v>0</v>
      </c>
    </row>
    <row r="631" spans="1:19">
      <c r="A631" s="155"/>
      <c r="B631" s="57"/>
      <c r="C631" s="24">
        <f t="shared" si="113"/>
        <v>1</v>
      </c>
      <c r="D631" s="3053"/>
      <c r="E631" s="24">
        <f t="shared" si="114"/>
        <v>1</v>
      </c>
      <c r="F631" s="674"/>
      <c r="G631" s="24">
        <f t="shared" si="115"/>
        <v>1</v>
      </c>
      <c r="H631" s="674"/>
      <c r="I631" s="24">
        <f t="shared" si="116"/>
        <v>1</v>
      </c>
      <c r="J631" s="674"/>
      <c r="K631" s="24">
        <f t="shared" si="117"/>
        <v>1</v>
      </c>
      <c r="L631" s="674"/>
      <c r="M631" s="24">
        <f t="shared" si="118"/>
        <v>1</v>
      </c>
      <c r="N631" s="674"/>
      <c r="O631" s="24">
        <f t="shared" si="119"/>
        <v>1</v>
      </c>
      <c r="P631" s="674"/>
      <c r="Q631" s="24">
        <f t="shared" si="120"/>
        <v>0</v>
      </c>
      <c r="R631" s="670">
        <f t="shared" si="121"/>
        <v>0</v>
      </c>
      <c r="S631" s="322">
        <f t="shared" si="122"/>
        <v>0</v>
      </c>
    </row>
    <row r="632" spans="1:19">
      <c r="A632" s="155"/>
      <c r="B632" s="57"/>
      <c r="C632" s="24">
        <f t="shared" si="113"/>
        <v>1</v>
      </c>
      <c r="D632" s="3053"/>
      <c r="E632" s="24">
        <f t="shared" si="114"/>
        <v>1</v>
      </c>
      <c r="F632" s="674"/>
      <c r="G632" s="24">
        <f t="shared" si="115"/>
        <v>1</v>
      </c>
      <c r="H632" s="674"/>
      <c r="I632" s="24">
        <f t="shared" si="116"/>
        <v>1</v>
      </c>
      <c r="J632" s="674"/>
      <c r="K632" s="24">
        <f t="shared" si="117"/>
        <v>1</v>
      </c>
      <c r="L632" s="674"/>
      <c r="M632" s="24">
        <f t="shared" si="118"/>
        <v>1</v>
      </c>
      <c r="N632" s="674"/>
      <c r="O632" s="24">
        <f t="shared" si="119"/>
        <v>1</v>
      </c>
      <c r="P632" s="674"/>
      <c r="Q632" s="24">
        <f t="shared" si="120"/>
        <v>0</v>
      </c>
      <c r="R632" s="670">
        <f t="shared" si="121"/>
        <v>0</v>
      </c>
      <c r="S632" s="322">
        <f t="shared" si="122"/>
        <v>0</v>
      </c>
    </row>
    <row r="633" spans="1:19">
      <c r="A633" s="155"/>
      <c r="B633" s="57"/>
      <c r="C633" s="24">
        <f t="shared" si="113"/>
        <v>1</v>
      </c>
      <c r="D633" s="3053"/>
      <c r="E633" s="24">
        <f t="shared" si="114"/>
        <v>1</v>
      </c>
      <c r="F633" s="674"/>
      <c r="G633" s="24">
        <f t="shared" si="115"/>
        <v>1</v>
      </c>
      <c r="H633" s="674"/>
      <c r="I633" s="24">
        <f t="shared" si="116"/>
        <v>1</v>
      </c>
      <c r="J633" s="674"/>
      <c r="K633" s="24">
        <f t="shared" si="117"/>
        <v>1</v>
      </c>
      <c r="L633" s="674"/>
      <c r="M633" s="24">
        <f t="shared" si="118"/>
        <v>1</v>
      </c>
      <c r="N633" s="674"/>
      <c r="O633" s="24">
        <f t="shared" si="119"/>
        <v>1</v>
      </c>
      <c r="P633" s="674"/>
      <c r="Q633" s="24">
        <f t="shared" si="120"/>
        <v>0</v>
      </c>
      <c r="R633" s="670">
        <f t="shared" si="121"/>
        <v>0</v>
      </c>
      <c r="S633" s="322">
        <f t="shared" si="122"/>
        <v>0</v>
      </c>
    </row>
    <row r="634" spans="1:19">
      <c r="A634" s="155"/>
      <c r="B634" s="57"/>
      <c r="C634" s="24">
        <f t="shared" si="113"/>
        <v>1</v>
      </c>
      <c r="D634" s="3053"/>
      <c r="E634" s="24">
        <f t="shared" si="114"/>
        <v>1</v>
      </c>
      <c r="F634" s="674"/>
      <c r="G634" s="24">
        <f t="shared" si="115"/>
        <v>1</v>
      </c>
      <c r="H634" s="674"/>
      <c r="I634" s="24">
        <f t="shared" si="116"/>
        <v>1</v>
      </c>
      <c r="J634" s="674"/>
      <c r="K634" s="24">
        <f t="shared" si="117"/>
        <v>1</v>
      </c>
      <c r="L634" s="674"/>
      <c r="M634" s="24">
        <f t="shared" si="118"/>
        <v>1</v>
      </c>
      <c r="N634" s="674"/>
      <c r="O634" s="24">
        <f t="shared" si="119"/>
        <v>1</v>
      </c>
      <c r="P634" s="674"/>
      <c r="Q634" s="24">
        <f t="shared" si="120"/>
        <v>0</v>
      </c>
      <c r="R634" s="670">
        <f t="shared" si="121"/>
        <v>0</v>
      </c>
      <c r="S634" s="322">
        <f t="shared" si="122"/>
        <v>0</v>
      </c>
    </row>
    <row r="635" spans="1:19">
      <c r="A635" s="155"/>
      <c r="B635" s="57"/>
      <c r="C635" s="24">
        <f t="shared" si="113"/>
        <v>1</v>
      </c>
      <c r="D635" s="3053"/>
      <c r="E635" s="24">
        <f t="shared" si="114"/>
        <v>1</v>
      </c>
      <c r="F635" s="674"/>
      <c r="G635" s="24">
        <f t="shared" si="115"/>
        <v>1</v>
      </c>
      <c r="H635" s="674"/>
      <c r="I635" s="24">
        <f t="shared" si="116"/>
        <v>1</v>
      </c>
      <c r="J635" s="674"/>
      <c r="K635" s="24">
        <f t="shared" si="117"/>
        <v>1</v>
      </c>
      <c r="L635" s="674"/>
      <c r="M635" s="24">
        <f t="shared" si="118"/>
        <v>1</v>
      </c>
      <c r="N635" s="674"/>
      <c r="O635" s="24">
        <f t="shared" si="119"/>
        <v>1</v>
      </c>
      <c r="P635" s="674"/>
      <c r="Q635" s="24">
        <f t="shared" si="120"/>
        <v>0</v>
      </c>
      <c r="R635" s="670">
        <f t="shared" si="121"/>
        <v>0</v>
      </c>
      <c r="S635" s="322">
        <f t="shared" si="122"/>
        <v>0</v>
      </c>
    </row>
    <row r="636" spans="1:19">
      <c r="A636" s="155"/>
      <c r="B636" s="57"/>
      <c r="C636" s="24">
        <f t="shared" si="113"/>
        <v>1</v>
      </c>
      <c r="D636" s="674"/>
      <c r="E636" s="24">
        <f t="shared" si="114"/>
        <v>1</v>
      </c>
      <c r="F636" s="674"/>
      <c r="G636" s="24">
        <f t="shared" si="115"/>
        <v>1</v>
      </c>
      <c r="H636" s="674"/>
      <c r="I636" s="24">
        <f t="shared" si="116"/>
        <v>1</v>
      </c>
      <c r="J636" s="674"/>
      <c r="K636" s="24">
        <f t="shared" si="117"/>
        <v>1</v>
      </c>
      <c r="L636" s="674"/>
      <c r="M636" s="24">
        <f t="shared" si="118"/>
        <v>1</v>
      </c>
      <c r="N636" s="674"/>
      <c r="O636" s="24">
        <f t="shared" si="119"/>
        <v>1</v>
      </c>
      <c r="P636" s="674"/>
      <c r="Q636" s="24">
        <f t="shared" si="120"/>
        <v>0</v>
      </c>
      <c r="R636" s="670">
        <f t="shared" si="121"/>
        <v>0</v>
      </c>
      <c r="S636" s="322">
        <f t="shared" si="122"/>
        <v>0</v>
      </c>
    </row>
    <row r="637" spans="1:19">
      <c r="A637" s="155"/>
      <c r="B637" s="57"/>
      <c r="C637" s="24">
        <f t="shared" si="113"/>
        <v>1</v>
      </c>
      <c r="D637" s="674"/>
      <c r="E637" s="24">
        <f t="shared" si="114"/>
        <v>1</v>
      </c>
      <c r="F637" s="674"/>
      <c r="G637" s="24">
        <f t="shared" si="115"/>
        <v>1</v>
      </c>
      <c r="H637" s="674"/>
      <c r="I637" s="24">
        <f t="shared" si="116"/>
        <v>1</v>
      </c>
      <c r="J637" s="674"/>
      <c r="K637" s="24">
        <f t="shared" si="117"/>
        <v>1</v>
      </c>
      <c r="L637" s="674"/>
      <c r="M637" s="24">
        <f t="shared" si="118"/>
        <v>1</v>
      </c>
      <c r="N637" s="674"/>
      <c r="O637" s="24">
        <f t="shared" si="119"/>
        <v>1</v>
      </c>
      <c r="P637" s="674"/>
      <c r="Q637" s="24">
        <f t="shared" si="120"/>
        <v>0</v>
      </c>
      <c r="R637" s="670">
        <f t="shared" si="121"/>
        <v>0</v>
      </c>
      <c r="S637" s="322">
        <f t="shared" si="122"/>
        <v>0</v>
      </c>
    </row>
    <row r="638" spans="1:19">
      <c r="A638" s="155"/>
      <c r="B638" s="57"/>
      <c r="C638" s="24">
        <f t="shared" si="113"/>
        <v>1</v>
      </c>
      <c r="D638" s="674"/>
      <c r="E638" s="24">
        <f t="shared" si="114"/>
        <v>1</v>
      </c>
      <c r="F638" s="674"/>
      <c r="G638" s="24">
        <f t="shared" si="115"/>
        <v>1</v>
      </c>
      <c r="H638" s="674"/>
      <c r="I638" s="24">
        <f t="shared" si="116"/>
        <v>1</v>
      </c>
      <c r="J638" s="674"/>
      <c r="K638" s="24">
        <f t="shared" si="117"/>
        <v>1</v>
      </c>
      <c r="L638" s="674"/>
      <c r="M638" s="24">
        <f t="shared" si="118"/>
        <v>1</v>
      </c>
      <c r="N638" s="674"/>
      <c r="O638" s="24">
        <f t="shared" si="119"/>
        <v>1</v>
      </c>
      <c r="P638" s="674"/>
      <c r="Q638" s="24">
        <f t="shared" si="120"/>
        <v>0</v>
      </c>
      <c r="R638" s="670">
        <f t="shared" si="121"/>
        <v>0</v>
      </c>
      <c r="S638" s="322">
        <f t="shared" si="122"/>
        <v>0</v>
      </c>
    </row>
    <row r="639" spans="1:19">
      <c r="A639" s="155"/>
      <c r="B639" s="57"/>
      <c r="C639" s="24">
        <f t="shared" si="113"/>
        <v>1</v>
      </c>
      <c r="D639" s="3053"/>
      <c r="E639" s="24">
        <f t="shared" si="114"/>
        <v>1</v>
      </c>
      <c r="F639" s="674"/>
      <c r="G639" s="24">
        <f t="shared" si="115"/>
        <v>1</v>
      </c>
      <c r="H639" s="674"/>
      <c r="I639" s="24">
        <f t="shared" si="116"/>
        <v>1</v>
      </c>
      <c r="J639" s="674"/>
      <c r="K639" s="24">
        <f t="shared" si="117"/>
        <v>1</v>
      </c>
      <c r="L639" s="674"/>
      <c r="M639" s="24">
        <f t="shared" si="118"/>
        <v>1</v>
      </c>
      <c r="N639" s="674"/>
      <c r="O639" s="24">
        <f t="shared" si="119"/>
        <v>1</v>
      </c>
      <c r="P639" s="674"/>
      <c r="Q639" s="24">
        <f t="shared" si="120"/>
        <v>0</v>
      </c>
      <c r="R639" s="670">
        <f t="shared" si="121"/>
        <v>0</v>
      </c>
      <c r="S639" s="322">
        <f t="shared" si="122"/>
        <v>0</v>
      </c>
    </row>
    <row r="640" spans="1:19">
      <c r="A640" s="155"/>
      <c r="B640" s="57"/>
      <c r="C640" s="24">
        <f t="shared" si="113"/>
        <v>1</v>
      </c>
      <c r="D640" s="3053"/>
      <c r="E640" s="24">
        <f t="shared" si="114"/>
        <v>1</v>
      </c>
      <c r="F640" s="674"/>
      <c r="G640" s="24">
        <f t="shared" si="115"/>
        <v>1</v>
      </c>
      <c r="H640" s="674"/>
      <c r="I640" s="24">
        <f t="shared" si="116"/>
        <v>1</v>
      </c>
      <c r="J640" s="674"/>
      <c r="K640" s="24">
        <f t="shared" si="117"/>
        <v>1</v>
      </c>
      <c r="L640" s="674"/>
      <c r="M640" s="24">
        <f t="shared" si="118"/>
        <v>1</v>
      </c>
      <c r="N640" s="674"/>
      <c r="O640" s="24">
        <f t="shared" si="119"/>
        <v>1</v>
      </c>
      <c r="P640" s="674"/>
      <c r="Q640" s="24">
        <f t="shared" si="120"/>
        <v>0</v>
      </c>
      <c r="R640" s="670">
        <f t="shared" si="121"/>
        <v>0</v>
      </c>
      <c r="S640" s="322">
        <f t="shared" si="122"/>
        <v>0</v>
      </c>
    </row>
    <row r="641" spans="1:19">
      <c r="A641" s="155"/>
      <c r="B641" s="57"/>
      <c r="C641" s="24">
        <f t="shared" si="113"/>
        <v>1</v>
      </c>
      <c r="D641" s="3053"/>
      <c r="E641" s="24">
        <f t="shared" si="114"/>
        <v>1</v>
      </c>
      <c r="F641" s="674"/>
      <c r="G641" s="24">
        <f t="shared" si="115"/>
        <v>1</v>
      </c>
      <c r="H641" s="674"/>
      <c r="I641" s="24">
        <f t="shared" si="116"/>
        <v>1</v>
      </c>
      <c r="J641" s="674"/>
      <c r="K641" s="24">
        <f t="shared" si="117"/>
        <v>1</v>
      </c>
      <c r="L641" s="674"/>
      <c r="M641" s="24">
        <f t="shared" si="118"/>
        <v>1</v>
      </c>
      <c r="N641" s="674"/>
      <c r="O641" s="24">
        <f t="shared" si="119"/>
        <v>1</v>
      </c>
      <c r="P641" s="674"/>
      <c r="Q641" s="24">
        <f t="shared" si="120"/>
        <v>0</v>
      </c>
      <c r="R641" s="670">
        <f t="shared" si="121"/>
        <v>0</v>
      </c>
      <c r="S641" s="322">
        <f t="shared" si="122"/>
        <v>0</v>
      </c>
    </row>
    <row r="642" spans="1:19">
      <c r="A642" s="155"/>
      <c r="B642" s="57"/>
      <c r="C642" s="24">
        <f t="shared" si="113"/>
        <v>1</v>
      </c>
      <c r="D642" s="3053"/>
      <c r="E642" s="24">
        <f t="shared" si="114"/>
        <v>1</v>
      </c>
      <c r="F642" s="674"/>
      <c r="G642" s="24">
        <f t="shared" si="115"/>
        <v>1</v>
      </c>
      <c r="H642" s="674"/>
      <c r="I642" s="24">
        <f t="shared" si="116"/>
        <v>1</v>
      </c>
      <c r="J642" s="674"/>
      <c r="K642" s="24">
        <f t="shared" si="117"/>
        <v>1</v>
      </c>
      <c r="L642" s="674"/>
      <c r="M642" s="24">
        <f t="shared" si="118"/>
        <v>1</v>
      </c>
      <c r="N642" s="674"/>
      <c r="O642" s="24">
        <f t="shared" si="119"/>
        <v>1</v>
      </c>
      <c r="P642" s="674"/>
      <c r="Q642" s="24">
        <f t="shared" si="120"/>
        <v>0</v>
      </c>
      <c r="R642" s="670">
        <f t="shared" si="121"/>
        <v>0</v>
      </c>
      <c r="S642" s="322">
        <f t="shared" si="122"/>
        <v>0</v>
      </c>
    </row>
    <row r="643" spans="1:19">
      <c r="A643" s="155"/>
      <c r="B643" s="57"/>
      <c r="C643" s="24">
        <f t="shared" si="113"/>
        <v>1</v>
      </c>
      <c r="D643" s="674"/>
      <c r="E643" s="24">
        <f t="shared" si="114"/>
        <v>1</v>
      </c>
      <c r="F643" s="674"/>
      <c r="G643" s="24">
        <f t="shared" si="115"/>
        <v>1</v>
      </c>
      <c r="H643" s="674"/>
      <c r="I643" s="24">
        <f t="shared" si="116"/>
        <v>1</v>
      </c>
      <c r="J643" s="674"/>
      <c r="K643" s="24">
        <f t="shared" si="117"/>
        <v>1</v>
      </c>
      <c r="L643" s="674"/>
      <c r="M643" s="24">
        <f t="shared" si="118"/>
        <v>1</v>
      </c>
      <c r="N643" s="674"/>
      <c r="O643" s="24">
        <f t="shared" si="119"/>
        <v>1</v>
      </c>
      <c r="P643" s="674"/>
      <c r="Q643" s="24">
        <f t="shared" si="120"/>
        <v>0</v>
      </c>
      <c r="R643" s="670">
        <f t="shared" si="121"/>
        <v>0</v>
      </c>
      <c r="S643" s="322">
        <f t="shared" si="122"/>
        <v>0</v>
      </c>
    </row>
    <row r="644" spans="1:19">
      <c r="A644" s="155"/>
      <c r="B644" s="57"/>
      <c r="C644" s="24">
        <f t="shared" si="113"/>
        <v>1</v>
      </c>
      <c r="D644" s="674"/>
      <c r="E644" s="24">
        <f t="shared" si="114"/>
        <v>1</v>
      </c>
      <c r="F644" s="674"/>
      <c r="G644" s="24">
        <f t="shared" si="115"/>
        <v>1</v>
      </c>
      <c r="H644" s="674"/>
      <c r="I644" s="24">
        <f t="shared" si="116"/>
        <v>1</v>
      </c>
      <c r="J644" s="674"/>
      <c r="K644" s="24">
        <f t="shared" si="117"/>
        <v>1</v>
      </c>
      <c r="L644" s="674"/>
      <c r="M644" s="24">
        <f t="shared" si="118"/>
        <v>1</v>
      </c>
      <c r="N644" s="674"/>
      <c r="O644" s="24">
        <f t="shared" si="119"/>
        <v>1</v>
      </c>
      <c r="P644" s="674"/>
      <c r="Q644" s="24">
        <f t="shared" si="120"/>
        <v>0</v>
      </c>
      <c r="R644" s="670">
        <f t="shared" si="121"/>
        <v>0</v>
      </c>
      <c r="S644" s="322">
        <f t="shared" si="122"/>
        <v>0</v>
      </c>
    </row>
    <row r="645" spans="1:19">
      <c r="A645" s="155"/>
      <c r="B645" s="57"/>
      <c r="C645" s="24">
        <f t="shared" si="113"/>
        <v>1</v>
      </c>
      <c r="D645" s="3053"/>
      <c r="E645" s="24">
        <f t="shared" si="114"/>
        <v>1</v>
      </c>
      <c r="F645" s="674"/>
      <c r="G645" s="24">
        <f t="shared" si="115"/>
        <v>1</v>
      </c>
      <c r="H645" s="674"/>
      <c r="I645" s="24">
        <f t="shared" si="116"/>
        <v>1</v>
      </c>
      <c r="J645" s="674"/>
      <c r="K645" s="24">
        <f t="shared" si="117"/>
        <v>1</v>
      </c>
      <c r="L645" s="674"/>
      <c r="M645" s="24">
        <f t="shared" si="118"/>
        <v>1</v>
      </c>
      <c r="N645" s="674"/>
      <c r="O645" s="24">
        <f t="shared" si="119"/>
        <v>1</v>
      </c>
      <c r="P645" s="674"/>
      <c r="Q645" s="24">
        <f t="shared" si="120"/>
        <v>0</v>
      </c>
      <c r="R645" s="670">
        <f t="shared" si="121"/>
        <v>0</v>
      </c>
      <c r="S645" s="322">
        <f t="shared" si="122"/>
        <v>0</v>
      </c>
    </row>
    <row r="646" spans="1:19">
      <c r="A646" s="155"/>
      <c r="B646" s="57"/>
      <c r="C646" s="24">
        <f t="shared" si="113"/>
        <v>1</v>
      </c>
      <c r="D646" s="3053"/>
      <c r="E646" s="24">
        <f t="shared" si="114"/>
        <v>1</v>
      </c>
      <c r="F646" s="674"/>
      <c r="G646" s="24">
        <f t="shared" si="115"/>
        <v>1</v>
      </c>
      <c r="H646" s="674"/>
      <c r="I646" s="24">
        <f t="shared" si="116"/>
        <v>1</v>
      </c>
      <c r="J646" s="674"/>
      <c r="K646" s="24">
        <f t="shared" si="117"/>
        <v>1</v>
      </c>
      <c r="L646" s="674"/>
      <c r="M646" s="24">
        <f t="shared" si="118"/>
        <v>1</v>
      </c>
      <c r="N646" s="674"/>
      <c r="O646" s="24">
        <f t="shared" si="119"/>
        <v>1</v>
      </c>
      <c r="P646" s="674"/>
      <c r="Q646" s="24">
        <f t="shared" si="120"/>
        <v>0</v>
      </c>
      <c r="R646" s="670">
        <f t="shared" si="121"/>
        <v>0</v>
      </c>
      <c r="S646" s="322">
        <f t="shared" si="122"/>
        <v>0</v>
      </c>
    </row>
    <row r="647" spans="1:19">
      <c r="A647" s="155"/>
      <c r="B647" s="57"/>
      <c r="C647" s="24">
        <f t="shared" si="113"/>
        <v>1</v>
      </c>
      <c r="D647" s="3053"/>
      <c r="E647" s="24">
        <f t="shared" si="114"/>
        <v>1</v>
      </c>
      <c r="F647" s="674"/>
      <c r="G647" s="24">
        <f t="shared" si="115"/>
        <v>1</v>
      </c>
      <c r="H647" s="674"/>
      <c r="I647" s="24">
        <f t="shared" si="116"/>
        <v>1</v>
      </c>
      <c r="J647" s="674"/>
      <c r="K647" s="24">
        <f t="shared" si="117"/>
        <v>1</v>
      </c>
      <c r="L647" s="674"/>
      <c r="M647" s="24">
        <f t="shared" si="118"/>
        <v>1</v>
      </c>
      <c r="N647" s="674"/>
      <c r="O647" s="24">
        <f t="shared" si="119"/>
        <v>1</v>
      </c>
      <c r="P647" s="674"/>
      <c r="Q647" s="24">
        <f t="shared" si="120"/>
        <v>0</v>
      </c>
      <c r="R647" s="670">
        <f t="shared" si="121"/>
        <v>0</v>
      </c>
      <c r="S647" s="322">
        <f t="shared" si="122"/>
        <v>0</v>
      </c>
    </row>
    <row r="648" spans="1:19">
      <c r="A648" s="155"/>
      <c r="B648" s="57"/>
      <c r="C648" s="24">
        <f t="shared" si="113"/>
        <v>1</v>
      </c>
      <c r="D648" s="3053"/>
      <c r="E648" s="24">
        <f t="shared" si="114"/>
        <v>1</v>
      </c>
      <c r="F648" s="674"/>
      <c r="G648" s="24">
        <f t="shared" si="115"/>
        <v>1</v>
      </c>
      <c r="H648" s="674"/>
      <c r="I648" s="24">
        <f t="shared" si="116"/>
        <v>1</v>
      </c>
      <c r="J648" s="674"/>
      <c r="K648" s="24">
        <f t="shared" si="117"/>
        <v>1</v>
      </c>
      <c r="L648" s="674"/>
      <c r="M648" s="24">
        <f t="shared" si="118"/>
        <v>1</v>
      </c>
      <c r="N648" s="674"/>
      <c r="O648" s="24">
        <f t="shared" si="119"/>
        <v>1</v>
      </c>
      <c r="P648" s="674"/>
      <c r="Q648" s="24">
        <f t="shared" si="120"/>
        <v>0</v>
      </c>
      <c r="R648" s="670">
        <f t="shared" si="121"/>
        <v>0</v>
      </c>
      <c r="S648" s="322">
        <f t="shared" si="122"/>
        <v>0</v>
      </c>
    </row>
    <row r="649" spans="1:19">
      <c r="A649" s="155"/>
      <c r="B649" s="57"/>
      <c r="C649" s="24">
        <f t="shared" si="113"/>
        <v>1</v>
      </c>
      <c r="D649" s="3053"/>
      <c r="E649" s="24">
        <f t="shared" si="114"/>
        <v>1</v>
      </c>
      <c r="F649" s="674"/>
      <c r="G649" s="24">
        <f t="shared" si="115"/>
        <v>1</v>
      </c>
      <c r="H649" s="674"/>
      <c r="I649" s="24">
        <f t="shared" si="116"/>
        <v>1</v>
      </c>
      <c r="J649" s="674"/>
      <c r="K649" s="24">
        <f t="shared" si="117"/>
        <v>1</v>
      </c>
      <c r="L649" s="674"/>
      <c r="M649" s="24">
        <f t="shared" si="118"/>
        <v>1</v>
      </c>
      <c r="N649" s="674"/>
      <c r="O649" s="24">
        <f t="shared" si="119"/>
        <v>1</v>
      </c>
      <c r="P649" s="674"/>
      <c r="Q649" s="24">
        <f t="shared" si="120"/>
        <v>0</v>
      </c>
      <c r="R649" s="670">
        <f t="shared" si="121"/>
        <v>0</v>
      </c>
      <c r="S649" s="322">
        <f t="shared" si="122"/>
        <v>0</v>
      </c>
    </row>
    <row r="650" spans="1:19">
      <c r="A650" s="155"/>
      <c r="B650" s="57"/>
      <c r="C650" s="24">
        <f t="shared" si="113"/>
        <v>1</v>
      </c>
      <c r="D650" s="3053"/>
      <c r="E650" s="24">
        <f t="shared" si="114"/>
        <v>1</v>
      </c>
      <c r="F650" s="674"/>
      <c r="G650" s="24">
        <f t="shared" si="115"/>
        <v>1</v>
      </c>
      <c r="H650" s="674"/>
      <c r="I650" s="24">
        <f t="shared" si="116"/>
        <v>1</v>
      </c>
      <c r="J650" s="674"/>
      <c r="K650" s="24">
        <f t="shared" si="117"/>
        <v>1</v>
      </c>
      <c r="L650" s="674"/>
      <c r="M650" s="24">
        <f t="shared" si="118"/>
        <v>1</v>
      </c>
      <c r="N650" s="674"/>
      <c r="O650" s="24">
        <f t="shared" si="119"/>
        <v>1</v>
      </c>
      <c r="P650" s="674"/>
      <c r="Q650" s="24">
        <f t="shared" si="120"/>
        <v>0</v>
      </c>
      <c r="R650" s="670">
        <f t="shared" si="121"/>
        <v>0</v>
      </c>
      <c r="S650" s="322">
        <f t="shared" si="122"/>
        <v>0</v>
      </c>
    </row>
    <row r="651" spans="1:19">
      <c r="A651" s="155"/>
      <c r="B651" s="57"/>
      <c r="C651" s="24">
        <f t="shared" si="113"/>
        <v>1</v>
      </c>
      <c r="D651" s="674"/>
      <c r="E651" s="24">
        <f t="shared" si="114"/>
        <v>1</v>
      </c>
      <c r="F651" s="674"/>
      <c r="G651" s="24">
        <f t="shared" si="115"/>
        <v>1</v>
      </c>
      <c r="H651" s="674"/>
      <c r="I651" s="24">
        <f t="shared" si="116"/>
        <v>1</v>
      </c>
      <c r="J651" s="674"/>
      <c r="K651" s="24">
        <f t="shared" si="117"/>
        <v>1</v>
      </c>
      <c r="L651" s="674"/>
      <c r="M651" s="24">
        <f t="shared" si="118"/>
        <v>1</v>
      </c>
      <c r="N651" s="674"/>
      <c r="O651" s="24">
        <f t="shared" si="119"/>
        <v>1</v>
      </c>
      <c r="P651" s="674"/>
      <c r="Q651" s="24">
        <f t="shared" si="120"/>
        <v>0</v>
      </c>
      <c r="R651" s="670">
        <f t="shared" si="121"/>
        <v>0</v>
      </c>
      <c r="S651" s="322">
        <f t="shared" si="122"/>
        <v>0</v>
      </c>
    </row>
    <row r="652" spans="1:19">
      <c r="A652" s="155"/>
      <c r="B652" s="57"/>
      <c r="C652" s="24">
        <f t="shared" si="113"/>
        <v>1</v>
      </c>
      <c r="D652" s="674"/>
      <c r="E652" s="24">
        <f t="shared" si="114"/>
        <v>1</v>
      </c>
      <c r="F652" s="674"/>
      <c r="G652" s="24">
        <f t="shared" si="115"/>
        <v>1</v>
      </c>
      <c r="H652" s="674"/>
      <c r="I652" s="24">
        <f t="shared" si="116"/>
        <v>1</v>
      </c>
      <c r="J652" s="674"/>
      <c r="K652" s="24">
        <f t="shared" si="117"/>
        <v>1</v>
      </c>
      <c r="L652" s="674"/>
      <c r="M652" s="24">
        <f t="shared" si="118"/>
        <v>1</v>
      </c>
      <c r="N652" s="674"/>
      <c r="O652" s="24">
        <f t="shared" si="119"/>
        <v>1</v>
      </c>
      <c r="P652" s="674"/>
      <c r="Q652" s="24">
        <f t="shared" si="120"/>
        <v>0</v>
      </c>
      <c r="R652" s="670">
        <f t="shared" si="121"/>
        <v>0</v>
      </c>
      <c r="S652" s="322">
        <f t="shared" si="122"/>
        <v>0</v>
      </c>
    </row>
    <row r="653" spans="1:19">
      <c r="A653" s="155"/>
      <c r="B653" s="57"/>
      <c r="C653" s="24">
        <f t="shared" si="113"/>
        <v>1</v>
      </c>
      <c r="D653" s="674"/>
      <c r="E653" s="24">
        <f t="shared" si="114"/>
        <v>1</v>
      </c>
      <c r="F653" s="674"/>
      <c r="G653" s="24">
        <f t="shared" si="115"/>
        <v>1</v>
      </c>
      <c r="H653" s="674"/>
      <c r="I653" s="24">
        <f t="shared" si="116"/>
        <v>1</v>
      </c>
      <c r="J653" s="674"/>
      <c r="K653" s="24">
        <f t="shared" si="117"/>
        <v>1</v>
      </c>
      <c r="L653" s="674"/>
      <c r="M653" s="24">
        <f t="shared" si="118"/>
        <v>1</v>
      </c>
      <c r="N653" s="674"/>
      <c r="O653" s="24">
        <f t="shared" si="119"/>
        <v>1</v>
      </c>
      <c r="P653" s="674"/>
      <c r="Q653" s="24">
        <f t="shared" si="120"/>
        <v>0</v>
      </c>
      <c r="R653" s="670">
        <f t="shared" si="121"/>
        <v>0</v>
      </c>
      <c r="S653" s="322">
        <f t="shared" si="122"/>
        <v>0</v>
      </c>
    </row>
    <row r="654" spans="1:19">
      <c r="A654" s="155"/>
      <c r="B654" s="57"/>
      <c r="C654" s="24">
        <f t="shared" ref="C654:C717" si="123">IF(B654="",1,(LOOKUP(B654,$3:$3,$4:$4)-LOOKUP($B$24,$3:$3,$4:$4)+100)/100)</f>
        <v>1</v>
      </c>
      <c r="D654" s="674"/>
      <c r="E654" s="24">
        <f t="shared" ref="E654:E717" si="124">(SUMIF($5:$5,D654,$6:$6)-SUMIF($5:$5,$D$24,$6:$6)+100)/100</f>
        <v>1</v>
      </c>
      <c r="F654" s="674"/>
      <c r="G654" s="24">
        <f t="shared" ref="G654:G717" si="125">(SUMIF($7:$7,F654,$8:$8)-SUMIF($7:$7,$F$24,$8:$8)+100)/100</f>
        <v>1</v>
      </c>
      <c r="H654" s="674"/>
      <c r="I654" s="24">
        <f t="shared" ref="I654:I717" si="126">(SUMIF($9:$9,H654,$10:$10)-SUMIF($9:$9,$H$24,$10:$10)+100)/100</f>
        <v>1</v>
      </c>
      <c r="J654" s="674"/>
      <c r="K654" s="24">
        <f t="shared" ref="K654:K717" si="127">(SUMIF($11:$11,J654,$12:$12)-SUMIF($11:$11,$J$24,$12:$12)+100)/100</f>
        <v>1</v>
      </c>
      <c r="L654" s="674"/>
      <c r="M654" s="24">
        <f t="shared" ref="M654:M717" si="128">(SUMIF($13:$13,L654,$14:$14)-SUMIF($13:$13,$L$24,$14:$14)+100)/100</f>
        <v>1</v>
      </c>
      <c r="N654" s="674"/>
      <c r="O654" s="24">
        <f t="shared" ref="O654:O717" si="129">(SUMIF($15:$15,N654,$16:$16)-SUMIF($15:$15,$N$24,$16:$16)+100)/100</f>
        <v>1</v>
      </c>
      <c r="P654" s="674"/>
      <c r="Q654" s="24">
        <f t="shared" ref="Q654:Q717" si="130">(SUMIF($17:$17,P654,$18:$18)-SUMIF($17:$17,$P$24,$18:$18)+100)/100</f>
        <v>0</v>
      </c>
      <c r="R654" s="670">
        <f t="shared" ref="R654:R717" si="131">IF(B654="",0,ROUND($R$24*C654*E654*G654*I654*K654*M654*O654*Q654,0))</f>
        <v>0</v>
      </c>
      <c r="S654" s="322">
        <f t="shared" ref="S654:S717" si="132">ROUND(R654*B654/10000,0)</f>
        <v>0</v>
      </c>
    </row>
    <row r="655" spans="1:19">
      <c r="A655" s="155"/>
      <c r="B655" s="57"/>
      <c r="C655" s="24">
        <f t="shared" si="123"/>
        <v>1</v>
      </c>
      <c r="D655" s="674"/>
      <c r="E655" s="24">
        <f t="shared" si="124"/>
        <v>1</v>
      </c>
      <c r="F655" s="674"/>
      <c r="G655" s="24">
        <f t="shared" si="125"/>
        <v>1</v>
      </c>
      <c r="H655" s="674"/>
      <c r="I655" s="24">
        <f t="shared" si="126"/>
        <v>1</v>
      </c>
      <c r="J655" s="674"/>
      <c r="K655" s="24">
        <f t="shared" si="127"/>
        <v>1</v>
      </c>
      <c r="L655" s="674"/>
      <c r="M655" s="24">
        <f t="shared" si="128"/>
        <v>1</v>
      </c>
      <c r="N655" s="674"/>
      <c r="O655" s="24">
        <f t="shared" si="129"/>
        <v>1</v>
      </c>
      <c r="P655" s="674"/>
      <c r="Q655" s="24">
        <f t="shared" si="130"/>
        <v>0</v>
      </c>
      <c r="R655" s="670">
        <f t="shared" si="131"/>
        <v>0</v>
      </c>
      <c r="S655" s="322">
        <f t="shared" si="132"/>
        <v>0</v>
      </c>
    </row>
    <row r="656" spans="1:19">
      <c r="A656" s="155"/>
      <c r="B656" s="57"/>
      <c r="C656" s="24">
        <f t="shared" si="123"/>
        <v>1</v>
      </c>
      <c r="D656" s="3053"/>
      <c r="E656" s="24">
        <f t="shared" si="124"/>
        <v>1</v>
      </c>
      <c r="F656" s="674"/>
      <c r="G656" s="24">
        <f t="shared" si="125"/>
        <v>1</v>
      </c>
      <c r="H656" s="674"/>
      <c r="I656" s="24">
        <f t="shared" si="126"/>
        <v>1</v>
      </c>
      <c r="J656" s="674"/>
      <c r="K656" s="24">
        <f t="shared" si="127"/>
        <v>1</v>
      </c>
      <c r="L656" s="674"/>
      <c r="M656" s="24">
        <f t="shared" si="128"/>
        <v>1</v>
      </c>
      <c r="N656" s="674"/>
      <c r="O656" s="24">
        <f t="shared" si="129"/>
        <v>1</v>
      </c>
      <c r="P656" s="674"/>
      <c r="Q656" s="24">
        <f t="shared" si="130"/>
        <v>0</v>
      </c>
      <c r="R656" s="670">
        <f t="shared" si="131"/>
        <v>0</v>
      </c>
      <c r="S656" s="322">
        <f t="shared" si="132"/>
        <v>0</v>
      </c>
    </row>
    <row r="657" spans="1:19">
      <c r="A657" s="155"/>
      <c r="B657" s="57"/>
      <c r="C657" s="24">
        <f t="shared" si="123"/>
        <v>1</v>
      </c>
      <c r="D657" s="3053"/>
      <c r="E657" s="24">
        <f t="shared" si="124"/>
        <v>1</v>
      </c>
      <c r="F657" s="674"/>
      <c r="G657" s="24">
        <f t="shared" si="125"/>
        <v>1</v>
      </c>
      <c r="H657" s="674"/>
      <c r="I657" s="24">
        <f t="shared" si="126"/>
        <v>1</v>
      </c>
      <c r="J657" s="674"/>
      <c r="K657" s="24">
        <f t="shared" si="127"/>
        <v>1</v>
      </c>
      <c r="L657" s="674"/>
      <c r="M657" s="24">
        <f t="shared" si="128"/>
        <v>1</v>
      </c>
      <c r="N657" s="674"/>
      <c r="O657" s="24">
        <f t="shared" si="129"/>
        <v>1</v>
      </c>
      <c r="P657" s="674"/>
      <c r="Q657" s="24">
        <f t="shared" si="130"/>
        <v>0</v>
      </c>
      <c r="R657" s="670">
        <f t="shared" si="131"/>
        <v>0</v>
      </c>
      <c r="S657" s="322">
        <f t="shared" si="132"/>
        <v>0</v>
      </c>
    </row>
    <row r="658" spans="1:19">
      <c r="A658" s="155"/>
      <c r="B658" s="57"/>
      <c r="C658" s="24">
        <f t="shared" si="123"/>
        <v>1</v>
      </c>
      <c r="D658" s="3053"/>
      <c r="E658" s="24">
        <f t="shared" si="124"/>
        <v>1</v>
      </c>
      <c r="F658" s="674"/>
      <c r="G658" s="24">
        <f t="shared" si="125"/>
        <v>1</v>
      </c>
      <c r="H658" s="674"/>
      <c r="I658" s="24">
        <f t="shared" si="126"/>
        <v>1</v>
      </c>
      <c r="J658" s="674"/>
      <c r="K658" s="24">
        <f t="shared" si="127"/>
        <v>1</v>
      </c>
      <c r="L658" s="674"/>
      <c r="M658" s="24">
        <f t="shared" si="128"/>
        <v>1</v>
      </c>
      <c r="N658" s="674"/>
      <c r="O658" s="24">
        <f t="shared" si="129"/>
        <v>1</v>
      </c>
      <c r="P658" s="674"/>
      <c r="Q658" s="24">
        <f t="shared" si="130"/>
        <v>0</v>
      </c>
      <c r="R658" s="670">
        <f t="shared" si="131"/>
        <v>0</v>
      </c>
      <c r="S658" s="322">
        <f t="shared" si="132"/>
        <v>0</v>
      </c>
    </row>
    <row r="659" spans="1:19">
      <c r="A659" s="155"/>
      <c r="B659" s="57"/>
      <c r="C659" s="24">
        <f t="shared" si="123"/>
        <v>1</v>
      </c>
      <c r="D659" s="3053"/>
      <c r="E659" s="24">
        <f t="shared" si="124"/>
        <v>1</v>
      </c>
      <c r="F659" s="674"/>
      <c r="G659" s="24">
        <f t="shared" si="125"/>
        <v>1</v>
      </c>
      <c r="H659" s="674"/>
      <c r="I659" s="24">
        <f t="shared" si="126"/>
        <v>1</v>
      </c>
      <c r="J659" s="674"/>
      <c r="K659" s="24">
        <f t="shared" si="127"/>
        <v>1</v>
      </c>
      <c r="L659" s="674"/>
      <c r="M659" s="24">
        <f t="shared" si="128"/>
        <v>1</v>
      </c>
      <c r="N659" s="674"/>
      <c r="O659" s="24">
        <f t="shared" si="129"/>
        <v>1</v>
      </c>
      <c r="P659" s="674"/>
      <c r="Q659" s="24">
        <f t="shared" si="130"/>
        <v>0</v>
      </c>
      <c r="R659" s="670">
        <f t="shared" si="131"/>
        <v>0</v>
      </c>
      <c r="S659" s="322">
        <f t="shared" si="132"/>
        <v>0</v>
      </c>
    </row>
    <row r="660" spans="1:19">
      <c r="A660" s="155"/>
      <c r="B660" s="57"/>
      <c r="C660" s="24">
        <f t="shared" si="123"/>
        <v>1</v>
      </c>
      <c r="D660" s="3053"/>
      <c r="E660" s="24">
        <f t="shared" si="124"/>
        <v>1</v>
      </c>
      <c r="F660" s="674"/>
      <c r="G660" s="24">
        <f t="shared" si="125"/>
        <v>1</v>
      </c>
      <c r="H660" s="674"/>
      <c r="I660" s="24">
        <f t="shared" si="126"/>
        <v>1</v>
      </c>
      <c r="J660" s="674"/>
      <c r="K660" s="24">
        <f t="shared" si="127"/>
        <v>1</v>
      </c>
      <c r="L660" s="674"/>
      <c r="M660" s="24">
        <f t="shared" si="128"/>
        <v>1</v>
      </c>
      <c r="N660" s="674"/>
      <c r="O660" s="24">
        <f t="shared" si="129"/>
        <v>1</v>
      </c>
      <c r="P660" s="674"/>
      <c r="Q660" s="24">
        <f t="shared" si="130"/>
        <v>0</v>
      </c>
      <c r="R660" s="670">
        <f t="shared" si="131"/>
        <v>0</v>
      </c>
      <c r="S660" s="322">
        <f t="shared" si="132"/>
        <v>0</v>
      </c>
    </row>
    <row r="661" spans="1:19">
      <c r="A661" s="155"/>
      <c r="B661" s="57"/>
      <c r="C661" s="24">
        <f t="shared" si="123"/>
        <v>1</v>
      </c>
      <c r="D661" s="3053"/>
      <c r="E661" s="24">
        <f t="shared" si="124"/>
        <v>1</v>
      </c>
      <c r="F661" s="674"/>
      <c r="G661" s="24">
        <f t="shared" si="125"/>
        <v>1</v>
      </c>
      <c r="H661" s="674"/>
      <c r="I661" s="24">
        <f t="shared" si="126"/>
        <v>1</v>
      </c>
      <c r="J661" s="674"/>
      <c r="K661" s="24">
        <f t="shared" si="127"/>
        <v>1</v>
      </c>
      <c r="L661" s="674"/>
      <c r="M661" s="24">
        <f t="shared" si="128"/>
        <v>1</v>
      </c>
      <c r="N661" s="674"/>
      <c r="O661" s="24">
        <f t="shared" si="129"/>
        <v>1</v>
      </c>
      <c r="P661" s="674"/>
      <c r="Q661" s="24">
        <f t="shared" si="130"/>
        <v>0</v>
      </c>
      <c r="R661" s="670">
        <f t="shared" si="131"/>
        <v>0</v>
      </c>
      <c r="S661" s="322">
        <f t="shared" si="132"/>
        <v>0</v>
      </c>
    </row>
    <row r="662" spans="1:19">
      <c r="A662" s="155"/>
      <c r="B662" s="57"/>
      <c r="C662" s="24">
        <f t="shared" si="123"/>
        <v>1</v>
      </c>
      <c r="D662" s="3053"/>
      <c r="E662" s="24">
        <f t="shared" si="124"/>
        <v>1</v>
      </c>
      <c r="F662" s="674"/>
      <c r="G662" s="24">
        <f t="shared" si="125"/>
        <v>1</v>
      </c>
      <c r="H662" s="674"/>
      <c r="I662" s="24">
        <f t="shared" si="126"/>
        <v>1</v>
      </c>
      <c r="J662" s="674"/>
      <c r="K662" s="24">
        <f t="shared" si="127"/>
        <v>1</v>
      </c>
      <c r="L662" s="674"/>
      <c r="M662" s="24">
        <f t="shared" si="128"/>
        <v>1</v>
      </c>
      <c r="N662" s="674"/>
      <c r="O662" s="24">
        <f t="shared" si="129"/>
        <v>1</v>
      </c>
      <c r="P662" s="674"/>
      <c r="Q662" s="24">
        <f t="shared" si="130"/>
        <v>0</v>
      </c>
      <c r="R662" s="670">
        <f t="shared" si="131"/>
        <v>0</v>
      </c>
      <c r="S662" s="322">
        <f t="shared" si="132"/>
        <v>0</v>
      </c>
    </row>
    <row r="663" spans="1:19">
      <c r="A663" s="155"/>
      <c r="B663" s="57"/>
      <c r="C663" s="24">
        <f t="shared" si="123"/>
        <v>1</v>
      </c>
      <c r="D663" s="3053"/>
      <c r="E663" s="24">
        <f t="shared" si="124"/>
        <v>1</v>
      </c>
      <c r="F663" s="674"/>
      <c r="G663" s="24">
        <f t="shared" si="125"/>
        <v>1</v>
      </c>
      <c r="H663" s="674"/>
      <c r="I663" s="24">
        <f t="shared" si="126"/>
        <v>1</v>
      </c>
      <c r="J663" s="674"/>
      <c r="K663" s="24">
        <f t="shared" si="127"/>
        <v>1</v>
      </c>
      <c r="L663" s="674"/>
      <c r="M663" s="24">
        <f t="shared" si="128"/>
        <v>1</v>
      </c>
      <c r="N663" s="674"/>
      <c r="O663" s="24">
        <f t="shared" si="129"/>
        <v>1</v>
      </c>
      <c r="P663" s="674"/>
      <c r="Q663" s="24">
        <f t="shared" si="130"/>
        <v>0</v>
      </c>
      <c r="R663" s="670">
        <f t="shared" si="131"/>
        <v>0</v>
      </c>
      <c r="S663" s="322">
        <f t="shared" si="132"/>
        <v>0</v>
      </c>
    </row>
    <row r="664" spans="1:19">
      <c r="A664" s="155"/>
      <c r="B664" s="57"/>
      <c r="C664" s="24">
        <f t="shared" si="123"/>
        <v>1</v>
      </c>
      <c r="D664" s="3053"/>
      <c r="E664" s="24">
        <f t="shared" si="124"/>
        <v>1</v>
      </c>
      <c r="F664" s="674"/>
      <c r="G664" s="24">
        <f t="shared" si="125"/>
        <v>1</v>
      </c>
      <c r="H664" s="674"/>
      <c r="I664" s="24">
        <f t="shared" si="126"/>
        <v>1</v>
      </c>
      <c r="J664" s="674"/>
      <c r="K664" s="24">
        <f t="shared" si="127"/>
        <v>1</v>
      </c>
      <c r="L664" s="674"/>
      <c r="M664" s="24">
        <f t="shared" si="128"/>
        <v>1</v>
      </c>
      <c r="N664" s="674"/>
      <c r="O664" s="24">
        <f t="shared" si="129"/>
        <v>1</v>
      </c>
      <c r="P664" s="674"/>
      <c r="Q664" s="24">
        <f t="shared" si="130"/>
        <v>0</v>
      </c>
      <c r="R664" s="670">
        <f t="shared" si="131"/>
        <v>0</v>
      </c>
      <c r="S664" s="322">
        <f t="shared" si="132"/>
        <v>0</v>
      </c>
    </row>
    <row r="665" spans="1:19">
      <c r="A665" s="155"/>
      <c r="B665" s="57"/>
      <c r="C665" s="24">
        <f t="shared" si="123"/>
        <v>1</v>
      </c>
      <c r="D665" s="674"/>
      <c r="E665" s="24">
        <f t="shared" si="124"/>
        <v>1</v>
      </c>
      <c r="F665" s="674"/>
      <c r="G665" s="24">
        <f t="shared" si="125"/>
        <v>1</v>
      </c>
      <c r="H665" s="674"/>
      <c r="I665" s="24">
        <f t="shared" si="126"/>
        <v>1</v>
      </c>
      <c r="J665" s="674"/>
      <c r="K665" s="24">
        <f t="shared" si="127"/>
        <v>1</v>
      </c>
      <c r="L665" s="674"/>
      <c r="M665" s="24">
        <f t="shared" si="128"/>
        <v>1</v>
      </c>
      <c r="N665" s="674"/>
      <c r="O665" s="24">
        <f t="shared" si="129"/>
        <v>1</v>
      </c>
      <c r="P665" s="674"/>
      <c r="Q665" s="24">
        <f t="shared" si="130"/>
        <v>0</v>
      </c>
      <c r="R665" s="670">
        <f t="shared" si="131"/>
        <v>0</v>
      </c>
      <c r="S665" s="322">
        <f t="shared" si="132"/>
        <v>0</v>
      </c>
    </row>
    <row r="666" spans="1:19">
      <c r="A666" s="155"/>
      <c r="B666" s="57"/>
      <c r="C666" s="24">
        <f t="shared" si="123"/>
        <v>1</v>
      </c>
      <c r="D666" s="674"/>
      <c r="E666" s="24">
        <f t="shared" si="124"/>
        <v>1</v>
      </c>
      <c r="F666" s="674"/>
      <c r="G666" s="24">
        <f t="shared" si="125"/>
        <v>1</v>
      </c>
      <c r="H666" s="674"/>
      <c r="I666" s="24">
        <f t="shared" si="126"/>
        <v>1</v>
      </c>
      <c r="J666" s="674"/>
      <c r="K666" s="24">
        <f t="shared" si="127"/>
        <v>1</v>
      </c>
      <c r="L666" s="674"/>
      <c r="M666" s="24">
        <f t="shared" si="128"/>
        <v>1</v>
      </c>
      <c r="N666" s="674"/>
      <c r="O666" s="24">
        <f t="shared" si="129"/>
        <v>1</v>
      </c>
      <c r="P666" s="674"/>
      <c r="Q666" s="24">
        <f t="shared" si="130"/>
        <v>0</v>
      </c>
      <c r="R666" s="670">
        <f t="shared" si="131"/>
        <v>0</v>
      </c>
      <c r="S666" s="322">
        <f t="shared" si="132"/>
        <v>0</v>
      </c>
    </row>
    <row r="667" spans="1:19">
      <c r="A667" s="155"/>
      <c r="B667" s="57"/>
      <c r="C667" s="24">
        <f t="shared" si="123"/>
        <v>1</v>
      </c>
      <c r="D667" s="674"/>
      <c r="E667" s="24">
        <f t="shared" si="124"/>
        <v>1</v>
      </c>
      <c r="F667" s="674"/>
      <c r="G667" s="24">
        <f t="shared" si="125"/>
        <v>1</v>
      </c>
      <c r="H667" s="674"/>
      <c r="I667" s="24">
        <f t="shared" si="126"/>
        <v>1</v>
      </c>
      <c r="J667" s="674"/>
      <c r="K667" s="24">
        <f t="shared" si="127"/>
        <v>1</v>
      </c>
      <c r="L667" s="674"/>
      <c r="M667" s="24">
        <f t="shared" si="128"/>
        <v>1</v>
      </c>
      <c r="N667" s="674"/>
      <c r="O667" s="24">
        <f t="shared" si="129"/>
        <v>1</v>
      </c>
      <c r="P667" s="674"/>
      <c r="Q667" s="24">
        <f t="shared" si="130"/>
        <v>0</v>
      </c>
      <c r="R667" s="670">
        <f t="shared" si="131"/>
        <v>0</v>
      </c>
      <c r="S667" s="322">
        <f t="shared" si="132"/>
        <v>0</v>
      </c>
    </row>
    <row r="668" spans="1:19">
      <c r="A668" s="155"/>
      <c r="B668" s="57"/>
      <c r="C668" s="24">
        <f t="shared" si="123"/>
        <v>1</v>
      </c>
      <c r="D668" s="674"/>
      <c r="E668" s="24">
        <f t="shared" si="124"/>
        <v>1</v>
      </c>
      <c r="F668" s="674"/>
      <c r="G668" s="24">
        <f t="shared" si="125"/>
        <v>1</v>
      </c>
      <c r="H668" s="674"/>
      <c r="I668" s="24">
        <f t="shared" si="126"/>
        <v>1</v>
      </c>
      <c r="J668" s="674"/>
      <c r="K668" s="24">
        <f t="shared" si="127"/>
        <v>1</v>
      </c>
      <c r="L668" s="674"/>
      <c r="M668" s="24">
        <f t="shared" si="128"/>
        <v>1</v>
      </c>
      <c r="N668" s="674"/>
      <c r="O668" s="24">
        <f t="shared" si="129"/>
        <v>1</v>
      </c>
      <c r="P668" s="674"/>
      <c r="Q668" s="24">
        <f t="shared" si="130"/>
        <v>0</v>
      </c>
      <c r="R668" s="670">
        <f t="shared" si="131"/>
        <v>0</v>
      </c>
      <c r="S668" s="322">
        <f t="shared" si="132"/>
        <v>0</v>
      </c>
    </row>
    <row r="669" spans="1:19">
      <c r="A669" s="155"/>
      <c r="B669" s="57"/>
      <c r="C669" s="24">
        <f t="shared" si="123"/>
        <v>1</v>
      </c>
      <c r="D669" s="3053"/>
      <c r="E669" s="24">
        <f t="shared" si="124"/>
        <v>1</v>
      </c>
      <c r="F669" s="674"/>
      <c r="G669" s="24">
        <f t="shared" si="125"/>
        <v>1</v>
      </c>
      <c r="H669" s="674"/>
      <c r="I669" s="24">
        <f t="shared" si="126"/>
        <v>1</v>
      </c>
      <c r="J669" s="674"/>
      <c r="K669" s="24">
        <f t="shared" si="127"/>
        <v>1</v>
      </c>
      <c r="L669" s="674"/>
      <c r="M669" s="24">
        <f t="shared" si="128"/>
        <v>1</v>
      </c>
      <c r="N669" s="674"/>
      <c r="O669" s="24">
        <f t="shared" si="129"/>
        <v>1</v>
      </c>
      <c r="P669" s="674"/>
      <c r="Q669" s="24">
        <f t="shared" si="130"/>
        <v>0</v>
      </c>
      <c r="R669" s="670">
        <f t="shared" si="131"/>
        <v>0</v>
      </c>
      <c r="S669" s="322">
        <f t="shared" si="132"/>
        <v>0</v>
      </c>
    </row>
    <row r="670" spans="1:19">
      <c r="A670" s="155"/>
      <c r="B670" s="57"/>
      <c r="C670" s="24">
        <f t="shared" si="123"/>
        <v>1</v>
      </c>
      <c r="D670" s="3053"/>
      <c r="E670" s="24">
        <f t="shared" si="124"/>
        <v>1</v>
      </c>
      <c r="F670" s="674"/>
      <c r="G670" s="24">
        <f t="shared" si="125"/>
        <v>1</v>
      </c>
      <c r="H670" s="674"/>
      <c r="I670" s="24">
        <f t="shared" si="126"/>
        <v>1</v>
      </c>
      <c r="J670" s="674"/>
      <c r="K670" s="24">
        <f t="shared" si="127"/>
        <v>1</v>
      </c>
      <c r="L670" s="674"/>
      <c r="M670" s="24">
        <f t="shared" si="128"/>
        <v>1</v>
      </c>
      <c r="N670" s="674"/>
      <c r="O670" s="24">
        <f t="shared" si="129"/>
        <v>1</v>
      </c>
      <c r="P670" s="674"/>
      <c r="Q670" s="24">
        <f t="shared" si="130"/>
        <v>0</v>
      </c>
      <c r="R670" s="670">
        <f t="shared" si="131"/>
        <v>0</v>
      </c>
      <c r="S670" s="322">
        <f t="shared" si="132"/>
        <v>0</v>
      </c>
    </row>
    <row r="671" spans="1:19">
      <c r="A671" s="155"/>
      <c r="B671" s="57"/>
      <c r="C671" s="24">
        <f t="shared" si="123"/>
        <v>1</v>
      </c>
      <c r="D671" s="3053"/>
      <c r="E671" s="24">
        <f t="shared" si="124"/>
        <v>1</v>
      </c>
      <c r="F671" s="674"/>
      <c r="G671" s="24">
        <f t="shared" si="125"/>
        <v>1</v>
      </c>
      <c r="H671" s="674"/>
      <c r="I671" s="24">
        <f t="shared" si="126"/>
        <v>1</v>
      </c>
      <c r="J671" s="674"/>
      <c r="K671" s="24">
        <f t="shared" si="127"/>
        <v>1</v>
      </c>
      <c r="L671" s="674"/>
      <c r="M671" s="24">
        <f t="shared" si="128"/>
        <v>1</v>
      </c>
      <c r="N671" s="674"/>
      <c r="O671" s="24">
        <f t="shared" si="129"/>
        <v>1</v>
      </c>
      <c r="P671" s="674"/>
      <c r="Q671" s="24">
        <f t="shared" si="130"/>
        <v>0</v>
      </c>
      <c r="R671" s="670">
        <f t="shared" si="131"/>
        <v>0</v>
      </c>
      <c r="S671" s="322">
        <f t="shared" si="132"/>
        <v>0</v>
      </c>
    </row>
    <row r="672" spans="1:19">
      <c r="A672" s="155"/>
      <c r="B672" s="57"/>
      <c r="C672" s="24">
        <f t="shared" si="123"/>
        <v>1</v>
      </c>
      <c r="D672" s="3053"/>
      <c r="E672" s="24">
        <f t="shared" si="124"/>
        <v>1</v>
      </c>
      <c r="F672" s="674"/>
      <c r="G672" s="24">
        <f t="shared" si="125"/>
        <v>1</v>
      </c>
      <c r="H672" s="674"/>
      <c r="I672" s="24">
        <f t="shared" si="126"/>
        <v>1</v>
      </c>
      <c r="J672" s="674"/>
      <c r="K672" s="24">
        <f t="shared" si="127"/>
        <v>1</v>
      </c>
      <c r="L672" s="674"/>
      <c r="M672" s="24">
        <f t="shared" si="128"/>
        <v>1</v>
      </c>
      <c r="N672" s="674"/>
      <c r="O672" s="24">
        <f t="shared" si="129"/>
        <v>1</v>
      </c>
      <c r="P672" s="674"/>
      <c r="Q672" s="24">
        <f t="shared" si="130"/>
        <v>0</v>
      </c>
      <c r="R672" s="670">
        <f t="shared" si="131"/>
        <v>0</v>
      </c>
      <c r="S672" s="322">
        <f t="shared" si="132"/>
        <v>0</v>
      </c>
    </row>
    <row r="673" spans="1:19">
      <c r="A673" s="155"/>
      <c r="B673" s="57"/>
      <c r="C673" s="24">
        <f t="shared" si="123"/>
        <v>1</v>
      </c>
      <c r="D673" s="3053"/>
      <c r="E673" s="24">
        <f t="shared" si="124"/>
        <v>1</v>
      </c>
      <c r="F673" s="674"/>
      <c r="G673" s="24">
        <f t="shared" si="125"/>
        <v>1</v>
      </c>
      <c r="H673" s="674"/>
      <c r="I673" s="24">
        <f t="shared" si="126"/>
        <v>1</v>
      </c>
      <c r="J673" s="674"/>
      <c r="K673" s="24">
        <f t="shared" si="127"/>
        <v>1</v>
      </c>
      <c r="L673" s="674"/>
      <c r="M673" s="24">
        <f t="shared" si="128"/>
        <v>1</v>
      </c>
      <c r="N673" s="674"/>
      <c r="O673" s="24">
        <f t="shared" si="129"/>
        <v>1</v>
      </c>
      <c r="P673" s="674"/>
      <c r="Q673" s="24">
        <f t="shared" si="130"/>
        <v>0</v>
      </c>
      <c r="R673" s="670">
        <f t="shared" si="131"/>
        <v>0</v>
      </c>
      <c r="S673" s="322">
        <f t="shared" si="132"/>
        <v>0</v>
      </c>
    </row>
    <row r="674" spans="1:19">
      <c r="A674" s="155"/>
      <c r="B674" s="57"/>
      <c r="C674" s="24">
        <f t="shared" si="123"/>
        <v>1</v>
      </c>
      <c r="D674" s="3053"/>
      <c r="E674" s="24">
        <f t="shared" si="124"/>
        <v>1</v>
      </c>
      <c r="F674" s="674"/>
      <c r="G674" s="24">
        <f t="shared" si="125"/>
        <v>1</v>
      </c>
      <c r="H674" s="674"/>
      <c r="I674" s="24">
        <f t="shared" si="126"/>
        <v>1</v>
      </c>
      <c r="J674" s="674"/>
      <c r="K674" s="24">
        <f t="shared" si="127"/>
        <v>1</v>
      </c>
      <c r="L674" s="674"/>
      <c r="M674" s="24">
        <f t="shared" si="128"/>
        <v>1</v>
      </c>
      <c r="N674" s="674"/>
      <c r="O674" s="24">
        <f t="shared" si="129"/>
        <v>1</v>
      </c>
      <c r="P674" s="674"/>
      <c r="Q674" s="24">
        <f t="shared" si="130"/>
        <v>0</v>
      </c>
      <c r="R674" s="670">
        <f t="shared" si="131"/>
        <v>0</v>
      </c>
      <c r="S674" s="322">
        <f t="shared" si="132"/>
        <v>0</v>
      </c>
    </row>
    <row r="675" spans="1:19">
      <c r="A675" s="155"/>
      <c r="B675" s="57"/>
      <c r="C675" s="24">
        <f t="shared" si="123"/>
        <v>1</v>
      </c>
      <c r="D675" s="3053"/>
      <c r="E675" s="24">
        <f t="shared" si="124"/>
        <v>1</v>
      </c>
      <c r="F675" s="674"/>
      <c r="G675" s="24">
        <f t="shared" si="125"/>
        <v>1</v>
      </c>
      <c r="H675" s="674"/>
      <c r="I675" s="24">
        <f t="shared" si="126"/>
        <v>1</v>
      </c>
      <c r="J675" s="674"/>
      <c r="K675" s="24">
        <f t="shared" si="127"/>
        <v>1</v>
      </c>
      <c r="L675" s="674"/>
      <c r="M675" s="24">
        <f t="shared" si="128"/>
        <v>1</v>
      </c>
      <c r="N675" s="674"/>
      <c r="O675" s="24">
        <f t="shared" si="129"/>
        <v>1</v>
      </c>
      <c r="P675" s="674"/>
      <c r="Q675" s="24">
        <f t="shared" si="130"/>
        <v>0</v>
      </c>
      <c r="R675" s="670">
        <f t="shared" si="131"/>
        <v>0</v>
      </c>
      <c r="S675" s="322">
        <f t="shared" si="132"/>
        <v>0</v>
      </c>
    </row>
    <row r="676" spans="1:19">
      <c r="A676" s="155"/>
      <c r="B676" s="57"/>
      <c r="C676" s="24">
        <f t="shared" si="123"/>
        <v>1</v>
      </c>
      <c r="D676" s="3053"/>
      <c r="E676" s="24">
        <f t="shared" si="124"/>
        <v>1</v>
      </c>
      <c r="F676" s="674"/>
      <c r="G676" s="24">
        <f t="shared" si="125"/>
        <v>1</v>
      </c>
      <c r="H676" s="674"/>
      <c r="I676" s="24">
        <f t="shared" si="126"/>
        <v>1</v>
      </c>
      <c r="J676" s="674"/>
      <c r="K676" s="24">
        <f t="shared" si="127"/>
        <v>1</v>
      </c>
      <c r="L676" s="674"/>
      <c r="M676" s="24">
        <f t="shared" si="128"/>
        <v>1</v>
      </c>
      <c r="N676" s="674"/>
      <c r="O676" s="24">
        <f t="shared" si="129"/>
        <v>1</v>
      </c>
      <c r="P676" s="674"/>
      <c r="Q676" s="24">
        <f t="shared" si="130"/>
        <v>0</v>
      </c>
      <c r="R676" s="670">
        <f t="shared" si="131"/>
        <v>0</v>
      </c>
      <c r="S676" s="322">
        <f t="shared" si="132"/>
        <v>0</v>
      </c>
    </row>
    <row r="677" spans="1:19">
      <c r="A677" s="155"/>
      <c r="B677" s="57"/>
      <c r="C677" s="24">
        <f t="shared" si="123"/>
        <v>1</v>
      </c>
      <c r="D677" s="3053"/>
      <c r="E677" s="24">
        <f t="shared" si="124"/>
        <v>1</v>
      </c>
      <c r="F677" s="674"/>
      <c r="G677" s="24">
        <f t="shared" si="125"/>
        <v>1</v>
      </c>
      <c r="H677" s="674"/>
      <c r="I677" s="24">
        <f t="shared" si="126"/>
        <v>1</v>
      </c>
      <c r="J677" s="674"/>
      <c r="K677" s="24">
        <f t="shared" si="127"/>
        <v>1</v>
      </c>
      <c r="L677" s="674"/>
      <c r="M677" s="24">
        <f t="shared" si="128"/>
        <v>1</v>
      </c>
      <c r="N677" s="674"/>
      <c r="O677" s="24">
        <f t="shared" si="129"/>
        <v>1</v>
      </c>
      <c r="P677" s="674"/>
      <c r="Q677" s="24">
        <f t="shared" si="130"/>
        <v>0</v>
      </c>
      <c r="R677" s="670">
        <f t="shared" si="131"/>
        <v>0</v>
      </c>
      <c r="S677" s="322">
        <f t="shared" si="132"/>
        <v>0</v>
      </c>
    </row>
    <row r="678" spans="1:19">
      <c r="A678" s="155"/>
      <c r="B678" s="57"/>
      <c r="C678" s="24">
        <f t="shared" si="123"/>
        <v>1</v>
      </c>
      <c r="D678" s="674"/>
      <c r="E678" s="24">
        <f t="shared" si="124"/>
        <v>1</v>
      </c>
      <c r="F678" s="674"/>
      <c r="G678" s="24">
        <f t="shared" si="125"/>
        <v>1</v>
      </c>
      <c r="H678" s="674"/>
      <c r="I678" s="24">
        <f t="shared" si="126"/>
        <v>1</v>
      </c>
      <c r="J678" s="674"/>
      <c r="K678" s="24">
        <f t="shared" si="127"/>
        <v>1</v>
      </c>
      <c r="L678" s="674"/>
      <c r="M678" s="24">
        <f t="shared" si="128"/>
        <v>1</v>
      </c>
      <c r="N678" s="674"/>
      <c r="O678" s="24">
        <f t="shared" si="129"/>
        <v>1</v>
      </c>
      <c r="P678" s="674"/>
      <c r="Q678" s="24">
        <f t="shared" si="130"/>
        <v>0</v>
      </c>
      <c r="R678" s="670">
        <f t="shared" si="131"/>
        <v>0</v>
      </c>
      <c r="S678" s="322">
        <f t="shared" si="132"/>
        <v>0</v>
      </c>
    </row>
    <row r="679" spans="1:19">
      <c r="A679" s="155"/>
      <c r="B679" s="57"/>
      <c r="C679" s="24">
        <f t="shared" si="123"/>
        <v>1</v>
      </c>
      <c r="D679" s="674"/>
      <c r="E679" s="24">
        <f t="shared" si="124"/>
        <v>1</v>
      </c>
      <c r="F679" s="674"/>
      <c r="G679" s="24">
        <f t="shared" si="125"/>
        <v>1</v>
      </c>
      <c r="H679" s="674"/>
      <c r="I679" s="24">
        <f t="shared" si="126"/>
        <v>1</v>
      </c>
      <c r="J679" s="674"/>
      <c r="K679" s="24">
        <f t="shared" si="127"/>
        <v>1</v>
      </c>
      <c r="L679" s="674"/>
      <c r="M679" s="24">
        <f t="shared" si="128"/>
        <v>1</v>
      </c>
      <c r="N679" s="674"/>
      <c r="O679" s="24">
        <f t="shared" si="129"/>
        <v>1</v>
      </c>
      <c r="P679" s="674"/>
      <c r="Q679" s="24">
        <f t="shared" si="130"/>
        <v>0</v>
      </c>
      <c r="R679" s="670">
        <f t="shared" si="131"/>
        <v>0</v>
      </c>
      <c r="S679" s="322">
        <f t="shared" si="132"/>
        <v>0</v>
      </c>
    </row>
    <row r="680" spans="1:19">
      <c r="A680" s="155"/>
      <c r="B680" s="57"/>
      <c r="C680" s="24">
        <f t="shared" si="123"/>
        <v>1</v>
      </c>
      <c r="D680" s="674"/>
      <c r="E680" s="24">
        <f t="shared" si="124"/>
        <v>1</v>
      </c>
      <c r="F680" s="674"/>
      <c r="G680" s="24">
        <f t="shared" si="125"/>
        <v>1</v>
      </c>
      <c r="H680" s="674"/>
      <c r="I680" s="24">
        <f t="shared" si="126"/>
        <v>1</v>
      </c>
      <c r="J680" s="674"/>
      <c r="K680" s="24">
        <f t="shared" si="127"/>
        <v>1</v>
      </c>
      <c r="L680" s="674"/>
      <c r="M680" s="24">
        <f t="shared" si="128"/>
        <v>1</v>
      </c>
      <c r="N680" s="674"/>
      <c r="O680" s="24">
        <f t="shared" si="129"/>
        <v>1</v>
      </c>
      <c r="P680" s="674"/>
      <c r="Q680" s="24">
        <f t="shared" si="130"/>
        <v>0</v>
      </c>
      <c r="R680" s="670">
        <f t="shared" si="131"/>
        <v>0</v>
      </c>
      <c r="S680" s="322">
        <f t="shared" si="132"/>
        <v>0</v>
      </c>
    </row>
    <row r="681" spans="1:19">
      <c r="A681" s="155"/>
      <c r="B681" s="57"/>
      <c r="C681" s="24">
        <f t="shared" si="123"/>
        <v>1</v>
      </c>
      <c r="D681" s="3053"/>
      <c r="E681" s="24">
        <f t="shared" si="124"/>
        <v>1</v>
      </c>
      <c r="F681" s="674"/>
      <c r="G681" s="24">
        <f t="shared" si="125"/>
        <v>1</v>
      </c>
      <c r="H681" s="674"/>
      <c r="I681" s="24">
        <f t="shared" si="126"/>
        <v>1</v>
      </c>
      <c r="J681" s="674"/>
      <c r="K681" s="24">
        <f t="shared" si="127"/>
        <v>1</v>
      </c>
      <c r="L681" s="674"/>
      <c r="M681" s="24">
        <f t="shared" si="128"/>
        <v>1</v>
      </c>
      <c r="N681" s="674"/>
      <c r="O681" s="24">
        <f t="shared" si="129"/>
        <v>1</v>
      </c>
      <c r="P681" s="674"/>
      <c r="Q681" s="24">
        <f t="shared" si="130"/>
        <v>0</v>
      </c>
      <c r="R681" s="670">
        <f t="shared" si="131"/>
        <v>0</v>
      </c>
      <c r="S681" s="322">
        <f t="shared" si="132"/>
        <v>0</v>
      </c>
    </row>
    <row r="682" spans="1:19">
      <c r="A682" s="155"/>
      <c r="B682" s="57"/>
      <c r="C682" s="24">
        <f t="shared" si="123"/>
        <v>1</v>
      </c>
      <c r="D682" s="3053"/>
      <c r="E682" s="24">
        <f t="shared" si="124"/>
        <v>1</v>
      </c>
      <c r="F682" s="674"/>
      <c r="G682" s="24">
        <f t="shared" si="125"/>
        <v>1</v>
      </c>
      <c r="H682" s="674"/>
      <c r="I682" s="24">
        <f t="shared" si="126"/>
        <v>1</v>
      </c>
      <c r="J682" s="674"/>
      <c r="K682" s="24">
        <f t="shared" si="127"/>
        <v>1</v>
      </c>
      <c r="L682" s="674"/>
      <c r="M682" s="24">
        <f t="shared" si="128"/>
        <v>1</v>
      </c>
      <c r="N682" s="674"/>
      <c r="O682" s="24">
        <f t="shared" si="129"/>
        <v>1</v>
      </c>
      <c r="P682" s="674"/>
      <c r="Q682" s="24">
        <f t="shared" si="130"/>
        <v>0</v>
      </c>
      <c r="R682" s="670">
        <f t="shared" si="131"/>
        <v>0</v>
      </c>
      <c r="S682" s="322">
        <f t="shared" si="132"/>
        <v>0</v>
      </c>
    </row>
    <row r="683" spans="1:19">
      <c r="A683" s="155"/>
      <c r="B683" s="57"/>
      <c r="C683" s="24">
        <f t="shared" si="123"/>
        <v>1</v>
      </c>
      <c r="D683" s="3053"/>
      <c r="E683" s="24">
        <f t="shared" si="124"/>
        <v>1</v>
      </c>
      <c r="F683" s="674"/>
      <c r="G683" s="24">
        <f t="shared" si="125"/>
        <v>1</v>
      </c>
      <c r="H683" s="674"/>
      <c r="I683" s="24">
        <f t="shared" si="126"/>
        <v>1</v>
      </c>
      <c r="J683" s="674"/>
      <c r="K683" s="24">
        <f t="shared" si="127"/>
        <v>1</v>
      </c>
      <c r="L683" s="674"/>
      <c r="M683" s="24">
        <f t="shared" si="128"/>
        <v>1</v>
      </c>
      <c r="N683" s="674"/>
      <c r="O683" s="24">
        <f t="shared" si="129"/>
        <v>1</v>
      </c>
      <c r="P683" s="674"/>
      <c r="Q683" s="24">
        <f t="shared" si="130"/>
        <v>0</v>
      </c>
      <c r="R683" s="670">
        <f t="shared" si="131"/>
        <v>0</v>
      </c>
      <c r="S683" s="322">
        <f t="shared" si="132"/>
        <v>0</v>
      </c>
    </row>
    <row r="684" spans="1:19">
      <c r="A684" s="155"/>
      <c r="B684" s="57"/>
      <c r="C684" s="24">
        <f t="shared" si="123"/>
        <v>1</v>
      </c>
      <c r="D684" s="3053"/>
      <c r="E684" s="24">
        <f t="shared" si="124"/>
        <v>1</v>
      </c>
      <c r="F684" s="674"/>
      <c r="G684" s="24">
        <f t="shared" si="125"/>
        <v>1</v>
      </c>
      <c r="H684" s="674"/>
      <c r="I684" s="24">
        <f t="shared" si="126"/>
        <v>1</v>
      </c>
      <c r="J684" s="674"/>
      <c r="K684" s="24">
        <f t="shared" si="127"/>
        <v>1</v>
      </c>
      <c r="L684" s="674"/>
      <c r="M684" s="24">
        <f t="shared" si="128"/>
        <v>1</v>
      </c>
      <c r="N684" s="674"/>
      <c r="O684" s="24">
        <f t="shared" si="129"/>
        <v>1</v>
      </c>
      <c r="P684" s="674"/>
      <c r="Q684" s="24">
        <f t="shared" si="130"/>
        <v>0</v>
      </c>
      <c r="R684" s="670">
        <f t="shared" si="131"/>
        <v>0</v>
      </c>
      <c r="S684" s="322">
        <f t="shared" si="132"/>
        <v>0</v>
      </c>
    </row>
    <row r="685" spans="1:19">
      <c r="A685" s="155"/>
      <c r="B685" s="57"/>
      <c r="C685" s="24">
        <f t="shared" si="123"/>
        <v>1</v>
      </c>
      <c r="D685" s="674"/>
      <c r="E685" s="24">
        <f t="shared" si="124"/>
        <v>1</v>
      </c>
      <c r="F685" s="674"/>
      <c r="G685" s="24">
        <f t="shared" si="125"/>
        <v>1</v>
      </c>
      <c r="H685" s="674"/>
      <c r="I685" s="24">
        <f t="shared" si="126"/>
        <v>1</v>
      </c>
      <c r="J685" s="674"/>
      <c r="K685" s="24">
        <f t="shared" si="127"/>
        <v>1</v>
      </c>
      <c r="L685" s="674"/>
      <c r="M685" s="24">
        <f t="shared" si="128"/>
        <v>1</v>
      </c>
      <c r="N685" s="674"/>
      <c r="O685" s="24">
        <f t="shared" si="129"/>
        <v>1</v>
      </c>
      <c r="P685" s="674"/>
      <c r="Q685" s="24">
        <f t="shared" si="130"/>
        <v>0</v>
      </c>
      <c r="R685" s="670">
        <f t="shared" si="131"/>
        <v>0</v>
      </c>
      <c r="S685" s="322">
        <f t="shared" si="132"/>
        <v>0</v>
      </c>
    </row>
    <row r="686" spans="1:19">
      <c r="A686" s="155"/>
      <c r="B686" s="57"/>
      <c r="C686" s="24">
        <f t="shared" si="123"/>
        <v>1</v>
      </c>
      <c r="D686" s="674"/>
      <c r="E686" s="24">
        <f t="shared" si="124"/>
        <v>1</v>
      </c>
      <c r="F686" s="674"/>
      <c r="G686" s="24">
        <f t="shared" si="125"/>
        <v>1</v>
      </c>
      <c r="H686" s="674"/>
      <c r="I686" s="24">
        <f t="shared" si="126"/>
        <v>1</v>
      </c>
      <c r="J686" s="674"/>
      <c r="K686" s="24">
        <f t="shared" si="127"/>
        <v>1</v>
      </c>
      <c r="L686" s="674"/>
      <c r="M686" s="24">
        <f t="shared" si="128"/>
        <v>1</v>
      </c>
      <c r="N686" s="674"/>
      <c r="O686" s="24">
        <f t="shared" si="129"/>
        <v>1</v>
      </c>
      <c r="P686" s="674"/>
      <c r="Q686" s="24">
        <f t="shared" si="130"/>
        <v>0</v>
      </c>
      <c r="R686" s="670">
        <f t="shared" si="131"/>
        <v>0</v>
      </c>
      <c r="S686" s="322">
        <f t="shared" si="132"/>
        <v>0</v>
      </c>
    </row>
    <row r="687" spans="1:19">
      <c r="A687" s="155"/>
      <c r="B687" s="57"/>
      <c r="C687" s="24">
        <f t="shared" si="123"/>
        <v>1</v>
      </c>
      <c r="D687" s="674"/>
      <c r="E687" s="24">
        <f t="shared" si="124"/>
        <v>1</v>
      </c>
      <c r="F687" s="674"/>
      <c r="G687" s="24">
        <f t="shared" si="125"/>
        <v>1</v>
      </c>
      <c r="H687" s="674"/>
      <c r="I687" s="24">
        <f t="shared" si="126"/>
        <v>1</v>
      </c>
      <c r="J687" s="674"/>
      <c r="K687" s="24">
        <f t="shared" si="127"/>
        <v>1</v>
      </c>
      <c r="L687" s="674"/>
      <c r="M687" s="24">
        <f t="shared" si="128"/>
        <v>1</v>
      </c>
      <c r="N687" s="674"/>
      <c r="O687" s="24">
        <f t="shared" si="129"/>
        <v>1</v>
      </c>
      <c r="P687" s="674"/>
      <c r="Q687" s="24">
        <f t="shared" si="130"/>
        <v>0</v>
      </c>
      <c r="R687" s="670">
        <f t="shared" si="131"/>
        <v>0</v>
      </c>
      <c r="S687" s="322">
        <f t="shared" si="132"/>
        <v>0</v>
      </c>
    </row>
    <row r="688" spans="1:19">
      <c r="A688" s="155"/>
      <c r="B688" s="57"/>
      <c r="C688" s="24">
        <f t="shared" si="123"/>
        <v>1</v>
      </c>
      <c r="D688" s="674"/>
      <c r="E688" s="24">
        <f t="shared" si="124"/>
        <v>1</v>
      </c>
      <c r="F688" s="674"/>
      <c r="G688" s="24">
        <f t="shared" si="125"/>
        <v>1</v>
      </c>
      <c r="H688" s="674"/>
      <c r="I688" s="24">
        <f t="shared" si="126"/>
        <v>1</v>
      </c>
      <c r="J688" s="674"/>
      <c r="K688" s="24">
        <f t="shared" si="127"/>
        <v>1</v>
      </c>
      <c r="L688" s="674"/>
      <c r="M688" s="24">
        <f t="shared" si="128"/>
        <v>1</v>
      </c>
      <c r="N688" s="674"/>
      <c r="O688" s="24">
        <f t="shared" si="129"/>
        <v>1</v>
      </c>
      <c r="P688" s="674"/>
      <c r="Q688" s="24">
        <f t="shared" si="130"/>
        <v>0</v>
      </c>
      <c r="R688" s="670">
        <f t="shared" si="131"/>
        <v>0</v>
      </c>
      <c r="S688" s="322">
        <f t="shared" si="132"/>
        <v>0</v>
      </c>
    </row>
    <row r="689" spans="1:19">
      <c r="A689" s="155"/>
      <c r="B689" s="57"/>
      <c r="C689" s="24">
        <f t="shared" si="123"/>
        <v>1</v>
      </c>
      <c r="D689" s="3053"/>
      <c r="E689" s="24">
        <f t="shared" si="124"/>
        <v>1</v>
      </c>
      <c r="F689" s="674"/>
      <c r="G689" s="24">
        <f t="shared" si="125"/>
        <v>1</v>
      </c>
      <c r="H689" s="674"/>
      <c r="I689" s="24">
        <f t="shared" si="126"/>
        <v>1</v>
      </c>
      <c r="J689" s="674"/>
      <c r="K689" s="24">
        <f t="shared" si="127"/>
        <v>1</v>
      </c>
      <c r="L689" s="674"/>
      <c r="M689" s="24">
        <f t="shared" si="128"/>
        <v>1</v>
      </c>
      <c r="N689" s="674"/>
      <c r="O689" s="24">
        <f t="shared" si="129"/>
        <v>1</v>
      </c>
      <c r="P689" s="674"/>
      <c r="Q689" s="24">
        <f t="shared" si="130"/>
        <v>0</v>
      </c>
      <c r="R689" s="670">
        <f t="shared" si="131"/>
        <v>0</v>
      </c>
      <c r="S689" s="322">
        <f t="shared" si="132"/>
        <v>0</v>
      </c>
    </row>
    <row r="690" spans="1:19">
      <c r="A690" s="155"/>
      <c r="B690" s="57"/>
      <c r="C690" s="24">
        <f t="shared" si="123"/>
        <v>1</v>
      </c>
      <c r="D690" s="3053"/>
      <c r="E690" s="24">
        <f t="shared" si="124"/>
        <v>1</v>
      </c>
      <c r="F690" s="674"/>
      <c r="G690" s="24">
        <f t="shared" si="125"/>
        <v>1</v>
      </c>
      <c r="H690" s="674"/>
      <c r="I690" s="24">
        <f t="shared" si="126"/>
        <v>1</v>
      </c>
      <c r="J690" s="674"/>
      <c r="K690" s="24">
        <f t="shared" si="127"/>
        <v>1</v>
      </c>
      <c r="L690" s="674"/>
      <c r="M690" s="24">
        <f t="shared" si="128"/>
        <v>1</v>
      </c>
      <c r="N690" s="674"/>
      <c r="O690" s="24">
        <f t="shared" si="129"/>
        <v>1</v>
      </c>
      <c r="P690" s="674"/>
      <c r="Q690" s="24">
        <f t="shared" si="130"/>
        <v>0</v>
      </c>
      <c r="R690" s="670">
        <f t="shared" si="131"/>
        <v>0</v>
      </c>
      <c r="S690" s="322">
        <f t="shared" si="132"/>
        <v>0</v>
      </c>
    </row>
    <row r="691" spans="1:19">
      <c r="A691" s="155"/>
      <c r="B691" s="57"/>
      <c r="C691" s="24">
        <f t="shared" si="123"/>
        <v>1</v>
      </c>
      <c r="D691" s="3053"/>
      <c r="E691" s="24">
        <f t="shared" si="124"/>
        <v>1</v>
      </c>
      <c r="F691" s="674"/>
      <c r="G691" s="24">
        <f t="shared" si="125"/>
        <v>1</v>
      </c>
      <c r="H691" s="674"/>
      <c r="I691" s="24">
        <f t="shared" si="126"/>
        <v>1</v>
      </c>
      <c r="J691" s="674"/>
      <c r="K691" s="24">
        <f t="shared" si="127"/>
        <v>1</v>
      </c>
      <c r="L691" s="674"/>
      <c r="M691" s="24">
        <f t="shared" si="128"/>
        <v>1</v>
      </c>
      <c r="N691" s="674"/>
      <c r="O691" s="24">
        <f t="shared" si="129"/>
        <v>1</v>
      </c>
      <c r="P691" s="674"/>
      <c r="Q691" s="24">
        <f t="shared" si="130"/>
        <v>0</v>
      </c>
      <c r="R691" s="670">
        <f t="shared" si="131"/>
        <v>0</v>
      </c>
      <c r="S691" s="322">
        <f t="shared" si="132"/>
        <v>0</v>
      </c>
    </row>
    <row r="692" spans="1:19">
      <c r="A692" s="155"/>
      <c r="B692" s="57"/>
      <c r="C692" s="24">
        <f t="shared" si="123"/>
        <v>1</v>
      </c>
      <c r="D692" s="3053"/>
      <c r="E692" s="24">
        <f t="shared" si="124"/>
        <v>1</v>
      </c>
      <c r="F692" s="674"/>
      <c r="G692" s="24">
        <f t="shared" si="125"/>
        <v>1</v>
      </c>
      <c r="H692" s="674"/>
      <c r="I692" s="24">
        <f t="shared" si="126"/>
        <v>1</v>
      </c>
      <c r="J692" s="674"/>
      <c r="K692" s="24">
        <f t="shared" si="127"/>
        <v>1</v>
      </c>
      <c r="L692" s="674"/>
      <c r="M692" s="24">
        <f t="shared" si="128"/>
        <v>1</v>
      </c>
      <c r="N692" s="674"/>
      <c r="O692" s="24">
        <f t="shared" si="129"/>
        <v>1</v>
      </c>
      <c r="P692" s="674"/>
      <c r="Q692" s="24">
        <f t="shared" si="130"/>
        <v>0</v>
      </c>
      <c r="R692" s="670">
        <f t="shared" si="131"/>
        <v>0</v>
      </c>
      <c r="S692" s="322">
        <f t="shared" si="132"/>
        <v>0</v>
      </c>
    </row>
    <row r="693" spans="1:19">
      <c r="A693" s="155"/>
      <c r="B693" s="57"/>
      <c r="C693" s="24">
        <f t="shared" si="123"/>
        <v>1</v>
      </c>
      <c r="D693" s="3053"/>
      <c r="E693" s="24">
        <f t="shared" si="124"/>
        <v>1</v>
      </c>
      <c r="F693" s="674"/>
      <c r="G693" s="24">
        <f t="shared" si="125"/>
        <v>1</v>
      </c>
      <c r="H693" s="674"/>
      <c r="I693" s="24">
        <f t="shared" si="126"/>
        <v>1</v>
      </c>
      <c r="J693" s="674"/>
      <c r="K693" s="24">
        <f t="shared" si="127"/>
        <v>1</v>
      </c>
      <c r="L693" s="674"/>
      <c r="M693" s="24">
        <f t="shared" si="128"/>
        <v>1</v>
      </c>
      <c r="N693" s="674"/>
      <c r="O693" s="24">
        <f t="shared" si="129"/>
        <v>1</v>
      </c>
      <c r="P693" s="674"/>
      <c r="Q693" s="24">
        <f t="shared" si="130"/>
        <v>0</v>
      </c>
      <c r="R693" s="670">
        <f t="shared" si="131"/>
        <v>0</v>
      </c>
      <c r="S693" s="322">
        <f t="shared" si="132"/>
        <v>0</v>
      </c>
    </row>
    <row r="694" spans="1:19">
      <c r="A694" s="155"/>
      <c r="B694" s="57"/>
      <c r="C694" s="24">
        <f t="shared" si="123"/>
        <v>1</v>
      </c>
      <c r="D694" s="3053"/>
      <c r="E694" s="24">
        <f t="shared" si="124"/>
        <v>1</v>
      </c>
      <c r="F694" s="674"/>
      <c r="G694" s="24">
        <f t="shared" si="125"/>
        <v>1</v>
      </c>
      <c r="H694" s="674"/>
      <c r="I694" s="24">
        <f t="shared" si="126"/>
        <v>1</v>
      </c>
      <c r="J694" s="674"/>
      <c r="K694" s="24">
        <f t="shared" si="127"/>
        <v>1</v>
      </c>
      <c r="L694" s="674"/>
      <c r="M694" s="24">
        <f t="shared" si="128"/>
        <v>1</v>
      </c>
      <c r="N694" s="674"/>
      <c r="O694" s="24">
        <f t="shared" si="129"/>
        <v>1</v>
      </c>
      <c r="P694" s="674"/>
      <c r="Q694" s="24">
        <f t="shared" si="130"/>
        <v>0</v>
      </c>
      <c r="R694" s="670">
        <f t="shared" si="131"/>
        <v>0</v>
      </c>
      <c r="S694" s="322">
        <f t="shared" si="132"/>
        <v>0</v>
      </c>
    </row>
    <row r="695" spans="1:19">
      <c r="A695" s="155"/>
      <c r="B695" s="57"/>
      <c r="C695" s="24">
        <f t="shared" si="123"/>
        <v>1</v>
      </c>
      <c r="D695" s="3053"/>
      <c r="E695" s="24">
        <f t="shared" si="124"/>
        <v>1</v>
      </c>
      <c r="F695" s="674"/>
      <c r="G695" s="24">
        <f t="shared" si="125"/>
        <v>1</v>
      </c>
      <c r="H695" s="674"/>
      <c r="I695" s="24">
        <f t="shared" si="126"/>
        <v>1</v>
      </c>
      <c r="J695" s="674"/>
      <c r="K695" s="24">
        <f t="shared" si="127"/>
        <v>1</v>
      </c>
      <c r="L695" s="674"/>
      <c r="M695" s="24">
        <f t="shared" si="128"/>
        <v>1</v>
      </c>
      <c r="N695" s="674"/>
      <c r="O695" s="24">
        <f t="shared" si="129"/>
        <v>1</v>
      </c>
      <c r="P695" s="674"/>
      <c r="Q695" s="24">
        <f t="shared" si="130"/>
        <v>0</v>
      </c>
      <c r="R695" s="670">
        <f t="shared" si="131"/>
        <v>0</v>
      </c>
      <c r="S695" s="322">
        <f t="shared" si="132"/>
        <v>0</v>
      </c>
    </row>
    <row r="696" spans="1:19">
      <c r="A696" s="155"/>
      <c r="B696" s="57"/>
      <c r="C696" s="24">
        <f t="shared" si="123"/>
        <v>1</v>
      </c>
      <c r="D696" s="3053"/>
      <c r="E696" s="24">
        <f t="shared" si="124"/>
        <v>1</v>
      </c>
      <c r="F696" s="674"/>
      <c r="G696" s="24">
        <f t="shared" si="125"/>
        <v>1</v>
      </c>
      <c r="H696" s="674"/>
      <c r="I696" s="24">
        <f t="shared" si="126"/>
        <v>1</v>
      </c>
      <c r="J696" s="674"/>
      <c r="K696" s="24">
        <f t="shared" si="127"/>
        <v>1</v>
      </c>
      <c r="L696" s="674"/>
      <c r="M696" s="24">
        <f t="shared" si="128"/>
        <v>1</v>
      </c>
      <c r="N696" s="674"/>
      <c r="O696" s="24">
        <f t="shared" si="129"/>
        <v>1</v>
      </c>
      <c r="P696" s="674"/>
      <c r="Q696" s="24">
        <f t="shared" si="130"/>
        <v>0</v>
      </c>
      <c r="R696" s="670">
        <f t="shared" si="131"/>
        <v>0</v>
      </c>
      <c r="S696" s="322">
        <f t="shared" si="132"/>
        <v>0</v>
      </c>
    </row>
    <row r="697" spans="1:19">
      <c r="A697" s="155"/>
      <c r="B697" s="57"/>
      <c r="C697" s="24">
        <f t="shared" si="123"/>
        <v>1</v>
      </c>
      <c r="D697" s="3053"/>
      <c r="E697" s="24">
        <f t="shared" si="124"/>
        <v>1</v>
      </c>
      <c r="F697" s="674"/>
      <c r="G697" s="24">
        <f t="shared" si="125"/>
        <v>1</v>
      </c>
      <c r="H697" s="674"/>
      <c r="I697" s="24">
        <f t="shared" si="126"/>
        <v>1</v>
      </c>
      <c r="J697" s="674"/>
      <c r="K697" s="24">
        <f t="shared" si="127"/>
        <v>1</v>
      </c>
      <c r="L697" s="674"/>
      <c r="M697" s="24">
        <f t="shared" si="128"/>
        <v>1</v>
      </c>
      <c r="N697" s="674"/>
      <c r="O697" s="24">
        <f t="shared" si="129"/>
        <v>1</v>
      </c>
      <c r="P697" s="674"/>
      <c r="Q697" s="24">
        <f t="shared" si="130"/>
        <v>0</v>
      </c>
      <c r="R697" s="670">
        <f t="shared" si="131"/>
        <v>0</v>
      </c>
      <c r="S697" s="322">
        <f t="shared" si="132"/>
        <v>0</v>
      </c>
    </row>
    <row r="698" spans="1:19">
      <c r="A698" s="155"/>
      <c r="B698" s="57"/>
      <c r="C698" s="24">
        <f t="shared" si="123"/>
        <v>1</v>
      </c>
      <c r="D698" s="674"/>
      <c r="E698" s="24">
        <f t="shared" si="124"/>
        <v>1</v>
      </c>
      <c r="F698" s="674"/>
      <c r="G698" s="24">
        <f t="shared" si="125"/>
        <v>1</v>
      </c>
      <c r="H698" s="674"/>
      <c r="I698" s="24">
        <f t="shared" si="126"/>
        <v>1</v>
      </c>
      <c r="J698" s="674"/>
      <c r="K698" s="24">
        <f t="shared" si="127"/>
        <v>1</v>
      </c>
      <c r="L698" s="674"/>
      <c r="M698" s="24">
        <f t="shared" si="128"/>
        <v>1</v>
      </c>
      <c r="N698" s="674"/>
      <c r="O698" s="24">
        <f t="shared" si="129"/>
        <v>1</v>
      </c>
      <c r="P698" s="674"/>
      <c r="Q698" s="24">
        <f t="shared" si="130"/>
        <v>0</v>
      </c>
      <c r="R698" s="670">
        <f t="shared" si="131"/>
        <v>0</v>
      </c>
      <c r="S698" s="322">
        <f t="shared" si="132"/>
        <v>0</v>
      </c>
    </row>
    <row r="699" spans="1:19">
      <c r="A699" s="155"/>
      <c r="B699" s="57"/>
      <c r="C699" s="24">
        <f t="shared" si="123"/>
        <v>1</v>
      </c>
      <c r="D699" s="674"/>
      <c r="E699" s="24">
        <f t="shared" si="124"/>
        <v>1</v>
      </c>
      <c r="F699" s="674"/>
      <c r="G699" s="24">
        <f t="shared" si="125"/>
        <v>1</v>
      </c>
      <c r="H699" s="674"/>
      <c r="I699" s="24">
        <f t="shared" si="126"/>
        <v>1</v>
      </c>
      <c r="J699" s="674"/>
      <c r="K699" s="24">
        <f t="shared" si="127"/>
        <v>1</v>
      </c>
      <c r="L699" s="674"/>
      <c r="M699" s="24">
        <f t="shared" si="128"/>
        <v>1</v>
      </c>
      <c r="N699" s="674"/>
      <c r="O699" s="24">
        <f t="shared" si="129"/>
        <v>1</v>
      </c>
      <c r="P699" s="674"/>
      <c r="Q699" s="24">
        <f t="shared" si="130"/>
        <v>0</v>
      </c>
      <c r="R699" s="670">
        <f t="shared" si="131"/>
        <v>0</v>
      </c>
      <c r="S699" s="322">
        <f t="shared" si="132"/>
        <v>0</v>
      </c>
    </row>
    <row r="700" spans="1:19">
      <c r="A700" s="155"/>
      <c r="B700" s="57"/>
      <c r="C700" s="24">
        <f t="shared" si="123"/>
        <v>1</v>
      </c>
      <c r="D700" s="674"/>
      <c r="E700" s="24">
        <f t="shared" si="124"/>
        <v>1</v>
      </c>
      <c r="F700" s="674"/>
      <c r="G700" s="24">
        <f t="shared" si="125"/>
        <v>1</v>
      </c>
      <c r="H700" s="674"/>
      <c r="I700" s="24">
        <f t="shared" si="126"/>
        <v>1</v>
      </c>
      <c r="J700" s="674"/>
      <c r="K700" s="24">
        <f t="shared" si="127"/>
        <v>1</v>
      </c>
      <c r="L700" s="674"/>
      <c r="M700" s="24">
        <f t="shared" si="128"/>
        <v>1</v>
      </c>
      <c r="N700" s="674"/>
      <c r="O700" s="24">
        <f t="shared" si="129"/>
        <v>1</v>
      </c>
      <c r="P700" s="674"/>
      <c r="Q700" s="24">
        <f t="shared" si="130"/>
        <v>0</v>
      </c>
      <c r="R700" s="670">
        <f t="shared" si="131"/>
        <v>0</v>
      </c>
      <c r="S700" s="322">
        <f t="shared" si="132"/>
        <v>0</v>
      </c>
    </row>
    <row r="701" spans="1:19">
      <c r="A701" s="155"/>
      <c r="B701" s="57"/>
      <c r="C701" s="24">
        <f t="shared" si="123"/>
        <v>1</v>
      </c>
      <c r="D701" s="3053"/>
      <c r="E701" s="24">
        <f t="shared" si="124"/>
        <v>1</v>
      </c>
      <c r="F701" s="674"/>
      <c r="G701" s="24">
        <f t="shared" si="125"/>
        <v>1</v>
      </c>
      <c r="H701" s="674"/>
      <c r="I701" s="24">
        <f t="shared" si="126"/>
        <v>1</v>
      </c>
      <c r="J701" s="674"/>
      <c r="K701" s="24">
        <f t="shared" si="127"/>
        <v>1</v>
      </c>
      <c r="L701" s="674"/>
      <c r="M701" s="24">
        <f t="shared" si="128"/>
        <v>1</v>
      </c>
      <c r="N701" s="674"/>
      <c r="O701" s="24">
        <f t="shared" si="129"/>
        <v>1</v>
      </c>
      <c r="P701" s="674"/>
      <c r="Q701" s="24">
        <f t="shared" si="130"/>
        <v>0</v>
      </c>
      <c r="R701" s="670">
        <f t="shared" si="131"/>
        <v>0</v>
      </c>
      <c r="S701" s="322">
        <f t="shared" si="132"/>
        <v>0</v>
      </c>
    </row>
    <row r="702" spans="1:19">
      <c r="A702" s="155"/>
      <c r="B702" s="57"/>
      <c r="C702" s="24">
        <f t="shared" si="123"/>
        <v>1</v>
      </c>
      <c r="D702" s="3053"/>
      <c r="E702" s="24">
        <f t="shared" si="124"/>
        <v>1</v>
      </c>
      <c r="F702" s="674"/>
      <c r="G702" s="24">
        <f t="shared" si="125"/>
        <v>1</v>
      </c>
      <c r="H702" s="674"/>
      <c r="I702" s="24">
        <f t="shared" si="126"/>
        <v>1</v>
      </c>
      <c r="J702" s="674"/>
      <c r="K702" s="24">
        <f t="shared" si="127"/>
        <v>1</v>
      </c>
      <c r="L702" s="674"/>
      <c r="M702" s="24">
        <f t="shared" si="128"/>
        <v>1</v>
      </c>
      <c r="N702" s="674"/>
      <c r="O702" s="24">
        <f t="shared" si="129"/>
        <v>1</v>
      </c>
      <c r="P702" s="674"/>
      <c r="Q702" s="24">
        <f t="shared" si="130"/>
        <v>0</v>
      </c>
      <c r="R702" s="670">
        <f t="shared" si="131"/>
        <v>0</v>
      </c>
      <c r="S702" s="322">
        <f t="shared" si="132"/>
        <v>0</v>
      </c>
    </row>
    <row r="703" spans="1:19">
      <c r="A703" s="155"/>
      <c r="B703" s="57"/>
      <c r="C703" s="24">
        <f t="shared" si="123"/>
        <v>1</v>
      </c>
      <c r="D703" s="3053"/>
      <c r="E703" s="24">
        <f t="shared" si="124"/>
        <v>1</v>
      </c>
      <c r="F703" s="674"/>
      <c r="G703" s="24">
        <f t="shared" si="125"/>
        <v>1</v>
      </c>
      <c r="H703" s="674"/>
      <c r="I703" s="24">
        <f t="shared" si="126"/>
        <v>1</v>
      </c>
      <c r="J703" s="674"/>
      <c r="K703" s="24">
        <f t="shared" si="127"/>
        <v>1</v>
      </c>
      <c r="L703" s="674"/>
      <c r="M703" s="24">
        <f t="shared" si="128"/>
        <v>1</v>
      </c>
      <c r="N703" s="674"/>
      <c r="O703" s="24">
        <f t="shared" si="129"/>
        <v>1</v>
      </c>
      <c r="P703" s="674"/>
      <c r="Q703" s="24">
        <f t="shared" si="130"/>
        <v>0</v>
      </c>
      <c r="R703" s="670">
        <f t="shared" si="131"/>
        <v>0</v>
      </c>
      <c r="S703" s="322">
        <f t="shared" si="132"/>
        <v>0</v>
      </c>
    </row>
    <row r="704" spans="1:19">
      <c r="A704" s="155"/>
      <c r="B704" s="57"/>
      <c r="C704" s="24">
        <f t="shared" si="123"/>
        <v>1</v>
      </c>
      <c r="D704" s="3053"/>
      <c r="E704" s="24">
        <f t="shared" si="124"/>
        <v>1</v>
      </c>
      <c r="F704" s="674"/>
      <c r="G704" s="24">
        <f t="shared" si="125"/>
        <v>1</v>
      </c>
      <c r="H704" s="674"/>
      <c r="I704" s="24">
        <f t="shared" si="126"/>
        <v>1</v>
      </c>
      <c r="J704" s="674"/>
      <c r="K704" s="24">
        <f t="shared" si="127"/>
        <v>1</v>
      </c>
      <c r="L704" s="674"/>
      <c r="M704" s="24">
        <f t="shared" si="128"/>
        <v>1</v>
      </c>
      <c r="N704" s="674"/>
      <c r="O704" s="24">
        <f t="shared" si="129"/>
        <v>1</v>
      </c>
      <c r="P704" s="674"/>
      <c r="Q704" s="24">
        <f t="shared" si="130"/>
        <v>0</v>
      </c>
      <c r="R704" s="670">
        <f t="shared" si="131"/>
        <v>0</v>
      </c>
      <c r="S704" s="322">
        <f t="shared" si="132"/>
        <v>0</v>
      </c>
    </row>
    <row r="705" spans="1:19">
      <c r="A705" s="155"/>
      <c r="B705" s="57"/>
      <c r="C705" s="24">
        <f t="shared" si="123"/>
        <v>1</v>
      </c>
      <c r="D705" s="3053"/>
      <c r="E705" s="24">
        <f t="shared" si="124"/>
        <v>1</v>
      </c>
      <c r="F705" s="674"/>
      <c r="G705" s="24">
        <f t="shared" si="125"/>
        <v>1</v>
      </c>
      <c r="H705" s="674"/>
      <c r="I705" s="24">
        <f t="shared" si="126"/>
        <v>1</v>
      </c>
      <c r="J705" s="674"/>
      <c r="K705" s="24">
        <f t="shared" si="127"/>
        <v>1</v>
      </c>
      <c r="L705" s="674"/>
      <c r="M705" s="24">
        <f t="shared" si="128"/>
        <v>1</v>
      </c>
      <c r="N705" s="674"/>
      <c r="O705" s="24">
        <f t="shared" si="129"/>
        <v>1</v>
      </c>
      <c r="P705" s="674"/>
      <c r="Q705" s="24">
        <f t="shared" si="130"/>
        <v>0</v>
      </c>
      <c r="R705" s="670">
        <f t="shared" si="131"/>
        <v>0</v>
      </c>
      <c r="S705" s="322">
        <f t="shared" si="132"/>
        <v>0</v>
      </c>
    </row>
    <row r="706" spans="1:19">
      <c r="A706" s="155"/>
      <c r="B706" s="57"/>
      <c r="C706" s="24">
        <f t="shared" si="123"/>
        <v>1</v>
      </c>
      <c r="D706" s="3053"/>
      <c r="E706" s="24">
        <f t="shared" si="124"/>
        <v>1</v>
      </c>
      <c r="F706" s="674"/>
      <c r="G706" s="24">
        <f t="shared" si="125"/>
        <v>1</v>
      </c>
      <c r="H706" s="674"/>
      <c r="I706" s="24">
        <f t="shared" si="126"/>
        <v>1</v>
      </c>
      <c r="J706" s="674"/>
      <c r="K706" s="24">
        <f t="shared" si="127"/>
        <v>1</v>
      </c>
      <c r="L706" s="674"/>
      <c r="M706" s="24">
        <f t="shared" si="128"/>
        <v>1</v>
      </c>
      <c r="N706" s="674"/>
      <c r="O706" s="24">
        <f t="shared" si="129"/>
        <v>1</v>
      </c>
      <c r="P706" s="674"/>
      <c r="Q706" s="24">
        <f t="shared" si="130"/>
        <v>0</v>
      </c>
      <c r="R706" s="670">
        <f t="shared" si="131"/>
        <v>0</v>
      </c>
      <c r="S706" s="322">
        <f t="shared" si="132"/>
        <v>0</v>
      </c>
    </row>
    <row r="707" spans="1:19">
      <c r="A707" s="155"/>
      <c r="B707" s="57"/>
      <c r="C707" s="24">
        <f t="shared" si="123"/>
        <v>1</v>
      </c>
      <c r="D707" s="674"/>
      <c r="E707" s="24">
        <f t="shared" si="124"/>
        <v>1</v>
      </c>
      <c r="F707" s="674"/>
      <c r="G707" s="24">
        <f t="shared" si="125"/>
        <v>1</v>
      </c>
      <c r="H707" s="674"/>
      <c r="I707" s="24">
        <f t="shared" si="126"/>
        <v>1</v>
      </c>
      <c r="J707" s="674"/>
      <c r="K707" s="24">
        <f t="shared" si="127"/>
        <v>1</v>
      </c>
      <c r="L707" s="674"/>
      <c r="M707" s="24">
        <f t="shared" si="128"/>
        <v>1</v>
      </c>
      <c r="N707" s="674"/>
      <c r="O707" s="24">
        <f t="shared" si="129"/>
        <v>1</v>
      </c>
      <c r="P707" s="674"/>
      <c r="Q707" s="24">
        <f t="shared" si="130"/>
        <v>0</v>
      </c>
      <c r="R707" s="670">
        <f t="shared" si="131"/>
        <v>0</v>
      </c>
      <c r="S707" s="322">
        <f t="shared" si="132"/>
        <v>0</v>
      </c>
    </row>
    <row r="708" spans="1:19">
      <c r="A708" s="155"/>
      <c r="B708" s="57"/>
      <c r="C708" s="24">
        <f t="shared" si="123"/>
        <v>1</v>
      </c>
      <c r="D708" s="674"/>
      <c r="E708" s="24">
        <f t="shared" si="124"/>
        <v>1</v>
      </c>
      <c r="F708" s="674"/>
      <c r="G708" s="24">
        <f t="shared" si="125"/>
        <v>1</v>
      </c>
      <c r="H708" s="674"/>
      <c r="I708" s="24">
        <f t="shared" si="126"/>
        <v>1</v>
      </c>
      <c r="J708" s="674"/>
      <c r="K708" s="24">
        <f t="shared" si="127"/>
        <v>1</v>
      </c>
      <c r="L708" s="674"/>
      <c r="M708" s="24">
        <f t="shared" si="128"/>
        <v>1</v>
      </c>
      <c r="N708" s="674"/>
      <c r="O708" s="24">
        <f t="shared" si="129"/>
        <v>1</v>
      </c>
      <c r="P708" s="674"/>
      <c r="Q708" s="24">
        <f t="shared" si="130"/>
        <v>0</v>
      </c>
      <c r="R708" s="670">
        <f t="shared" si="131"/>
        <v>0</v>
      </c>
      <c r="S708" s="322">
        <f t="shared" si="132"/>
        <v>0</v>
      </c>
    </row>
    <row r="709" spans="1:19">
      <c r="A709" s="155"/>
      <c r="B709" s="57"/>
      <c r="C709" s="24">
        <f t="shared" si="123"/>
        <v>1</v>
      </c>
      <c r="D709" s="674"/>
      <c r="E709" s="24">
        <f t="shared" si="124"/>
        <v>1</v>
      </c>
      <c r="F709" s="674"/>
      <c r="G709" s="24">
        <f t="shared" si="125"/>
        <v>1</v>
      </c>
      <c r="H709" s="674"/>
      <c r="I709" s="24">
        <f t="shared" si="126"/>
        <v>1</v>
      </c>
      <c r="J709" s="674"/>
      <c r="K709" s="24">
        <f t="shared" si="127"/>
        <v>1</v>
      </c>
      <c r="L709" s="674"/>
      <c r="M709" s="24">
        <f t="shared" si="128"/>
        <v>1</v>
      </c>
      <c r="N709" s="674"/>
      <c r="O709" s="24">
        <f t="shared" si="129"/>
        <v>1</v>
      </c>
      <c r="P709" s="674"/>
      <c r="Q709" s="24">
        <f t="shared" si="130"/>
        <v>0</v>
      </c>
      <c r="R709" s="670">
        <f t="shared" si="131"/>
        <v>0</v>
      </c>
      <c r="S709" s="322">
        <f t="shared" si="132"/>
        <v>0</v>
      </c>
    </row>
    <row r="710" spans="1:19">
      <c r="A710" s="155"/>
      <c r="B710" s="57"/>
      <c r="C710" s="24">
        <f t="shared" si="123"/>
        <v>1</v>
      </c>
      <c r="D710" s="3053"/>
      <c r="E710" s="24">
        <f t="shared" si="124"/>
        <v>1</v>
      </c>
      <c r="F710" s="674"/>
      <c r="G710" s="24">
        <f t="shared" si="125"/>
        <v>1</v>
      </c>
      <c r="H710" s="674"/>
      <c r="I710" s="24">
        <f t="shared" si="126"/>
        <v>1</v>
      </c>
      <c r="J710" s="674"/>
      <c r="K710" s="24">
        <f t="shared" si="127"/>
        <v>1</v>
      </c>
      <c r="L710" s="674"/>
      <c r="M710" s="24">
        <f t="shared" si="128"/>
        <v>1</v>
      </c>
      <c r="N710" s="674"/>
      <c r="O710" s="24">
        <f t="shared" si="129"/>
        <v>1</v>
      </c>
      <c r="P710" s="674"/>
      <c r="Q710" s="24">
        <f t="shared" si="130"/>
        <v>0</v>
      </c>
      <c r="R710" s="670">
        <f t="shared" si="131"/>
        <v>0</v>
      </c>
      <c r="S710" s="322">
        <f t="shared" si="132"/>
        <v>0</v>
      </c>
    </row>
    <row r="711" spans="1:19">
      <c r="A711" s="155"/>
      <c r="B711" s="57"/>
      <c r="C711" s="24">
        <f t="shared" si="123"/>
        <v>1</v>
      </c>
      <c r="D711" s="3053"/>
      <c r="E711" s="24">
        <f t="shared" si="124"/>
        <v>1</v>
      </c>
      <c r="F711" s="674"/>
      <c r="G711" s="24">
        <f t="shared" si="125"/>
        <v>1</v>
      </c>
      <c r="H711" s="674"/>
      <c r="I711" s="24">
        <f t="shared" si="126"/>
        <v>1</v>
      </c>
      <c r="J711" s="674"/>
      <c r="K711" s="24">
        <f t="shared" si="127"/>
        <v>1</v>
      </c>
      <c r="L711" s="674"/>
      <c r="M711" s="24">
        <f t="shared" si="128"/>
        <v>1</v>
      </c>
      <c r="N711" s="674"/>
      <c r="O711" s="24">
        <f t="shared" si="129"/>
        <v>1</v>
      </c>
      <c r="P711" s="674"/>
      <c r="Q711" s="24">
        <f t="shared" si="130"/>
        <v>0</v>
      </c>
      <c r="R711" s="670">
        <f t="shared" si="131"/>
        <v>0</v>
      </c>
      <c r="S711" s="322">
        <f t="shared" si="132"/>
        <v>0</v>
      </c>
    </row>
    <row r="712" spans="1:19">
      <c r="A712" s="155"/>
      <c r="B712" s="57"/>
      <c r="C712" s="24">
        <f t="shared" si="123"/>
        <v>1</v>
      </c>
      <c r="D712" s="3053"/>
      <c r="E712" s="24">
        <f t="shared" si="124"/>
        <v>1</v>
      </c>
      <c r="F712" s="674"/>
      <c r="G712" s="24">
        <f t="shared" si="125"/>
        <v>1</v>
      </c>
      <c r="H712" s="674"/>
      <c r="I712" s="24">
        <f t="shared" si="126"/>
        <v>1</v>
      </c>
      <c r="J712" s="674"/>
      <c r="K712" s="24">
        <f t="shared" si="127"/>
        <v>1</v>
      </c>
      <c r="L712" s="674"/>
      <c r="M712" s="24">
        <f t="shared" si="128"/>
        <v>1</v>
      </c>
      <c r="N712" s="674"/>
      <c r="O712" s="24">
        <f t="shared" si="129"/>
        <v>1</v>
      </c>
      <c r="P712" s="674"/>
      <c r="Q712" s="24">
        <f t="shared" si="130"/>
        <v>0</v>
      </c>
      <c r="R712" s="670">
        <f t="shared" si="131"/>
        <v>0</v>
      </c>
      <c r="S712" s="322">
        <f t="shared" si="132"/>
        <v>0</v>
      </c>
    </row>
    <row r="713" spans="1:19">
      <c r="A713" s="155"/>
      <c r="B713" s="57"/>
      <c r="C713" s="24">
        <f t="shared" si="123"/>
        <v>1</v>
      </c>
      <c r="D713" s="3053"/>
      <c r="E713" s="24">
        <f t="shared" si="124"/>
        <v>1</v>
      </c>
      <c r="F713" s="674"/>
      <c r="G713" s="24">
        <f t="shared" si="125"/>
        <v>1</v>
      </c>
      <c r="H713" s="674"/>
      <c r="I713" s="24">
        <f t="shared" si="126"/>
        <v>1</v>
      </c>
      <c r="J713" s="674"/>
      <c r="K713" s="24">
        <f t="shared" si="127"/>
        <v>1</v>
      </c>
      <c r="L713" s="674"/>
      <c r="M713" s="24">
        <f t="shared" si="128"/>
        <v>1</v>
      </c>
      <c r="N713" s="674"/>
      <c r="O713" s="24">
        <f t="shared" si="129"/>
        <v>1</v>
      </c>
      <c r="P713" s="674"/>
      <c r="Q713" s="24">
        <f t="shared" si="130"/>
        <v>0</v>
      </c>
      <c r="R713" s="670">
        <f t="shared" si="131"/>
        <v>0</v>
      </c>
      <c r="S713" s="322">
        <f t="shared" si="132"/>
        <v>0</v>
      </c>
    </row>
    <row r="714" spans="1:19">
      <c r="A714" s="155"/>
      <c r="B714" s="57"/>
      <c r="C714" s="24">
        <f t="shared" si="123"/>
        <v>1</v>
      </c>
      <c r="D714" s="3053"/>
      <c r="E714" s="24">
        <f t="shared" si="124"/>
        <v>1</v>
      </c>
      <c r="F714" s="674"/>
      <c r="G714" s="24">
        <f t="shared" si="125"/>
        <v>1</v>
      </c>
      <c r="H714" s="674"/>
      <c r="I714" s="24">
        <f t="shared" si="126"/>
        <v>1</v>
      </c>
      <c r="J714" s="674"/>
      <c r="K714" s="24">
        <f t="shared" si="127"/>
        <v>1</v>
      </c>
      <c r="L714" s="674"/>
      <c r="M714" s="24">
        <f t="shared" si="128"/>
        <v>1</v>
      </c>
      <c r="N714" s="674"/>
      <c r="O714" s="24">
        <f t="shared" si="129"/>
        <v>1</v>
      </c>
      <c r="P714" s="674"/>
      <c r="Q714" s="24">
        <f t="shared" si="130"/>
        <v>0</v>
      </c>
      <c r="R714" s="670">
        <f t="shared" si="131"/>
        <v>0</v>
      </c>
      <c r="S714" s="322">
        <f t="shared" si="132"/>
        <v>0</v>
      </c>
    </row>
    <row r="715" spans="1:19">
      <c r="A715" s="155"/>
      <c r="B715" s="57"/>
      <c r="C715" s="24">
        <f t="shared" si="123"/>
        <v>1</v>
      </c>
      <c r="D715" s="3053"/>
      <c r="E715" s="24">
        <f t="shared" si="124"/>
        <v>1</v>
      </c>
      <c r="F715" s="674"/>
      <c r="G715" s="24">
        <f t="shared" si="125"/>
        <v>1</v>
      </c>
      <c r="H715" s="674"/>
      <c r="I715" s="24">
        <f t="shared" si="126"/>
        <v>1</v>
      </c>
      <c r="J715" s="674"/>
      <c r="K715" s="24">
        <f t="shared" si="127"/>
        <v>1</v>
      </c>
      <c r="L715" s="674"/>
      <c r="M715" s="24">
        <f t="shared" si="128"/>
        <v>1</v>
      </c>
      <c r="N715" s="674"/>
      <c r="O715" s="24">
        <f t="shared" si="129"/>
        <v>1</v>
      </c>
      <c r="P715" s="674"/>
      <c r="Q715" s="24">
        <f t="shared" si="130"/>
        <v>0</v>
      </c>
      <c r="R715" s="670">
        <f t="shared" si="131"/>
        <v>0</v>
      </c>
      <c r="S715" s="322">
        <f t="shared" si="132"/>
        <v>0</v>
      </c>
    </row>
    <row r="716" spans="1:19">
      <c r="A716" s="155"/>
      <c r="B716" s="57"/>
      <c r="C716" s="24">
        <f t="shared" si="123"/>
        <v>1</v>
      </c>
      <c r="D716" s="3053"/>
      <c r="E716" s="24">
        <f t="shared" si="124"/>
        <v>1</v>
      </c>
      <c r="F716" s="674"/>
      <c r="G716" s="24">
        <f t="shared" si="125"/>
        <v>1</v>
      </c>
      <c r="H716" s="674"/>
      <c r="I716" s="24">
        <f t="shared" si="126"/>
        <v>1</v>
      </c>
      <c r="J716" s="674"/>
      <c r="K716" s="24">
        <f t="shared" si="127"/>
        <v>1</v>
      </c>
      <c r="L716" s="674"/>
      <c r="M716" s="24">
        <f t="shared" si="128"/>
        <v>1</v>
      </c>
      <c r="N716" s="674"/>
      <c r="O716" s="24">
        <f t="shared" si="129"/>
        <v>1</v>
      </c>
      <c r="P716" s="674"/>
      <c r="Q716" s="24">
        <f t="shared" si="130"/>
        <v>0</v>
      </c>
      <c r="R716" s="670">
        <f t="shared" si="131"/>
        <v>0</v>
      </c>
      <c r="S716" s="322">
        <f t="shared" si="132"/>
        <v>0</v>
      </c>
    </row>
    <row r="717" spans="1:19">
      <c r="A717" s="155"/>
      <c r="B717" s="57"/>
      <c r="C717" s="24">
        <f t="shared" si="123"/>
        <v>1</v>
      </c>
      <c r="D717" s="3053"/>
      <c r="E717" s="24">
        <f t="shared" si="124"/>
        <v>1</v>
      </c>
      <c r="F717" s="674"/>
      <c r="G717" s="24">
        <f t="shared" si="125"/>
        <v>1</v>
      </c>
      <c r="H717" s="674"/>
      <c r="I717" s="24">
        <f t="shared" si="126"/>
        <v>1</v>
      </c>
      <c r="J717" s="674"/>
      <c r="K717" s="24">
        <f t="shared" si="127"/>
        <v>1</v>
      </c>
      <c r="L717" s="674"/>
      <c r="M717" s="24">
        <f t="shared" si="128"/>
        <v>1</v>
      </c>
      <c r="N717" s="674"/>
      <c r="O717" s="24">
        <f t="shared" si="129"/>
        <v>1</v>
      </c>
      <c r="P717" s="674"/>
      <c r="Q717" s="24">
        <f t="shared" si="130"/>
        <v>0</v>
      </c>
      <c r="R717" s="670">
        <f t="shared" si="131"/>
        <v>0</v>
      </c>
      <c r="S717" s="322">
        <f t="shared" si="132"/>
        <v>0</v>
      </c>
    </row>
    <row r="718" spans="1:19">
      <c r="A718" s="155"/>
      <c r="B718" s="57"/>
      <c r="C718" s="24">
        <f t="shared" ref="C718:C781" si="133">IF(B718="",1,(LOOKUP(B718,$3:$3,$4:$4)-LOOKUP($B$24,$3:$3,$4:$4)+100)/100)</f>
        <v>1</v>
      </c>
      <c r="D718" s="3053"/>
      <c r="E718" s="24">
        <f t="shared" ref="E718:E781" si="134">(SUMIF($5:$5,D718,$6:$6)-SUMIF($5:$5,$D$24,$6:$6)+100)/100</f>
        <v>1</v>
      </c>
      <c r="F718" s="674"/>
      <c r="G718" s="24">
        <f t="shared" ref="G718:G781" si="135">(SUMIF($7:$7,F718,$8:$8)-SUMIF($7:$7,$F$24,$8:$8)+100)/100</f>
        <v>1</v>
      </c>
      <c r="H718" s="674"/>
      <c r="I718" s="24">
        <f t="shared" ref="I718:I781" si="136">(SUMIF($9:$9,H718,$10:$10)-SUMIF($9:$9,$H$24,$10:$10)+100)/100</f>
        <v>1</v>
      </c>
      <c r="J718" s="674"/>
      <c r="K718" s="24">
        <f t="shared" ref="K718:K781" si="137">(SUMIF($11:$11,J718,$12:$12)-SUMIF($11:$11,$J$24,$12:$12)+100)/100</f>
        <v>1</v>
      </c>
      <c r="L718" s="674"/>
      <c r="M718" s="24">
        <f t="shared" ref="M718:M781" si="138">(SUMIF($13:$13,L718,$14:$14)-SUMIF($13:$13,$L$24,$14:$14)+100)/100</f>
        <v>1</v>
      </c>
      <c r="N718" s="674"/>
      <c r="O718" s="24">
        <f t="shared" ref="O718:O781" si="139">(SUMIF($15:$15,N718,$16:$16)-SUMIF($15:$15,$N$24,$16:$16)+100)/100</f>
        <v>1</v>
      </c>
      <c r="P718" s="674"/>
      <c r="Q718" s="24">
        <f t="shared" ref="Q718:Q781" si="140">(SUMIF($17:$17,P718,$18:$18)-SUMIF($17:$17,$P$24,$18:$18)+100)/100</f>
        <v>0</v>
      </c>
      <c r="R718" s="670">
        <f t="shared" ref="R718:R781" si="141">IF(B718="",0,ROUND($R$24*C718*E718*G718*I718*K718*M718*O718*Q718,0))</f>
        <v>0</v>
      </c>
      <c r="S718" s="322">
        <f t="shared" ref="S718:S781" si="142">ROUND(R718*B718/10000,0)</f>
        <v>0</v>
      </c>
    </row>
    <row r="719" spans="1:19">
      <c r="A719" s="155"/>
      <c r="B719" s="57"/>
      <c r="C719" s="24">
        <f t="shared" si="133"/>
        <v>1</v>
      </c>
      <c r="D719" s="3053"/>
      <c r="E719" s="24">
        <f t="shared" si="134"/>
        <v>1</v>
      </c>
      <c r="F719" s="674"/>
      <c r="G719" s="24">
        <f t="shared" si="135"/>
        <v>1</v>
      </c>
      <c r="H719" s="674"/>
      <c r="I719" s="24">
        <f t="shared" si="136"/>
        <v>1</v>
      </c>
      <c r="J719" s="674"/>
      <c r="K719" s="24">
        <f t="shared" si="137"/>
        <v>1</v>
      </c>
      <c r="L719" s="674"/>
      <c r="M719" s="24">
        <f t="shared" si="138"/>
        <v>1</v>
      </c>
      <c r="N719" s="674"/>
      <c r="O719" s="24">
        <f t="shared" si="139"/>
        <v>1</v>
      </c>
      <c r="P719" s="674"/>
      <c r="Q719" s="24">
        <f t="shared" si="140"/>
        <v>0</v>
      </c>
      <c r="R719" s="670">
        <f t="shared" si="141"/>
        <v>0</v>
      </c>
      <c r="S719" s="322">
        <f t="shared" si="142"/>
        <v>0</v>
      </c>
    </row>
    <row r="720" spans="1:19">
      <c r="A720" s="155"/>
      <c r="B720" s="57"/>
      <c r="C720" s="24">
        <f t="shared" si="133"/>
        <v>1</v>
      </c>
      <c r="D720" s="674"/>
      <c r="E720" s="24">
        <f t="shared" si="134"/>
        <v>1</v>
      </c>
      <c r="F720" s="674"/>
      <c r="G720" s="24">
        <f t="shared" si="135"/>
        <v>1</v>
      </c>
      <c r="H720" s="674"/>
      <c r="I720" s="24">
        <f t="shared" si="136"/>
        <v>1</v>
      </c>
      <c r="J720" s="674"/>
      <c r="K720" s="24">
        <f t="shared" si="137"/>
        <v>1</v>
      </c>
      <c r="L720" s="674"/>
      <c r="M720" s="24">
        <f t="shared" si="138"/>
        <v>1</v>
      </c>
      <c r="N720" s="674"/>
      <c r="O720" s="24">
        <f t="shared" si="139"/>
        <v>1</v>
      </c>
      <c r="P720" s="674"/>
      <c r="Q720" s="24">
        <f t="shared" si="140"/>
        <v>0</v>
      </c>
      <c r="R720" s="670">
        <f t="shared" si="141"/>
        <v>0</v>
      </c>
      <c r="S720" s="322">
        <f t="shared" si="142"/>
        <v>0</v>
      </c>
    </row>
    <row r="721" spans="1:19">
      <c r="A721" s="155"/>
      <c r="B721" s="57"/>
      <c r="C721" s="24">
        <f t="shared" si="133"/>
        <v>1</v>
      </c>
      <c r="D721" s="674"/>
      <c r="E721" s="24">
        <f t="shared" si="134"/>
        <v>1</v>
      </c>
      <c r="F721" s="674"/>
      <c r="G721" s="24">
        <f t="shared" si="135"/>
        <v>1</v>
      </c>
      <c r="H721" s="674"/>
      <c r="I721" s="24">
        <f t="shared" si="136"/>
        <v>1</v>
      </c>
      <c r="J721" s="674"/>
      <c r="K721" s="24">
        <f t="shared" si="137"/>
        <v>1</v>
      </c>
      <c r="L721" s="674"/>
      <c r="M721" s="24">
        <f t="shared" si="138"/>
        <v>1</v>
      </c>
      <c r="N721" s="674"/>
      <c r="O721" s="24">
        <f t="shared" si="139"/>
        <v>1</v>
      </c>
      <c r="P721" s="674"/>
      <c r="Q721" s="24">
        <f t="shared" si="140"/>
        <v>0</v>
      </c>
      <c r="R721" s="670">
        <f t="shared" si="141"/>
        <v>0</v>
      </c>
      <c r="S721" s="322">
        <f t="shared" si="142"/>
        <v>0</v>
      </c>
    </row>
    <row r="722" spans="1:19">
      <c r="A722" s="155"/>
      <c r="B722" s="57"/>
      <c r="C722" s="24">
        <f t="shared" si="133"/>
        <v>1</v>
      </c>
      <c r="D722" s="674"/>
      <c r="E722" s="24">
        <f t="shared" si="134"/>
        <v>1</v>
      </c>
      <c r="F722" s="674"/>
      <c r="G722" s="24">
        <f t="shared" si="135"/>
        <v>1</v>
      </c>
      <c r="H722" s="674"/>
      <c r="I722" s="24">
        <f t="shared" si="136"/>
        <v>1</v>
      </c>
      <c r="J722" s="674"/>
      <c r="K722" s="24">
        <f t="shared" si="137"/>
        <v>1</v>
      </c>
      <c r="L722" s="674"/>
      <c r="M722" s="24">
        <f t="shared" si="138"/>
        <v>1</v>
      </c>
      <c r="N722" s="674"/>
      <c r="O722" s="24">
        <f t="shared" si="139"/>
        <v>1</v>
      </c>
      <c r="P722" s="674"/>
      <c r="Q722" s="24">
        <f t="shared" si="140"/>
        <v>0</v>
      </c>
      <c r="R722" s="670">
        <f t="shared" si="141"/>
        <v>0</v>
      </c>
      <c r="S722" s="322">
        <f t="shared" si="142"/>
        <v>0</v>
      </c>
    </row>
    <row r="723" spans="1:19">
      <c r="A723" s="155"/>
      <c r="B723" s="57"/>
      <c r="C723" s="24">
        <f t="shared" si="133"/>
        <v>1</v>
      </c>
      <c r="D723" s="674"/>
      <c r="E723" s="24">
        <f t="shared" si="134"/>
        <v>1</v>
      </c>
      <c r="F723" s="674"/>
      <c r="G723" s="24">
        <f t="shared" si="135"/>
        <v>1</v>
      </c>
      <c r="H723" s="674"/>
      <c r="I723" s="24">
        <f t="shared" si="136"/>
        <v>1</v>
      </c>
      <c r="J723" s="674"/>
      <c r="K723" s="24">
        <f t="shared" si="137"/>
        <v>1</v>
      </c>
      <c r="L723" s="674"/>
      <c r="M723" s="24">
        <f t="shared" si="138"/>
        <v>1</v>
      </c>
      <c r="N723" s="674"/>
      <c r="O723" s="24">
        <f t="shared" si="139"/>
        <v>1</v>
      </c>
      <c r="P723" s="674"/>
      <c r="Q723" s="24">
        <f t="shared" si="140"/>
        <v>0</v>
      </c>
      <c r="R723" s="670">
        <f t="shared" si="141"/>
        <v>0</v>
      </c>
      <c r="S723" s="322">
        <f t="shared" si="142"/>
        <v>0</v>
      </c>
    </row>
    <row r="724" spans="1:19">
      <c r="A724" s="155"/>
      <c r="B724" s="57"/>
      <c r="C724" s="24">
        <f t="shared" si="133"/>
        <v>1</v>
      </c>
      <c r="D724" s="3053"/>
      <c r="E724" s="24">
        <f t="shared" si="134"/>
        <v>1</v>
      </c>
      <c r="F724" s="674"/>
      <c r="G724" s="24">
        <f t="shared" si="135"/>
        <v>1</v>
      </c>
      <c r="H724" s="674"/>
      <c r="I724" s="24">
        <f t="shared" si="136"/>
        <v>1</v>
      </c>
      <c r="J724" s="674"/>
      <c r="K724" s="24">
        <f t="shared" si="137"/>
        <v>1</v>
      </c>
      <c r="L724" s="674"/>
      <c r="M724" s="24">
        <f t="shared" si="138"/>
        <v>1</v>
      </c>
      <c r="N724" s="674"/>
      <c r="O724" s="24">
        <f t="shared" si="139"/>
        <v>1</v>
      </c>
      <c r="P724" s="674"/>
      <c r="Q724" s="24">
        <f t="shared" si="140"/>
        <v>0</v>
      </c>
      <c r="R724" s="670">
        <f t="shared" si="141"/>
        <v>0</v>
      </c>
      <c r="S724" s="322">
        <f t="shared" si="142"/>
        <v>0</v>
      </c>
    </row>
    <row r="725" spans="1:19">
      <c r="A725" s="155"/>
      <c r="B725" s="57"/>
      <c r="C725" s="24">
        <f t="shared" si="133"/>
        <v>1</v>
      </c>
      <c r="D725" s="3053"/>
      <c r="E725" s="24">
        <f t="shared" si="134"/>
        <v>1</v>
      </c>
      <c r="F725" s="674"/>
      <c r="G725" s="24">
        <f t="shared" si="135"/>
        <v>1</v>
      </c>
      <c r="H725" s="674"/>
      <c r="I725" s="24">
        <f t="shared" si="136"/>
        <v>1</v>
      </c>
      <c r="J725" s="674"/>
      <c r="K725" s="24">
        <f t="shared" si="137"/>
        <v>1</v>
      </c>
      <c r="L725" s="674"/>
      <c r="M725" s="24">
        <f t="shared" si="138"/>
        <v>1</v>
      </c>
      <c r="N725" s="674"/>
      <c r="O725" s="24">
        <f t="shared" si="139"/>
        <v>1</v>
      </c>
      <c r="P725" s="674"/>
      <c r="Q725" s="24">
        <f t="shared" si="140"/>
        <v>0</v>
      </c>
      <c r="R725" s="670">
        <f t="shared" si="141"/>
        <v>0</v>
      </c>
      <c r="S725" s="322">
        <f t="shared" si="142"/>
        <v>0</v>
      </c>
    </row>
    <row r="726" spans="1:19">
      <c r="A726" s="155"/>
      <c r="B726" s="57"/>
      <c r="C726" s="24">
        <f t="shared" si="133"/>
        <v>1</v>
      </c>
      <c r="D726" s="3053"/>
      <c r="E726" s="24">
        <f t="shared" si="134"/>
        <v>1</v>
      </c>
      <c r="F726" s="674"/>
      <c r="G726" s="24">
        <f t="shared" si="135"/>
        <v>1</v>
      </c>
      <c r="H726" s="674"/>
      <c r="I726" s="24">
        <f t="shared" si="136"/>
        <v>1</v>
      </c>
      <c r="J726" s="674"/>
      <c r="K726" s="24">
        <f t="shared" si="137"/>
        <v>1</v>
      </c>
      <c r="L726" s="674"/>
      <c r="M726" s="24">
        <f t="shared" si="138"/>
        <v>1</v>
      </c>
      <c r="N726" s="674"/>
      <c r="O726" s="24">
        <f t="shared" si="139"/>
        <v>1</v>
      </c>
      <c r="P726" s="674"/>
      <c r="Q726" s="24">
        <f t="shared" si="140"/>
        <v>0</v>
      </c>
      <c r="R726" s="670">
        <f t="shared" si="141"/>
        <v>0</v>
      </c>
      <c r="S726" s="322">
        <f t="shared" si="142"/>
        <v>0</v>
      </c>
    </row>
    <row r="727" spans="1:19">
      <c r="A727" s="155"/>
      <c r="B727" s="57"/>
      <c r="C727" s="24">
        <f t="shared" si="133"/>
        <v>1</v>
      </c>
      <c r="D727" s="3053"/>
      <c r="E727" s="24">
        <f t="shared" si="134"/>
        <v>1</v>
      </c>
      <c r="F727" s="674"/>
      <c r="G727" s="24">
        <f t="shared" si="135"/>
        <v>1</v>
      </c>
      <c r="H727" s="674"/>
      <c r="I727" s="24">
        <f t="shared" si="136"/>
        <v>1</v>
      </c>
      <c r="J727" s="674"/>
      <c r="K727" s="24">
        <f t="shared" si="137"/>
        <v>1</v>
      </c>
      <c r="L727" s="674"/>
      <c r="M727" s="24">
        <f t="shared" si="138"/>
        <v>1</v>
      </c>
      <c r="N727" s="674"/>
      <c r="O727" s="24">
        <f t="shared" si="139"/>
        <v>1</v>
      </c>
      <c r="P727" s="674"/>
      <c r="Q727" s="24">
        <f t="shared" si="140"/>
        <v>0</v>
      </c>
      <c r="R727" s="670">
        <f t="shared" si="141"/>
        <v>0</v>
      </c>
      <c r="S727" s="322">
        <f t="shared" si="142"/>
        <v>0</v>
      </c>
    </row>
    <row r="728" spans="1:19">
      <c r="A728" s="155"/>
      <c r="B728" s="57"/>
      <c r="C728" s="24">
        <f t="shared" si="133"/>
        <v>1</v>
      </c>
      <c r="D728" s="3053"/>
      <c r="E728" s="24">
        <f t="shared" si="134"/>
        <v>1</v>
      </c>
      <c r="F728" s="674"/>
      <c r="G728" s="24">
        <f t="shared" si="135"/>
        <v>1</v>
      </c>
      <c r="H728" s="674"/>
      <c r="I728" s="24">
        <f t="shared" si="136"/>
        <v>1</v>
      </c>
      <c r="J728" s="674"/>
      <c r="K728" s="24">
        <f t="shared" si="137"/>
        <v>1</v>
      </c>
      <c r="L728" s="674"/>
      <c r="M728" s="24">
        <f t="shared" si="138"/>
        <v>1</v>
      </c>
      <c r="N728" s="674"/>
      <c r="O728" s="24">
        <f t="shared" si="139"/>
        <v>1</v>
      </c>
      <c r="P728" s="674"/>
      <c r="Q728" s="24">
        <f t="shared" si="140"/>
        <v>0</v>
      </c>
      <c r="R728" s="670">
        <f t="shared" si="141"/>
        <v>0</v>
      </c>
      <c r="S728" s="322">
        <f t="shared" si="142"/>
        <v>0</v>
      </c>
    </row>
    <row r="729" spans="1:19">
      <c r="A729" s="155"/>
      <c r="B729" s="57"/>
      <c r="C729" s="24">
        <f t="shared" si="133"/>
        <v>1</v>
      </c>
      <c r="D729" s="3053"/>
      <c r="E729" s="24">
        <f t="shared" si="134"/>
        <v>1</v>
      </c>
      <c r="F729" s="674"/>
      <c r="G729" s="24">
        <f t="shared" si="135"/>
        <v>1</v>
      </c>
      <c r="H729" s="674"/>
      <c r="I729" s="24">
        <f t="shared" si="136"/>
        <v>1</v>
      </c>
      <c r="J729" s="674"/>
      <c r="K729" s="24">
        <f t="shared" si="137"/>
        <v>1</v>
      </c>
      <c r="L729" s="674"/>
      <c r="M729" s="24">
        <f t="shared" si="138"/>
        <v>1</v>
      </c>
      <c r="N729" s="674"/>
      <c r="O729" s="24">
        <f t="shared" si="139"/>
        <v>1</v>
      </c>
      <c r="P729" s="674"/>
      <c r="Q729" s="24">
        <f t="shared" si="140"/>
        <v>0</v>
      </c>
      <c r="R729" s="670">
        <f t="shared" si="141"/>
        <v>0</v>
      </c>
      <c r="S729" s="322">
        <f t="shared" si="142"/>
        <v>0</v>
      </c>
    </row>
    <row r="730" spans="1:19">
      <c r="A730" s="155"/>
      <c r="B730" s="57"/>
      <c r="C730" s="24">
        <f t="shared" si="133"/>
        <v>1</v>
      </c>
      <c r="D730" s="3053"/>
      <c r="E730" s="24">
        <f t="shared" si="134"/>
        <v>1</v>
      </c>
      <c r="F730" s="674"/>
      <c r="G730" s="24">
        <f t="shared" si="135"/>
        <v>1</v>
      </c>
      <c r="H730" s="674"/>
      <c r="I730" s="24">
        <f t="shared" si="136"/>
        <v>1</v>
      </c>
      <c r="J730" s="674"/>
      <c r="K730" s="24">
        <f t="shared" si="137"/>
        <v>1</v>
      </c>
      <c r="L730" s="674"/>
      <c r="M730" s="24">
        <f t="shared" si="138"/>
        <v>1</v>
      </c>
      <c r="N730" s="674"/>
      <c r="O730" s="24">
        <f t="shared" si="139"/>
        <v>1</v>
      </c>
      <c r="P730" s="674"/>
      <c r="Q730" s="24">
        <f t="shared" si="140"/>
        <v>0</v>
      </c>
      <c r="R730" s="670">
        <f t="shared" si="141"/>
        <v>0</v>
      </c>
      <c r="S730" s="322">
        <f t="shared" si="142"/>
        <v>0</v>
      </c>
    </row>
    <row r="731" spans="1:19">
      <c r="A731" s="155"/>
      <c r="B731" s="57"/>
      <c r="C731" s="24">
        <f t="shared" si="133"/>
        <v>1</v>
      </c>
      <c r="D731" s="674"/>
      <c r="E731" s="24">
        <f t="shared" si="134"/>
        <v>1</v>
      </c>
      <c r="F731" s="674"/>
      <c r="G731" s="24">
        <f t="shared" si="135"/>
        <v>1</v>
      </c>
      <c r="H731" s="674"/>
      <c r="I731" s="24">
        <f t="shared" si="136"/>
        <v>1</v>
      </c>
      <c r="J731" s="674"/>
      <c r="K731" s="24">
        <f t="shared" si="137"/>
        <v>1</v>
      </c>
      <c r="L731" s="674"/>
      <c r="M731" s="24">
        <f t="shared" si="138"/>
        <v>1</v>
      </c>
      <c r="N731" s="674"/>
      <c r="O731" s="24">
        <f t="shared" si="139"/>
        <v>1</v>
      </c>
      <c r="P731" s="674"/>
      <c r="Q731" s="24">
        <f t="shared" si="140"/>
        <v>0</v>
      </c>
      <c r="R731" s="670">
        <f t="shared" si="141"/>
        <v>0</v>
      </c>
      <c r="S731" s="322">
        <f t="shared" si="142"/>
        <v>0</v>
      </c>
    </row>
    <row r="732" spans="1:19">
      <c r="A732" s="155"/>
      <c r="B732" s="57"/>
      <c r="C732" s="24">
        <f t="shared" si="133"/>
        <v>1</v>
      </c>
      <c r="D732" s="674"/>
      <c r="E732" s="24">
        <f t="shared" si="134"/>
        <v>1</v>
      </c>
      <c r="F732" s="674"/>
      <c r="G732" s="24">
        <f t="shared" si="135"/>
        <v>1</v>
      </c>
      <c r="H732" s="674"/>
      <c r="I732" s="24">
        <f t="shared" si="136"/>
        <v>1</v>
      </c>
      <c r="J732" s="674"/>
      <c r="K732" s="24">
        <f t="shared" si="137"/>
        <v>1</v>
      </c>
      <c r="L732" s="674"/>
      <c r="M732" s="24">
        <f t="shared" si="138"/>
        <v>1</v>
      </c>
      <c r="N732" s="674"/>
      <c r="O732" s="24">
        <f t="shared" si="139"/>
        <v>1</v>
      </c>
      <c r="P732" s="674"/>
      <c r="Q732" s="24">
        <f t="shared" si="140"/>
        <v>0</v>
      </c>
      <c r="R732" s="670">
        <f t="shared" si="141"/>
        <v>0</v>
      </c>
      <c r="S732" s="322">
        <f t="shared" si="142"/>
        <v>0</v>
      </c>
    </row>
    <row r="733" spans="1:19">
      <c r="A733" s="155"/>
      <c r="B733" s="57"/>
      <c r="C733" s="24">
        <f t="shared" si="133"/>
        <v>1</v>
      </c>
      <c r="D733" s="674"/>
      <c r="E733" s="24">
        <f t="shared" si="134"/>
        <v>1</v>
      </c>
      <c r="F733" s="674"/>
      <c r="G733" s="24">
        <f t="shared" si="135"/>
        <v>1</v>
      </c>
      <c r="H733" s="674"/>
      <c r="I733" s="24">
        <f t="shared" si="136"/>
        <v>1</v>
      </c>
      <c r="J733" s="674"/>
      <c r="K733" s="24">
        <f t="shared" si="137"/>
        <v>1</v>
      </c>
      <c r="L733" s="674"/>
      <c r="M733" s="24">
        <f t="shared" si="138"/>
        <v>1</v>
      </c>
      <c r="N733" s="674"/>
      <c r="O733" s="24">
        <f t="shared" si="139"/>
        <v>1</v>
      </c>
      <c r="P733" s="674"/>
      <c r="Q733" s="24">
        <f t="shared" si="140"/>
        <v>0</v>
      </c>
      <c r="R733" s="670">
        <f t="shared" si="141"/>
        <v>0</v>
      </c>
      <c r="S733" s="322">
        <f t="shared" si="142"/>
        <v>0</v>
      </c>
    </row>
    <row r="734" spans="1:19">
      <c r="A734" s="155"/>
      <c r="B734" s="57"/>
      <c r="C734" s="24">
        <f t="shared" si="133"/>
        <v>1</v>
      </c>
      <c r="D734" s="674"/>
      <c r="E734" s="24">
        <f t="shared" si="134"/>
        <v>1</v>
      </c>
      <c r="F734" s="674"/>
      <c r="G734" s="24">
        <f t="shared" si="135"/>
        <v>1</v>
      </c>
      <c r="H734" s="674"/>
      <c r="I734" s="24">
        <f t="shared" si="136"/>
        <v>1</v>
      </c>
      <c r="J734" s="674"/>
      <c r="K734" s="24">
        <f t="shared" si="137"/>
        <v>1</v>
      </c>
      <c r="L734" s="674"/>
      <c r="M734" s="24">
        <f t="shared" si="138"/>
        <v>1</v>
      </c>
      <c r="N734" s="674"/>
      <c r="O734" s="24">
        <f t="shared" si="139"/>
        <v>1</v>
      </c>
      <c r="P734" s="674"/>
      <c r="Q734" s="24">
        <f t="shared" si="140"/>
        <v>0</v>
      </c>
      <c r="R734" s="670">
        <f t="shared" si="141"/>
        <v>0</v>
      </c>
      <c r="S734" s="322">
        <f t="shared" si="142"/>
        <v>0</v>
      </c>
    </row>
    <row r="735" spans="1:19">
      <c r="A735" s="155"/>
      <c r="B735" s="57"/>
      <c r="C735" s="24">
        <f t="shared" si="133"/>
        <v>1</v>
      </c>
      <c r="D735" s="674"/>
      <c r="E735" s="24">
        <f t="shared" si="134"/>
        <v>1</v>
      </c>
      <c r="F735" s="674"/>
      <c r="G735" s="24">
        <f t="shared" si="135"/>
        <v>1</v>
      </c>
      <c r="H735" s="674"/>
      <c r="I735" s="24">
        <f t="shared" si="136"/>
        <v>1</v>
      </c>
      <c r="J735" s="674"/>
      <c r="K735" s="24">
        <f t="shared" si="137"/>
        <v>1</v>
      </c>
      <c r="L735" s="674"/>
      <c r="M735" s="24">
        <f t="shared" si="138"/>
        <v>1</v>
      </c>
      <c r="N735" s="674"/>
      <c r="O735" s="24">
        <f t="shared" si="139"/>
        <v>1</v>
      </c>
      <c r="P735" s="674"/>
      <c r="Q735" s="24">
        <f t="shared" si="140"/>
        <v>0</v>
      </c>
      <c r="R735" s="670">
        <f t="shared" si="141"/>
        <v>0</v>
      </c>
      <c r="S735" s="322">
        <f t="shared" si="142"/>
        <v>0</v>
      </c>
    </row>
    <row r="736" spans="1:19">
      <c r="A736" s="155"/>
      <c r="B736" s="57"/>
      <c r="C736" s="24">
        <f t="shared" si="133"/>
        <v>1</v>
      </c>
      <c r="D736" s="674"/>
      <c r="E736" s="24">
        <f t="shared" si="134"/>
        <v>1</v>
      </c>
      <c r="F736" s="674"/>
      <c r="G736" s="24">
        <f t="shared" si="135"/>
        <v>1</v>
      </c>
      <c r="H736" s="674"/>
      <c r="I736" s="24">
        <f t="shared" si="136"/>
        <v>1</v>
      </c>
      <c r="J736" s="674"/>
      <c r="K736" s="24">
        <f t="shared" si="137"/>
        <v>1</v>
      </c>
      <c r="L736" s="674"/>
      <c r="M736" s="24">
        <f t="shared" si="138"/>
        <v>1</v>
      </c>
      <c r="N736" s="674"/>
      <c r="O736" s="24">
        <f t="shared" si="139"/>
        <v>1</v>
      </c>
      <c r="P736" s="674"/>
      <c r="Q736" s="24">
        <f t="shared" si="140"/>
        <v>0</v>
      </c>
      <c r="R736" s="670">
        <f t="shared" si="141"/>
        <v>0</v>
      </c>
      <c r="S736" s="322">
        <f t="shared" si="142"/>
        <v>0</v>
      </c>
    </row>
    <row r="737" spans="1:19">
      <c r="A737" s="155"/>
      <c r="B737" s="57"/>
      <c r="C737" s="24">
        <f t="shared" si="133"/>
        <v>1</v>
      </c>
      <c r="D737" s="3053"/>
      <c r="E737" s="24">
        <f t="shared" si="134"/>
        <v>1</v>
      </c>
      <c r="F737" s="674"/>
      <c r="G737" s="24">
        <f t="shared" si="135"/>
        <v>1</v>
      </c>
      <c r="H737" s="674"/>
      <c r="I737" s="24">
        <f t="shared" si="136"/>
        <v>1</v>
      </c>
      <c r="J737" s="674"/>
      <c r="K737" s="24">
        <f t="shared" si="137"/>
        <v>1</v>
      </c>
      <c r="L737" s="674"/>
      <c r="M737" s="24">
        <f t="shared" si="138"/>
        <v>1</v>
      </c>
      <c r="N737" s="674"/>
      <c r="O737" s="24">
        <f t="shared" si="139"/>
        <v>1</v>
      </c>
      <c r="P737" s="674"/>
      <c r="Q737" s="24">
        <f t="shared" si="140"/>
        <v>0</v>
      </c>
      <c r="R737" s="670">
        <f t="shared" si="141"/>
        <v>0</v>
      </c>
      <c r="S737" s="322">
        <f t="shared" si="142"/>
        <v>0</v>
      </c>
    </row>
    <row r="738" spans="1:19">
      <c r="A738" s="155"/>
      <c r="B738" s="57"/>
      <c r="C738" s="24">
        <f t="shared" si="133"/>
        <v>1</v>
      </c>
      <c r="D738" s="3053"/>
      <c r="E738" s="24">
        <f t="shared" si="134"/>
        <v>1</v>
      </c>
      <c r="F738" s="674"/>
      <c r="G738" s="24">
        <f t="shared" si="135"/>
        <v>1</v>
      </c>
      <c r="H738" s="674"/>
      <c r="I738" s="24">
        <f t="shared" si="136"/>
        <v>1</v>
      </c>
      <c r="J738" s="674"/>
      <c r="K738" s="24">
        <f t="shared" si="137"/>
        <v>1</v>
      </c>
      <c r="L738" s="674"/>
      <c r="M738" s="24">
        <f t="shared" si="138"/>
        <v>1</v>
      </c>
      <c r="N738" s="674"/>
      <c r="O738" s="24">
        <f t="shared" si="139"/>
        <v>1</v>
      </c>
      <c r="P738" s="674"/>
      <c r="Q738" s="24">
        <f t="shared" si="140"/>
        <v>0</v>
      </c>
      <c r="R738" s="670">
        <f t="shared" si="141"/>
        <v>0</v>
      </c>
      <c r="S738" s="322">
        <f t="shared" si="142"/>
        <v>0</v>
      </c>
    </row>
    <row r="739" spans="1:19">
      <c r="A739" s="155"/>
      <c r="B739" s="57"/>
      <c r="C739" s="24">
        <f t="shared" si="133"/>
        <v>1</v>
      </c>
      <c r="D739" s="3053"/>
      <c r="E739" s="24">
        <f t="shared" si="134"/>
        <v>1</v>
      </c>
      <c r="F739" s="674"/>
      <c r="G739" s="24">
        <f t="shared" si="135"/>
        <v>1</v>
      </c>
      <c r="H739" s="674"/>
      <c r="I739" s="24">
        <f t="shared" si="136"/>
        <v>1</v>
      </c>
      <c r="J739" s="674"/>
      <c r="K739" s="24">
        <f t="shared" si="137"/>
        <v>1</v>
      </c>
      <c r="L739" s="674"/>
      <c r="M739" s="24">
        <f t="shared" si="138"/>
        <v>1</v>
      </c>
      <c r="N739" s="674"/>
      <c r="O739" s="24">
        <f t="shared" si="139"/>
        <v>1</v>
      </c>
      <c r="P739" s="674"/>
      <c r="Q739" s="24">
        <f t="shared" si="140"/>
        <v>0</v>
      </c>
      <c r="R739" s="670">
        <f t="shared" si="141"/>
        <v>0</v>
      </c>
      <c r="S739" s="322">
        <f t="shared" si="142"/>
        <v>0</v>
      </c>
    </row>
    <row r="740" spans="1:19">
      <c r="A740" s="155"/>
      <c r="B740" s="57"/>
      <c r="C740" s="24">
        <f t="shared" si="133"/>
        <v>1</v>
      </c>
      <c r="D740" s="3053"/>
      <c r="E740" s="24">
        <f t="shared" si="134"/>
        <v>1</v>
      </c>
      <c r="F740" s="674"/>
      <c r="G740" s="24">
        <f t="shared" si="135"/>
        <v>1</v>
      </c>
      <c r="H740" s="674"/>
      <c r="I740" s="24">
        <f t="shared" si="136"/>
        <v>1</v>
      </c>
      <c r="J740" s="674"/>
      <c r="K740" s="24">
        <f t="shared" si="137"/>
        <v>1</v>
      </c>
      <c r="L740" s="674"/>
      <c r="M740" s="24">
        <f t="shared" si="138"/>
        <v>1</v>
      </c>
      <c r="N740" s="674"/>
      <c r="O740" s="24">
        <f t="shared" si="139"/>
        <v>1</v>
      </c>
      <c r="P740" s="674"/>
      <c r="Q740" s="24">
        <f t="shared" si="140"/>
        <v>0</v>
      </c>
      <c r="R740" s="670">
        <f t="shared" si="141"/>
        <v>0</v>
      </c>
      <c r="S740" s="322">
        <f t="shared" si="142"/>
        <v>0</v>
      </c>
    </row>
    <row r="741" spans="1:19">
      <c r="A741" s="155"/>
      <c r="B741" s="57"/>
      <c r="C741" s="24">
        <f t="shared" si="133"/>
        <v>1</v>
      </c>
      <c r="D741" s="3053"/>
      <c r="E741" s="24">
        <f t="shared" si="134"/>
        <v>1</v>
      </c>
      <c r="F741" s="674"/>
      <c r="G741" s="24">
        <f t="shared" si="135"/>
        <v>1</v>
      </c>
      <c r="H741" s="674"/>
      <c r="I741" s="24">
        <f t="shared" si="136"/>
        <v>1</v>
      </c>
      <c r="J741" s="674"/>
      <c r="K741" s="24">
        <f t="shared" si="137"/>
        <v>1</v>
      </c>
      <c r="L741" s="674"/>
      <c r="M741" s="24">
        <f t="shared" si="138"/>
        <v>1</v>
      </c>
      <c r="N741" s="674"/>
      <c r="O741" s="24">
        <f t="shared" si="139"/>
        <v>1</v>
      </c>
      <c r="P741" s="674"/>
      <c r="Q741" s="24">
        <f t="shared" si="140"/>
        <v>0</v>
      </c>
      <c r="R741" s="670">
        <f t="shared" si="141"/>
        <v>0</v>
      </c>
      <c r="S741" s="322">
        <f t="shared" si="142"/>
        <v>0</v>
      </c>
    </row>
    <row r="742" spans="1:19">
      <c r="A742" s="155"/>
      <c r="B742" s="57"/>
      <c r="C742" s="24">
        <f t="shared" si="133"/>
        <v>1</v>
      </c>
      <c r="D742" s="3053"/>
      <c r="E742" s="24">
        <f t="shared" si="134"/>
        <v>1</v>
      </c>
      <c r="F742" s="674"/>
      <c r="G742" s="24">
        <f t="shared" si="135"/>
        <v>1</v>
      </c>
      <c r="H742" s="674"/>
      <c r="I742" s="24">
        <f t="shared" si="136"/>
        <v>1</v>
      </c>
      <c r="J742" s="674"/>
      <c r="K742" s="24">
        <f t="shared" si="137"/>
        <v>1</v>
      </c>
      <c r="L742" s="674"/>
      <c r="M742" s="24">
        <f t="shared" si="138"/>
        <v>1</v>
      </c>
      <c r="N742" s="674"/>
      <c r="O742" s="24">
        <f t="shared" si="139"/>
        <v>1</v>
      </c>
      <c r="P742" s="674"/>
      <c r="Q742" s="24">
        <f t="shared" si="140"/>
        <v>0</v>
      </c>
      <c r="R742" s="670">
        <f t="shared" si="141"/>
        <v>0</v>
      </c>
      <c r="S742" s="322">
        <f t="shared" si="142"/>
        <v>0</v>
      </c>
    </row>
    <row r="743" spans="1:19">
      <c r="A743" s="155"/>
      <c r="B743" s="57"/>
      <c r="C743" s="24">
        <f t="shared" si="133"/>
        <v>1</v>
      </c>
      <c r="D743" s="3053"/>
      <c r="E743" s="24">
        <f t="shared" si="134"/>
        <v>1</v>
      </c>
      <c r="F743" s="674"/>
      <c r="G743" s="24">
        <f t="shared" si="135"/>
        <v>1</v>
      </c>
      <c r="H743" s="674"/>
      <c r="I743" s="24">
        <f t="shared" si="136"/>
        <v>1</v>
      </c>
      <c r="J743" s="674"/>
      <c r="K743" s="24">
        <f t="shared" si="137"/>
        <v>1</v>
      </c>
      <c r="L743" s="674"/>
      <c r="M743" s="24">
        <f t="shared" si="138"/>
        <v>1</v>
      </c>
      <c r="N743" s="674"/>
      <c r="O743" s="24">
        <f t="shared" si="139"/>
        <v>1</v>
      </c>
      <c r="P743" s="674"/>
      <c r="Q743" s="24">
        <f t="shared" si="140"/>
        <v>0</v>
      </c>
      <c r="R743" s="670">
        <f t="shared" si="141"/>
        <v>0</v>
      </c>
      <c r="S743" s="322">
        <f t="shared" si="142"/>
        <v>0</v>
      </c>
    </row>
    <row r="744" spans="1:19">
      <c r="A744" s="155"/>
      <c r="B744" s="57"/>
      <c r="C744" s="24">
        <f t="shared" si="133"/>
        <v>1</v>
      </c>
      <c r="D744" s="3053"/>
      <c r="E744" s="24">
        <f t="shared" si="134"/>
        <v>1</v>
      </c>
      <c r="F744" s="674"/>
      <c r="G744" s="24">
        <f t="shared" si="135"/>
        <v>1</v>
      </c>
      <c r="H744" s="674"/>
      <c r="I744" s="24">
        <f t="shared" si="136"/>
        <v>1</v>
      </c>
      <c r="J744" s="674"/>
      <c r="K744" s="24">
        <f t="shared" si="137"/>
        <v>1</v>
      </c>
      <c r="L744" s="674"/>
      <c r="M744" s="24">
        <f t="shared" si="138"/>
        <v>1</v>
      </c>
      <c r="N744" s="674"/>
      <c r="O744" s="24">
        <f t="shared" si="139"/>
        <v>1</v>
      </c>
      <c r="P744" s="674"/>
      <c r="Q744" s="24">
        <f t="shared" si="140"/>
        <v>0</v>
      </c>
      <c r="R744" s="670">
        <f t="shared" si="141"/>
        <v>0</v>
      </c>
      <c r="S744" s="322">
        <f t="shared" si="142"/>
        <v>0</v>
      </c>
    </row>
    <row r="745" spans="1:19">
      <c r="A745" s="155"/>
      <c r="B745" s="57"/>
      <c r="C745" s="24">
        <f t="shared" si="133"/>
        <v>1</v>
      </c>
      <c r="D745" s="3053"/>
      <c r="E745" s="24">
        <f t="shared" si="134"/>
        <v>1</v>
      </c>
      <c r="F745" s="674"/>
      <c r="G745" s="24">
        <f t="shared" si="135"/>
        <v>1</v>
      </c>
      <c r="H745" s="674"/>
      <c r="I745" s="24">
        <f t="shared" si="136"/>
        <v>1</v>
      </c>
      <c r="J745" s="674"/>
      <c r="K745" s="24">
        <f t="shared" si="137"/>
        <v>1</v>
      </c>
      <c r="L745" s="674"/>
      <c r="M745" s="24">
        <f t="shared" si="138"/>
        <v>1</v>
      </c>
      <c r="N745" s="674"/>
      <c r="O745" s="24">
        <f t="shared" si="139"/>
        <v>1</v>
      </c>
      <c r="P745" s="674"/>
      <c r="Q745" s="24">
        <f t="shared" si="140"/>
        <v>0</v>
      </c>
      <c r="R745" s="670">
        <f t="shared" si="141"/>
        <v>0</v>
      </c>
      <c r="S745" s="322">
        <f t="shared" si="142"/>
        <v>0</v>
      </c>
    </row>
    <row r="746" spans="1:19">
      <c r="A746" s="155"/>
      <c r="B746" s="57"/>
      <c r="C746" s="24">
        <f t="shared" si="133"/>
        <v>1</v>
      </c>
      <c r="D746" s="3053"/>
      <c r="E746" s="24">
        <f t="shared" si="134"/>
        <v>1</v>
      </c>
      <c r="F746" s="674"/>
      <c r="G746" s="24">
        <f t="shared" si="135"/>
        <v>1</v>
      </c>
      <c r="H746" s="674"/>
      <c r="I746" s="24">
        <f t="shared" si="136"/>
        <v>1</v>
      </c>
      <c r="J746" s="674"/>
      <c r="K746" s="24">
        <f t="shared" si="137"/>
        <v>1</v>
      </c>
      <c r="L746" s="674"/>
      <c r="M746" s="24">
        <f t="shared" si="138"/>
        <v>1</v>
      </c>
      <c r="N746" s="674"/>
      <c r="O746" s="24">
        <f t="shared" si="139"/>
        <v>1</v>
      </c>
      <c r="P746" s="674"/>
      <c r="Q746" s="24">
        <f t="shared" si="140"/>
        <v>0</v>
      </c>
      <c r="R746" s="670">
        <f t="shared" si="141"/>
        <v>0</v>
      </c>
      <c r="S746" s="322">
        <f t="shared" si="142"/>
        <v>0</v>
      </c>
    </row>
    <row r="747" spans="1:19">
      <c r="A747" s="155"/>
      <c r="B747" s="57"/>
      <c r="C747" s="24">
        <f t="shared" si="133"/>
        <v>1</v>
      </c>
      <c r="D747" s="674"/>
      <c r="E747" s="24">
        <f t="shared" si="134"/>
        <v>1</v>
      </c>
      <c r="F747" s="674"/>
      <c r="G747" s="24">
        <f t="shared" si="135"/>
        <v>1</v>
      </c>
      <c r="H747" s="674"/>
      <c r="I747" s="24">
        <f t="shared" si="136"/>
        <v>1</v>
      </c>
      <c r="J747" s="674"/>
      <c r="K747" s="24">
        <f t="shared" si="137"/>
        <v>1</v>
      </c>
      <c r="L747" s="674"/>
      <c r="M747" s="24">
        <f t="shared" si="138"/>
        <v>1</v>
      </c>
      <c r="N747" s="674"/>
      <c r="O747" s="24">
        <f t="shared" si="139"/>
        <v>1</v>
      </c>
      <c r="P747" s="674"/>
      <c r="Q747" s="24">
        <f t="shared" si="140"/>
        <v>0</v>
      </c>
      <c r="R747" s="670">
        <f t="shared" si="141"/>
        <v>0</v>
      </c>
      <c r="S747" s="322">
        <f t="shared" si="142"/>
        <v>0</v>
      </c>
    </row>
    <row r="748" spans="1:19">
      <c r="A748" s="155"/>
      <c r="B748" s="57"/>
      <c r="C748" s="24">
        <f t="shared" si="133"/>
        <v>1</v>
      </c>
      <c r="D748" s="674"/>
      <c r="E748" s="24">
        <f t="shared" si="134"/>
        <v>1</v>
      </c>
      <c r="F748" s="674"/>
      <c r="G748" s="24">
        <f t="shared" si="135"/>
        <v>1</v>
      </c>
      <c r="H748" s="674"/>
      <c r="I748" s="24">
        <f t="shared" si="136"/>
        <v>1</v>
      </c>
      <c r="J748" s="674"/>
      <c r="K748" s="24">
        <f t="shared" si="137"/>
        <v>1</v>
      </c>
      <c r="L748" s="674"/>
      <c r="M748" s="24">
        <f t="shared" si="138"/>
        <v>1</v>
      </c>
      <c r="N748" s="674"/>
      <c r="O748" s="24">
        <f t="shared" si="139"/>
        <v>1</v>
      </c>
      <c r="P748" s="674"/>
      <c r="Q748" s="24">
        <f t="shared" si="140"/>
        <v>0</v>
      </c>
      <c r="R748" s="670">
        <f t="shared" si="141"/>
        <v>0</v>
      </c>
      <c r="S748" s="322">
        <f t="shared" si="142"/>
        <v>0</v>
      </c>
    </row>
    <row r="749" spans="1:19">
      <c r="A749" s="155"/>
      <c r="B749" s="57"/>
      <c r="C749" s="24">
        <f t="shared" si="133"/>
        <v>1</v>
      </c>
      <c r="D749" s="674"/>
      <c r="E749" s="24">
        <f t="shared" si="134"/>
        <v>1</v>
      </c>
      <c r="F749" s="674"/>
      <c r="G749" s="24">
        <f t="shared" si="135"/>
        <v>1</v>
      </c>
      <c r="H749" s="674"/>
      <c r="I749" s="24">
        <f t="shared" si="136"/>
        <v>1</v>
      </c>
      <c r="J749" s="674"/>
      <c r="K749" s="24">
        <f t="shared" si="137"/>
        <v>1</v>
      </c>
      <c r="L749" s="674"/>
      <c r="M749" s="24">
        <f t="shared" si="138"/>
        <v>1</v>
      </c>
      <c r="N749" s="674"/>
      <c r="O749" s="24">
        <f t="shared" si="139"/>
        <v>1</v>
      </c>
      <c r="P749" s="674"/>
      <c r="Q749" s="24">
        <f t="shared" si="140"/>
        <v>0</v>
      </c>
      <c r="R749" s="670">
        <f t="shared" si="141"/>
        <v>0</v>
      </c>
      <c r="S749" s="322">
        <f t="shared" si="142"/>
        <v>0</v>
      </c>
    </row>
    <row r="750" spans="1:19">
      <c r="A750" s="155"/>
      <c r="B750" s="57"/>
      <c r="C750" s="24">
        <f t="shared" si="133"/>
        <v>1</v>
      </c>
      <c r="D750" s="674"/>
      <c r="E750" s="24">
        <f t="shared" si="134"/>
        <v>1</v>
      </c>
      <c r="F750" s="674"/>
      <c r="G750" s="24">
        <f t="shared" si="135"/>
        <v>1</v>
      </c>
      <c r="H750" s="674"/>
      <c r="I750" s="24">
        <f t="shared" si="136"/>
        <v>1</v>
      </c>
      <c r="J750" s="674"/>
      <c r="K750" s="24">
        <f t="shared" si="137"/>
        <v>1</v>
      </c>
      <c r="L750" s="674"/>
      <c r="M750" s="24">
        <f t="shared" si="138"/>
        <v>1</v>
      </c>
      <c r="N750" s="674"/>
      <c r="O750" s="24">
        <f t="shared" si="139"/>
        <v>1</v>
      </c>
      <c r="P750" s="674"/>
      <c r="Q750" s="24">
        <f t="shared" si="140"/>
        <v>0</v>
      </c>
      <c r="R750" s="670">
        <f t="shared" si="141"/>
        <v>0</v>
      </c>
      <c r="S750" s="322">
        <f t="shared" si="142"/>
        <v>0</v>
      </c>
    </row>
    <row r="751" spans="1:19">
      <c r="A751" s="155"/>
      <c r="B751" s="57"/>
      <c r="C751" s="24">
        <f t="shared" si="133"/>
        <v>1</v>
      </c>
      <c r="D751" s="3053"/>
      <c r="E751" s="24">
        <f t="shared" si="134"/>
        <v>1</v>
      </c>
      <c r="F751" s="674"/>
      <c r="G751" s="24">
        <f t="shared" si="135"/>
        <v>1</v>
      </c>
      <c r="H751" s="674"/>
      <c r="I751" s="24">
        <f t="shared" si="136"/>
        <v>1</v>
      </c>
      <c r="J751" s="674"/>
      <c r="K751" s="24">
        <f t="shared" si="137"/>
        <v>1</v>
      </c>
      <c r="L751" s="674"/>
      <c r="M751" s="24">
        <f t="shared" si="138"/>
        <v>1</v>
      </c>
      <c r="N751" s="674"/>
      <c r="O751" s="24">
        <f t="shared" si="139"/>
        <v>1</v>
      </c>
      <c r="P751" s="674"/>
      <c r="Q751" s="24">
        <f t="shared" si="140"/>
        <v>0</v>
      </c>
      <c r="R751" s="670">
        <f t="shared" si="141"/>
        <v>0</v>
      </c>
      <c r="S751" s="322">
        <f t="shared" si="142"/>
        <v>0</v>
      </c>
    </row>
    <row r="752" spans="1:19">
      <c r="A752" s="155"/>
      <c r="B752" s="57"/>
      <c r="C752" s="24">
        <f t="shared" si="133"/>
        <v>1</v>
      </c>
      <c r="D752" s="3053"/>
      <c r="E752" s="24">
        <f t="shared" si="134"/>
        <v>1</v>
      </c>
      <c r="F752" s="674"/>
      <c r="G752" s="24">
        <f t="shared" si="135"/>
        <v>1</v>
      </c>
      <c r="H752" s="674"/>
      <c r="I752" s="24">
        <f t="shared" si="136"/>
        <v>1</v>
      </c>
      <c r="J752" s="674"/>
      <c r="K752" s="24">
        <f t="shared" si="137"/>
        <v>1</v>
      </c>
      <c r="L752" s="674"/>
      <c r="M752" s="24">
        <f t="shared" si="138"/>
        <v>1</v>
      </c>
      <c r="N752" s="674"/>
      <c r="O752" s="24">
        <f t="shared" si="139"/>
        <v>1</v>
      </c>
      <c r="P752" s="674"/>
      <c r="Q752" s="24">
        <f t="shared" si="140"/>
        <v>0</v>
      </c>
      <c r="R752" s="670">
        <f t="shared" si="141"/>
        <v>0</v>
      </c>
      <c r="S752" s="322">
        <f t="shared" si="142"/>
        <v>0</v>
      </c>
    </row>
    <row r="753" spans="1:19">
      <c r="A753" s="155"/>
      <c r="B753" s="57"/>
      <c r="C753" s="24">
        <f t="shared" si="133"/>
        <v>1</v>
      </c>
      <c r="D753" s="3053"/>
      <c r="E753" s="24">
        <f t="shared" si="134"/>
        <v>1</v>
      </c>
      <c r="F753" s="674"/>
      <c r="G753" s="24">
        <f t="shared" si="135"/>
        <v>1</v>
      </c>
      <c r="H753" s="674"/>
      <c r="I753" s="24">
        <f t="shared" si="136"/>
        <v>1</v>
      </c>
      <c r="J753" s="674"/>
      <c r="K753" s="24">
        <f t="shared" si="137"/>
        <v>1</v>
      </c>
      <c r="L753" s="674"/>
      <c r="M753" s="24">
        <f t="shared" si="138"/>
        <v>1</v>
      </c>
      <c r="N753" s="674"/>
      <c r="O753" s="24">
        <f t="shared" si="139"/>
        <v>1</v>
      </c>
      <c r="P753" s="674"/>
      <c r="Q753" s="24">
        <f t="shared" si="140"/>
        <v>0</v>
      </c>
      <c r="R753" s="670">
        <f t="shared" si="141"/>
        <v>0</v>
      </c>
      <c r="S753" s="322">
        <f t="shared" si="142"/>
        <v>0</v>
      </c>
    </row>
    <row r="754" spans="1:19">
      <c r="A754" s="155"/>
      <c r="B754" s="57"/>
      <c r="C754" s="24">
        <f t="shared" si="133"/>
        <v>1</v>
      </c>
      <c r="D754" s="3053"/>
      <c r="E754" s="24">
        <f t="shared" si="134"/>
        <v>1</v>
      </c>
      <c r="F754" s="674"/>
      <c r="G754" s="24">
        <f t="shared" si="135"/>
        <v>1</v>
      </c>
      <c r="H754" s="674"/>
      <c r="I754" s="24">
        <f t="shared" si="136"/>
        <v>1</v>
      </c>
      <c r="J754" s="674"/>
      <c r="K754" s="24">
        <f t="shared" si="137"/>
        <v>1</v>
      </c>
      <c r="L754" s="674"/>
      <c r="M754" s="24">
        <f t="shared" si="138"/>
        <v>1</v>
      </c>
      <c r="N754" s="674"/>
      <c r="O754" s="24">
        <f t="shared" si="139"/>
        <v>1</v>
      </c>
      <c r="P754" s="674"/>
      <c r="Q754" s="24">
        <f t="shared" si="140"/>
        <v>0</v>
      </c>
      <c r="R754" s="670">
        <f t="shared" si="141"/>
        <v>0</v>
      </c>
      <c r="S754" s="322">
        <f t="shared" si="142"/>
        <v>0</v>
      </c>
    </row>
    <row r="755" spans="1:19">
      <c r="A755" s="155"/>
      <c r="B755" s="57"/>
      <c r="C755" s="24">
        <f t="shared" si="133"/>
        <v>1</v>
      </c>
      <c r="D755" s="3053"/>
      <c r="E755" s="24">
        <f t="shared" si="134"/>
        <v>1</v>
      </c>
      <c r="F755" s="674"/>
      <c r="G755" s="24">
        <f t="shared" si="135"/>
        <v>1</v>
      </c>
      <c r="H755" s="674"/>
      <c r="I755" s="24">
        <f t="shared" si="136"/>
        <v>1</v>
      </c>
      <c r="J755" s="674"/>
      <c r="K755" s="24">
        <f t="shared" si="137"/>
        <v>1</v>
      </c>
      <c r="L755" s="674"/>
      <c r="M755" s="24">
        <f t="shared" si="138"/>
        <v>1</v>
      </c>
      <c r="N755" s="674"/>
      <c r="O755" s="24">
        <f t="shared" si="139"/>
        <v>1</v>
      </c>
      <c r="P755" s="674"/>
      <c r="Q755" s="24">
        <f t="shared" si="140"/>
        <v>0</v>
      </c>
      <c r="R755" s="670">
        <f t="shared" si="141"/>
        <v>0</v>
      </c>
      <c r="S755" s="322">
        <f t="shared" si="142"/>
        <v>0</v>
      </c>
    </row>
    <row r="756" spans="1:19">
      <c r="A756" s="155"/>
      <c r="B756" s="57"/>
      <c r="C756" s="24">
        <f t="shared" si="133"/>
        <v>1</v>
      </c>
      <c r="D756" s="674"/>
      <c r="E756" s="24">
        <f t="shared" si="134"/>
        <v>1</v>
      </c>
      <c r="F756" s="674"/>
      <c r="G756" s="24">
        <f t="shared" si="135"/>
        <v>1</v>
      </c>
      <c r="H756" s="674"/>
      <c r="I756" s="24">
        <f t="shared" si="136"/>
        <v>1</v>
      </c>
      <c r="J756" s="674"/>
      <c r="K756" s="24">
        <f t="shared" si="137"/>
        <v>1</v>
      </c>
      <c r="L756" s="674"/>
      <c r="M756" s="24">
        <f t="shared" si="138"/>
        <v>1</v>
      </c>
      <c r="N756" s="674"/>
      <c r="O756" s="24">
        <f t="shared" si="139"/>
        <v>1</v>
      </c>
      <c r="P756" s="674"/>
      <c r="Q756" s="24">
        <f t="shared" si="140"/>
        <v>0</v>
      </c>
      <c r="R756" s="670">
        <f t="shared" si="141"/>
        <v>0</v>
      </c>
      <c r="S756" s="322">
        <f t="shared" si="142"/>
        <v>0</v>
      </c>
    </row>
    <row r="757" spans="1:19">
      <c r="A757" s="155"/>
      <c r="B757" s="57"/>
      <c r="C757" s="24">
        <f t="shared" si="133"/>
        <v>1</v>
      </c>
      <c r="D757" s="674"/>
      <c r="E757" s="24">
        <f t="shared" si="134"/>
        <v>1</v>
      </c>
      <c r="F757" s="674"/>
      <c r="G757" s="24">
        <f t="shared" si="135"/>
        <v>1</v>
      </c>
      <c r="H757" s="674"/>
      <c r="I757" s="24">
        <f t="shared" si="136"/>
        <v>1</v>
      </c>
      <c r="J757" s="674"/>
      <c r="K757" s="24">
        <f t="shared" si="137"/>
        <v>1</v>
      </c>
      <c r="L757" s="674"/>
      <c r="M757" s="24">
        <f t="shared" si="138"/>
        <v>1</v>
      </c>
      <c r="N757" s="674"/>
      <c r="O757" s="24">
        <f t="shared" si="139"/>
        <v>1</v>
      </c>
      <c r="P757" s="674"/>
      <c r="Q757" s="24">
        <f t="shared" si="140"/>
        <v>0</v>
      </c>
      <c r="R757" s="670">
        <f t="shared" si="141"/>
        <v>0</v>
      </c>
      <c r="S757" s="322">
        <f t="shared" si="142"/>
        <v>0</v>
      </c>
    </row>
    <row r="758" spans="1:19">
      <c r="A758" s="155"/>
      <c r="B758" s="57"/>
      <c r="C758" s="24">
        <f t="shared" si="133"/>
        <v>1</v>
      </c>
      <c r="D758" s="674"/>
      <c r="E758" s="24">
        <f t="shared" si="134"/>
        <v>1</v>
      </c>
      <c r="F758" s="674"/>
      <c r="G758" s="24">
        <f t="shared" si="135"/>
        <v>1</v>
      </c>
      <c r="H758" s="674"/>
      <c r="I758" s="24">
        <f t="shared" si="136"/>
        <v>1</v>
      </c>
      <c r="J758" s="674"/>
      <c r="K758" s="24">
        <f t="shared" si="137"/>
        <v>1</v>
      </c>
      <c r="L758" s="674"/>
      <c r="M758" s="24">
        <f t="shared" si="138"/>
        <v>1</v>
      </c>
      <c r="N758" s="674"/>
      <c r="O758" s="24">
        <f t="shared" si="139"/>
        <v>1</v>
      </c>
      <c r="P758" s="674"/>
      <c r="Q758" s="24">
        <f t="shared" si="140"/>
        <v>0</v>
      </c>
      <c r="R758" s="670">
        <f t="shared" si="141"/>
        <v>0</v>
      </c>
      <c r="S758" s="322">
        <f t="shared" si="142"/>
        <v>0</v>
      </c>
    </row>
    <row r="759" spans="1:19">
      <c r="A759" s="155"/>
      <c r="B759" s="57"/>
      <c r="C759" s="24">
        <f t="shared" si="133"/>
        <v>1</v>
      </c>
      <c r="D759" s="674"/>
      <c r="E759" s="24">
        <f t="shared" si="134"/>
        <v>1</v>
      </c>
      <c r="F759" s="674"/>
      <c r="G759" s="24">
        <f t="shared" si="135"/>
        <v>1</v>
      </c>
      <c r="H759" s="674"/>
      <c r="I759" s="24">
        <f t="shared" si="136"/>
        <v>1</v>
      </c>
      <c r="J759" s="674"/>
      <c r="K759" s="24">
        <f t="shared" si="137"/>
        <v>1</v>
      </c>
      <c r="L759" s="674"/>
      <c r="M759" s="24">
        <f t="shared" si="138"/>
        <v>1</v>
      </c>
      <c r="N759" s="674"/>
      <c r="O759" s="24">
        <f t="shared" si="139"/>
        <v>1</v>
      </c>
      <c r="P759" s="674"/>
      <c r="Q759" s="24">
        <f t="shared" si="140"/>
        <v>0</v>
      </c>
      <c r="R759" s="670">
        <f t="shared" si="141"/>
        <v>0</v>
      </c>
      <c r="S759" s="322">
        <f t="shared" si="142"/>
        <v>0</v>
      </c>
    </row>
    <row r="760" spans="1:19">
      <c r="A760" s="155"/>
      <c r="B760" s="57"/>
      <c r="C760" s="24">
        <f t="shared" si="133"/>
        <v>1</v>
      </c>
      <c r="D760" s="3053"/>
      <c r="E760" s="24">
        <f t="shared" si="134"/>
        <v>1</v>
      </c>
      <c r="F760" s="674"/>
      <c r="G760" s="24">
        <f t="shared" si="135"/>
        <v>1</v>
      </c>
      <c r="H760" s="674"/>
      <c r="I760" s="24">
        <f t="shared" si="136"/>
        <v>1</v>
      </c>
      <c r="J760" s="674"/>
      <c r="K760" s="24">
        <f t="shared" si="137"/>
        <v>1</v>
      </c>
      <c r="L760" s="674"/>
      <c r="M760" s="24">
        <f t="shared" si="138"/>
        <v>1</v>
      </c>
      <c r="N760" s="674"/>
      <c r="O760" s="24">
        <f t="shared" si="139"/>
        <v>1</v>
      </c>
      <c r="P760" s="674"/>
      <c r="Q760" s="24">
        <f t="shared" si="140"/>
        <v>0</v>
      </c>
      <c r="R760" s="670">
        <f t="shared" si="141"/>
        <v>0</v>
      </c>
      <c r="S760" s="322">
        <f t="shared" si="142"/>
        <v>0</v>
      </c>
    </row>
    <row r="761" spans="1:19">
      <c r="A761" s="155"/>
      <c r="B761" s="57"/>
      <c r="C761" s="24">
        <f t="shared" si="133"/>
        <v>1</v>
      </c>
      <c r="D761" s="3053"/>
      <c r="E761" s="24">
        <f t="shared" si="134"/>
        <v>1</v>
      </c>
      <c r="F761" s="674"/>
      <c r="G761" s="24">
        <f t="shared" si="135"/>
        <v>1</v>
      </c>
      <c r="H761" s="674"/>
      <c r="I761" s="24">
        <f t="shared" si="136"/>
        <v>1</v>
      </c>
      <c r="J761" s="674"/>
      <c r="K761" s="24">
        <f t="shared" si="137"/>
        <v>1</v>
      </c>
      <c r="L761" s="674"/>
      <c r="M761" s="24">
        <f t="shared" si="138"/>
        <v>1</v>
      </c>
      <c r="N761" s="674"/>
      <c r="O761" s="24">
        <f t="shared" si="139"/>
        <v>1</v>
      </c>
      <c r="P761" s="674"/>
      <c r="Q761" s="24">
        <f t="shared" si="140"/>
        <v>0</v>
      </c>
      <c r="R761" s="670">
        <f t="shared" si="141"/>
        <v>0</v>
      </c>
      <c r="S761" s="322">
        <f t="shared" si="142"/>
        <v>0</v>
      </c>
    </row>
    <row r="762" spans="1:19">
      <c r="A762" s="155"/>
      <c r="B762" s="57"/>
      <c r="C762" s="24">
        <f t="shared" si="133"/>
        <v>1</v>
      </c>
      <c r="D762" s="3053"/>
      <c r="E762" s="24">
        <f t="shared" si="134"/>
        <v>1</v>
      </c>
      <c r="F762" s="674"/>
      <c r="G762" s="24">
        <f t="shared" si="135"/>
        <v>1</v>
      </c>
      <c r="H762" s="674"/>
      <c r="I762" s="24">
        <f t="shared" si="136"/>
        <v>1</v>
      </c>
      <c r="J762" s="674"/>
      <c r="K762" s="24">
        <f t="shared" si="137"/>
        <v>1</v>
      </c>
      <c r="L762" s="674"/>
      <c r="M762" s="24">
        <f t="shared" si="138"/>
        <v>1</v>
      </c>
      <c r="N762" s="674"/>
      <c r="O762" s="24">
        <f t="shared" si="139"/>
        <v>1</v>
      </c>
      <c r="P762" s="674"/>
      <c r="Q762" s="24">
        <f t="shared" si="140"/>
        <v>0</v>
      </c>
      <c r="R762" s="670">
        <f t="shared" si="141"/>
        <v>0</v>
      </c>
      <c r="S762" s="322">
        <f t="shared" si="142"/>
        <v>0</v>
      </c>
    </row>
    <row r="763" spans="1:19">
      <c r="A763" s="155"/>
      <c r="B763" s="57"/>
      <c r="C763" s="24">
        <f t="shared" si="133"/>
        <v>1</v>
      </c>
      <c r="D763" s="3053"/>
      <c r="E763" s="24">
        <f t="shared" si="134"/>
        <v>1</v>
      </c>
      <c r="F763" s="674"/>
      <c r="G763" s="24">
        <f t="shared" si="135"/>
        <v>1</v>
      </c>
      <c r="H763" s="674"/>
      <c r="I763" s="24">
        <f t="shared" si="136"/>
        <v>1</v>
      </c>
      <c r="J763" s="674"/>
      <c r="K763" s="24">
        <f t="shared" si="137"/>
        <v>1</v>
      </c>
      <c r="L763" s="674"/>
      <c r="M763" s="24">
        <f t="shared" si="138"/>
        <v>1</v>
      </c>
      <c r="N763" s="674"/>
      <c r="O763" s="24">
        <f t="shared" si="139"/>
        <v>1</v>
      </c>
      <c r="P763" s="674"/>
      <c r="Q763" s="24">
        <f t="shared" si="140"/>
        <v>0</v>
      </c>
      <c r="R763" s="670">
        <f t="shared" si="141"/>
        <v>0</v>
      </c>
      <c r="S763" s="322">
        <f t="shared" si="142"/>
        <v>0</v>
      </c>
    </row>
    <row r="764" spans="1:19">
      <c r="A764" s="155"/>
      <c r="B764" s="57"/>
      <c r="C764" s="24">
        <f t="shared" si="133"/>
        <v>1</v>
      </c>
      <c r="D764" s="3053"/>
      <c r="E764" s="24">
        <f t="shared" si="134"/>
        <v>1</v>
      </c>
      <c r="F764" s="674"/>
      <c r="G764" s="24">
        <f t="shared" si="135"/>
        <v>1</v>
      </c>
      <c r="H764" s="674"/>
      <c r="I764" s="24">
        <f t="shared" si="136"/>
        <v>1</v>
      </c>
      <c r="J764" s="674"/>
      <c r="K764" s="24">
        <f t="shared" si="137"/>
        <v>1</v>
      </c>
      <c r="L764" s="674"/>
      <c r="M764" s="24">
        <f t="shared" si="138"/>
        <v>1</v>
      </c>
      <c r="N764" s="674"/>
      <c r="O764" s="24">
        <f t="shared" si="139"/>
        <v>1</v>
      </c>
      <c r="P764" s="674"/>
      <c r="Q764" s="24">
        <f t="shared" si="140"/>
        <v>0</v>
      </c>
      <c r="R764" s="670">
        <f t="shared" si="141"/>
        <v>0</v>
      </c>
      <c r="S764" s="322">
        <f t="shared" si="142"/>
        <v>0</v>
      </c>
    </row>
    <row r="765" spans="1:19">
      <c r="A765" s="155"/>
      <c r="B765" s="57"/>
      <c r="C765" s="24">
        <f t="shared" si="133"/>
        <v>1</v>
      </c>
      <c r="D765" s="674"/>
      <c r="E765" s="24">
        <f t="shared" si="134"/>
        <v>1</v>
      </c>
      <c r="F765" s="674"/>
      <c r="G765" s="24">
        <f t="shared" si="135"/>
        <v>1</v>
      </c>
      <c r="H765" s="674"/>
      <c r="I765" s="24">
        <f t="shared" si="136"/>
        <v>1</v>
      </c>
      <c r="J765" s="674"/>
      <c r="K765" s="24">
        <f t="shared" si="137"/>
        <v>1</v>
      </c>
      <c r="L765" s="674"/>
      <c r="M765" s="24">
        <f t="shared" si="138"/>
        <v>1</v>
      </c>
      <c r="N765" s="674"/>
      <c r="O765" s="24">
        <f t="shared" si="139"/>
        <v>1</v>
      </c>
      <c r="P765" s="674"/>
      <c r="Q765" s="24">
        <f t="shared" si="140"/>
        <v>0</v>
      </c>
      <c r="R765" s="670">
        <f t="shared" si="141"/>
        <v>0</v>
      </c>
      <c r="S765" s="322">
        <f t="shared" si="142"/>
        <v>0</v>
      </c>
    </row>
    <row r="766" spans="1:19">
      <c r="A766" s="155"/>
      <c r="B766" s="57"/>
      <c r="C766" s="24">
        <f t="shared" si="133"/>
        <v>1</v>
      </c>
      <c r="D766" s="674"/>
      <c r="E766" s="24">
        <f t="shared" si="134"/>
        <v>1</v>
      </c>
      <c r="F766" s="674"/>
      <c r="G766" s="24">
        <f t="shared" si="135"/>
        <v>1</v>
      </c>
      <c r="H766" s="674"/>
      <c r="I766" s="24">
        <f t="shared" si="136"/>
        <v>1</v>
      </c>
      <c r="J766" s="674"/>
      <c r="K766" s="24">
        <f t="shared" si="137"/>
        <v>1</v>
      </c>
      <c r="L766" s="674"/>
      <c r="M766" s="24">
        <f t="shared" si="138"/>
        <v>1</v>
      </c>
      <c r="N766" s="674"/>
      <c r="O766" s="24">
        <f t="shared" si="139"/>
        <v>1</v>
      </c>
      <c r="P766" s="674"/>
      <c r="Q766" s="24">
        <f t="shared" si="140"/>
        <v>0</v>
      </c>
      <c r="R766" s="670">
        <f t="shared" si="141"/>
        <v>0</v>
      </c>
      <c r="S766" s="322">
        <f t="shared" si="142"/>
        <v>0</v>
      </c>
    </row>
    <row r="767" spans="1:19">
      <c r="A767" s="155"/>
      <c r="B767" s="57"/>
      <c r="C767" s="24">
        <f t="shared" si="133"/>
        <v>1</v>
      </c>
      <c r="D767" s="674"/>
      <c r="E767" s="24">
        <f t="shared" si="134"/>
        <v>1</v>
      </c>
      <c r="F767" s="674"/>
      <c r="G767" s="24">
        <f t="shared" si="135"/>
        <v>1</v>
      </c>
      <c r="H767" s="674"/>
      <c r="I767" s="24">
        <f t="shared" si="136"/>
        <v>1</v>
      </c>
      <c r="J767" s="674"/>
      <c r="K767" s="24">
        <f t="shared" si="137"/>
        <v>1</v>
      </c>
      <c r="L767" s="674"/>
      <c r="M767" s="24">
        <f t="shared" si="138"/>
        <v>1</v>
      </c>
      <c r="N767" s="674"/>
      <c r="O767" s="24">
        <f t="shared" si="139"/>
        <v>1</v>
      </c>
      <c r="P767" s="674"/>
      <c r="Q767" s="24">
        <f t="shared" si="140"/>
        <v>0</v>
      </c>
      <c r="R767" s="670">
        <f t="shared" si="141"/>
        <v>0</v>
      </c>
      <c r="S767" s="322">
        <f t="shared" si="142"/>
        <v>0</v>
      </c>
    </row>
    <row r="768" spans="1:19">
      <c r="A768" s="155"/>
      <c r="B768" s="57"/>
      <c r="C768" s="24">
        <f t="shared" si="133"/>
        <v>1</v>
      </c>
      <c r="D768" s="674"/>
      <c r="E768" s="24">
        <f t="shared" si="134"/>
        <v>1</v>
      </c>
      <c r="F768" s="674"/>
      <c r="G768" s="24">
        <f t="shared" si="135"/>
        <v>1</v>
      </c>
      <c r="H768" s="674"/>
      <c r="I768" s="24">
        <f t="shared" si="136"/>
        <v>1</v>
      </c>
      <c r="J768" s="674"/>
      <c r="K768" s="24">
        <f t="shared" si="137"/>
        <v>1</v>
      </c>
      <c r="L768" s="674"/>
      <c r="M768" s="24">
        <f t="shared" si="138"/>
        <v>1</v>
      </c>
      <c r="N768" s="674"/>
      <c r="O768" s="24">
        <f t="shared" si="139"/>
        <v>1</v>
      </c>
      <c r="P768" s="674"/>
      <c r="Q768" s="24">
        <f t="shared" si="140"/>
        <v>0</v>
      </c>
      <c r="R768" s="670">
        <f t="shared" si="141"/>
        <v>0</v>
      </c>
      <c r="S768" s="322">
        <f t="shared" si="142"/>
        <v>0</v>
      </c>
    </row>
    <row r="769" spans="1:19">
      <c r="A769" s="155"/>
      <c r="B769" s="57"/>
      <c r="C769" s="24">
        <f t="shared" si="133"/>
        <v>1</v>
      </c>
      <c r="D769" s="674"/>
      <c r="E769" s="24">
        <f t="shared" si="134"/>
        <v>1</v>
      </c>
      <c r="F769" s="674"/>
      <c r="G769" s="24">
        <f t="shared" si="135"/>
        <v>1</v>
      </c>
      <c r="H769" s="674"/>
      <c r="I769" s="24">
        <f t="shared" si="136"/>
        <v>1</v>
      </c>
      <c r="J769" s="674"/>
      <c r="K769" s="24">
        <f t="shared" si="137"/>
        <v>1</v>
      </c>
      <c r="L769" s="674"/>
      <c r="M769" s="24">
        <f t="shared" si="138"/>
        <v>1</v>
      </c>
      <c r="N769" s="674"/>
      <c r="O769" s="24">
        <f t="shared" si="139"/>
        <v>1</v>
      </c>
      <c r="P769" s="674"/>
      <c r="Q769" s="24">
        <f t="shared" si="140"/>
        <v>0</v>
      </c>
      <c r="R769" s="670">
        <f t="shared" si="141"/>
        <v>0</v>
      </c>
      <c r="S769" s="322">
        <f t="shared" si="142"/>
        <v>0</v>
      </c>
    </row>
    <row r="770" spans="1:19">
      <c r="A770" s="155"/>
      <c r="B770" s="57"/>
      <c r="C770" s="24">
        <f t="shared" si="133"/>
        <v>1</v>
      </c>
      <c r="D770" s="674"/>
      <c r="E770" s="24">
        <f t="shared" si="134"/>
        <v>1</v>
      </c>
      <c r="F770" s="674"/>
      <c r="G770" s="24">
        <f t="shared" si="135"/>
        <v>1</v>
      </c>
      <c r="H770" s="674"/>
      <c r="I770" s="24">
        <f t="shared" si="136"/>
        <v>1</v>
      </c>
      <c r="J770" s="674"/>
      <c r="K770" s="24">
        <f t="shared" si="137"/>
        <v>1</v>
      </c>
      <c r="L770" s="674"/>
      <c r="M770" s="24">
        <f t="shared" si="138"/>
        <v>1</v>
      </c>
      <c r="N770" s="674"/>
      <c r="O770" s="24">
        <f t="shared" si="139"/>
        <v>1</v>
      </c>
      <c r="P770" s="674"/>
      <c r="Q770" s="24">
        <f t="shared" si="140"/>
        <v>0</v>
      </c>
      <c r="R770" s="670">
        <f t="shared" si="141"/>
        <v>0</v>
      </c>
      <c r="S770" s="322">
        <f t="shared" si="142"/>
        <v>0</v>
      </c>
    </row>
    <row r="771" spans="1:19">
      <c r="A771" s="155"/>
      <c r="B771" s="57"/>
      <c r="C771" s="24">
        <f t="shared" si="133"/>
        <v>1</v>
      </c>
      <c r="D771" s="674"/>
      <c r="E771" s="24">
        <f t="shared" si="134"/>
        <v>1</v>
      </c>
      <c r="F771" s="674"/>
      <c r="G771" s="24">
        <f t="shared" si="135"/>
        <v>1</v>
      </c>
      <c r="H771" s="674"/>
      <c r="I771" s="24">
        <f t="shared" si="136"/>
        <v>1</v>
      </c>
      <c r="J771" s="674"/>
      <c r="K771" s="24">
        <f t="shared" si="137"/>
        <v>1</v>
      </c>
      <c r="L771" s="674"/>
      <c r="M771" s="24">
        <f t="shared" si="138"/>
        <v>1</v>
      </c>
      <c r="N771" s="674"/>
      <c r="O771" s="24">
        <f t="shared" si="139"/>
        <v>1</v>
      </c>
      <c r="P771" s="674"/>
      <c r="Q771" s="24">
        <f t="shared" si="140"/>
        <v>0</v>
      </c>
      <c r="R771" s="670">
        <f t="shared" si="141"/>
        <v>0</v>
      </c>
      <c r="S771" s="322">
        <f t="shared" si="142"/>
        <v>0</v>
      </c>
    </row>
    <row r="772" spans="1:19">
      <c r="A772" s="155"/>
      <c r="B772" s="57"/>
      <c r="C772" s="24">
        <f t="shared" si="133"/>
        <v>1</v>
      </c>
      <c r="D772" s="674"/>
      <c r="E772" s="24">
        <f t="shared" si="134"/>
        <v>1</v>
      </c>
      <c r="F772" s="674"/>
      <c r="G772" s="24">
        <f t="shared" si="135"/>
        <v>1</v>
      </c>
      <c r="H772" s="674"/>
      <c r="I772" s="24">
        <f t="shared" si="136"/>
        <v>1</v>
      </c>
      <c r="J772" s="674"/>
      <c r="K772" s="24">
        <f t="shared" si="137"/>
        <v>1</v>
      </c>
      <c r="L772" s="674"/>
      <c r="M772" s="24">
        <f t="shared" si="138"/>
        <v>1</v>
      </c>
      <c r="N772" s="674"/>
      <c r="O772" s="24">
        <f t="shared" si="139"/>
        <v>1</v>
      </c>
      <c r="P772" s="674"/>
      <c r="Q772" s="24">
        <f t="shared" si="140"/>
        <v>0</v>
      </c>
      <c r="R772" s="670">
        <f t="shared" si="141"/>
        <v>0</v>
      </c>
      <c r="S772" s="322">
        <f t="shared" si="142"/>
        <v>0</v>
      </c>
    </row>
    <row r="773" spans="1:19">
      <c r="A773" s="155"/>
      <c r="B773" s="57"/>
      <c r="C773" s="24">
        <f t="shared" si="133"/>
        <v>1</v>
      </c>
      <c r="D773" s="674"/>
      <c r="E773" s="24">
        <f t="shared" si="134"/>
        <v>1</v>
      </c>
      <c r="F773" s="674"/>
      <c r="G773" s="24">
        <f t="shared" si="135"/>
        <v>1</v>
      </c>
      <c r="H773" s="674"/>
      <c r="I773" s="24">
        <f t="shared" si="136"/>
        <v>1</v>
      </c>
      <c r="J773" s="674"/>
      <c r="K773" s="24">
        <f t="shared" si="137"/>
        <v>1</v>
      </c>
      <c r="L773" s="674"/>
      <c r="M773" s="24">
        <f t="shared" si="138"/>
        <v>1</v>
      </c>
      <c r="N773" s="674"/>
      <c r="O773" s="24">
        <f t="shared" si="139"/>
        <v>1</v>
      </c>
      <c r="P773" s="674"/>
      <c r="Q773" s="24">
        <f t="shared" si="140"/>
        <v>0</v>
      </c>
      <c r="R773" s="670">
        <f t="shared" si="141"/>
        <v>0</v>
      </c>
      <c r="S773" s="322">
        <f t="shared" si="142"/>
        <v>0</v>
      </c>
    </row>
    <row r="774" spans="1:19">
      <c r="A774" s="155"/>
      <c r="B774" s="57"/>
      <c r="C774" s="24">
        <f t="shared" si="133"/>
        <v>1</v>
      </c>
      <c r="D774" s="674"/>
      <c r="E774" s="24">
        <f t="shared" si="134"/>
        <v>1</v>
      </c>
      <c r="F774" s="674"/>
      <c r="G774" s="24">
        <f t="shared" si="135"/>
        <v>1</v>
      </c>
      <c r="H774" s="674"/>
      <c r="I774" s="24">
        <f t="shared" si="136"/>
        <v>1</v>
      </c>
      <c r="J774" s="674"/>
      <c r="K774" s="24">
        <f t="shared" si="137"/>
        <v>1</v>
      </c>
      <c r="L774" s="674"/>
      <c r="M774" s="24">
        <f t="shared" si="138"/>
        <v>1</v>
      </c>
      <c r="N774" s="674"/>
      <c r="O774" s="24">
        <f t="shared" si="139"/>
        <v>1</v>
      </c>
      <c r="P774" s="674"/>
      <c r="Q774" s="24">
        <f t="shared" si="140"/>
        <v>0</v>
      </c>
      <c r="R774" s="670">
        <f t="shared" si="141"/>
        <v>0</v>
      </c>
      <c r="S774" s="322">
        <f t="shared" si="142"/>
        <v>0</v>
      </c>
    </row>
    <row r="775" spans="1:19">
      <c r="A775" s="155"/>
      <c r="B775" s="57"/>
      <c r="C775" s="24">
        <f t="shared" si="133"/>
        <v>1</v>
      </c>
      <c r="D775" s="674"/>
      <c r="E775" s="24">
        <f t="shared" si="134"/>
        <v>1</v>
      </c>
      <c r="F775" s="674"/>
      <c r="G775" s="24">
        <f t="shared" si="135"/>
        <v>1</v>
      </c>
      <c r="H775" s="674"/>
      <c r="I775" s="24">
        <f t="shared" si="136"/>
        <v>1</v>
      </c>
      <c r="J775" s="674"/>
      <c r="K775" s="24">
        <f t="shared" si="137"/>
        <v>1</v>
      </c>
      <c r="L775" s="674"/>
      <c r="M775" s="24">
        <f t="shared" si="138"/>
        <v>1</v>
      </c>
      <c r="N775" s="674"/>
      <c r="O775" s="24">
        <f t="shared" si="139"/>
        <v>1</v>
      </c>
      <c r="P775" s="674"/>
      <c r="Q775" s="24">
        <f t="shared" si="140"/>
        <v>0</v>
      </c>
      <c r="R775" s="670">
        <f t="shared" si="141"/>
        <v>0</v>
      </c>
      <c r="S775" s="322">
        <f t="shared" si="142"/>
        <v>0</v>
      </c>
    </row>
    <row r="776" spans="1:19">
      <c r="A776" s="155"/>
      <c r="B776" s="57"/>
      <c r="C776" s="24">
        <f t="shared" si="133"/>
        <v>1</v>
      </c>
      <c r="D776" s="674"/>
      <c r="E776" s="24">
        <f t="shared" si="134"/>
        <v>1</v>
      </c>
      <c r="F776" s="674"/>
      <c r="G776" s="24">
        <f t="shared" si="135"/>
        <v>1</v>
      </c>
      <c r="H776" s="674"/>
      <c r="I776" s="24">
        <f t="shared" si="136"/>
        <v>1</v>
      </c>
      <c r="J776" s="674"/>
      <c r="K776" s="24">
        <f t="shared" si="137"/>
        <v>1</v>
      </c>
      <c r="L776" s="674"/>
      <c r="M776" s="24">
        <f t="shared" si="138"/>
        <v>1</v>
      </c>
      <c r="N776" s="674"/>
      <c r="O776" s="24">
        <f t="shared" si="139"/>
        <v>1</v>
      </c>
      <c r="P776" s="674"/>
      <c r="Q776" s="24">
        <f t="shared" si="140"/>
        <v>0</v>
      </c>
      <c r="R776" s="670">
        <f t="shared" si="141"/>
        <v>0</v>
      </c>
      <c r="S776" s="322">
        <f t="shared" si="142"/>
        <v>0</v>
      </c>
    </row>
    <row r="777" spans="1:19">
      <c r="A777" s="155"/>
      <c r="B777" s="57"/>
      <c r="C777" s="24">
        <f t="shared" si="133"/>
        <v>1</v>
      </c>
      <c r="D777" s="674"/>
      <c r="E777" s="24">
        <f t="shared" si="134"/>
        <v>1</v>
      </c>
      <c r="F777" s="674"/>
      <c r="G777" s="24">
        <f t="shared" si="135"/>
        <v>1</v>
      </c>
      <c r="H777" s="674"/>
      <c r="I777" s="24">
        <f t="shared" si="136"/>
        <v>1</v>
      </c>
      <c r="J777" s="674"/>
      <c r="K777" s="24">
        <f t="shared" si="137"/>
        <v>1</v>
      </c>
      <c r="L777" s="674"/>
      <c r="M777" s="24">
        <f t="shared" si="138"/>
        <v>1</v>
      </c>
      <c r="N777" s="674"/>
      <c r="O777" s="24">
        <f t="shared" si="139"/>
        <v>1</v>
      </c>
      <c r="P777" s="674"/>
      <c r="Q777" s="24">
        <f t="shared" si="140"/>
        <v>0</v>
      </c>
      <c r="R777" s="670">
        <f t="shared" si="141"/>
        <v>0</v>
      </c>
      <c r="S777" s="322">
        <f t="shared" si="142"/>
        <v>0</v>
      </c>
    </row>
    <row r="778" spans="1:19">
      <c r="A778" s="155"/>
      <c r="B778" s="57"/>
      <c r="C778" s="24">
        <f t="shared" si="133"/>
        <v>1</v>
      </c>
      <c r="D778" s="674"/>
      <c r="E778" s="24">
        <f t="shared" si="134"/>
        <v>1</v>
      </c>
      <c r="F778" s="674"/>
      <c r="G778" s="24">
        <f t="shared" si="135"/>
        <v>1</v>
      </c>
      <c r="H778" s="674"/>
      <c r="I778" s="24">
        <f t="shared" si="136"/>
        <v>1</v>
      </c>
      <c r="J778" s="674"/>
      <c r="K778" s="24">
        <f t="shared" si="137"/>
        <v>1</v>
      </c>
      <c r="L778" s="674"/>
      <c r="M778" s="24">
        <f t="shared" si="138"/>
        <v>1</v>
      </c>
      <c r="N778" s="674"/>
      <c r="O778" s="24">
        <f t="shared" si="139"/>
        <v>1</v>
      </c>
      <c r="P778" s="674"/>
      <c r="Q778" s="24">
        <f t="shared" si="140"/>
        <v>0</v>
      </c>
      <c r="R778" s="670">
        <f t="shared" si="141"/>
        <v>0</v>
      </c>
      <c r="S778" s="322">
        <f t="shared" si="142"/>
        <v>0</v>
      </c>
    </row>
    <row r="779" spans="1:19">
      <c r="A779" s="155"/>
      <c r="B779" s="57"/>
      <c r="C779" s="24">
        <f t="shared" si="133"/>
        <v>1</v>
      </c>
      <c r="D779" s="674"/>
      <c r="E779" s="24">
        <f t="shared" si="134"/>
        <v>1</v>
      </c>
      <c r="F779" s="674"/>
      <c r="G779" s="24">
        <f t="shared" si="135"/>
        <v>1</v>
      </c>
      <c r="H779" s="674"/>
      <c r="I779" s="24">
        <f t="shared" si="136"/>
        <v>1</v>
      </c>
      <c r="J779" s="674"/>
      <c r="K779" s="24">
        <f t="shared" si="137"/>
        <v>1</v>
      </c>
      <c r="L779" s="674"/>
      <c r="M779" s="24">
        <f t="shared" si="138"/>
        <v>1</v>
      </c>
      <c r="N779" s="674"/>
      <c r="O779" s="24">
        <f t="shared" si="139"/>
        <v>1</v>
      </c>
      <c r="P779" s="674"/>
      <c r="Q779" s="24">
        <f t="shared" si="140"/>
        <v>0</v>
      </c>
      <c r="R779" s="670">
        <f t="shared" si="141"/>
        <v>0</v>
      </c>
      <c r="S779" s="322">
        <f t="shared" si="142"/>
        <v>0</v>
      </c>
    </row>
    <row r="780" spans="1:19">
      <c r="A780" s="155"/>
      <c r="B780" s="57"/>
      <c r="C780" s="24">
        <f t="shared" si="133"/>
        <v>1</v>
      </c>
      <c r="D780" s="674"/>
      <c r="E780" s="24">
        <f t="shared" si="134"/>
        <v>1</v>
      </c>
      <c r="F780" s="674"/>
      <c r="G780" s="24">
        <f t="shared" si="135"/>
        <v>1</v>
      </c>
      <c r="H780" s="674"/>
      <c r="I780" s="24">
        <f t="shared" si="136"/>
        <v>1</v>
      </c>
      <c r="J780" s="674"/>
      <c r="K780" s="24">
        <f t="shared" si="137"/>
        <v>1</v>
      </c>
      <c r="L780" s="674"/>
      <c r="M780" s="24">
        <f t="shared" si="138"/>
        <v>1</v>
      </c>
      <c r="N780" s="674"/>
      <c r="O780" s="24">
        <f t="shared" si="139"/>
        <v>1</v>
      </c>
      <c r="P780" s="674"/>
      <c r="Q780" s="24">
        <f t="shared" si="140"/>
        <v>0</v>
      </c>
      <c r="R780" s="670">
        <f t="shared" si="141"/>
        <v>0</v>
      </c>
      <c r="S780" s="322">
        <f t="shared" si="142"/>
        <v>0</v>
      </c>
    </row>
    <row r="781" spans="1:19">
      <c r="A781" s="155"/>
      <c r="B781" s="57"/>
      <c r="C781" s="24">
        <f t="shared" si="133"/>
        <v>1</v>
      </c>
      <c r="D781" s="674"/>
      <c r="E781" s="24">
        <f t="shared" si="134"/>
        <v>1</v>
      </c>
      <c r="F781" s="674"/>
      <c r="G781" s="24">
        <f t="shared" si="135"/>
        <v>1</v>
      </c>
      <c r="H781" s="674"/>
      <c r="I781" s="24">
        <f t="shared" si="136"/>
        <v>1</v>
      </c>
      <c r="J781" s="674"/>
      <c r="K781" s="24">
        <f t="shared" si="137"/>
        <v>1</v>
      </c>
      <c r="L781" s="674"/>
      <c r="M781" s="24">
        <f t="shared" si="138"/>
        <v>1</v>
      </c>
      <c r="N781" s="674"/>
      <c r="O781" s="24">
        <f t="shared" si="139"/>
        <v>1</v>
      </c>
      <c r="P781" s="674"/>
      <c r="Q781" s="24">
        <f t="shared" si="140"/>
        <v>0</v>
      </c>
      <c r="R781" s="670">
        <f t="shared" si="141"/>
        <v>0</v>
      </c>
      <c r="S781" s="322">
        <f t="shared" si="142"/>
        <v>0</v>
      </c>
    </row>
    <row r="782" spans="1:19">
      <c r="A782" s="155"/>
      <c r="B782" s="57"/>
      <c r="C782" s="24">
        <f t="shared" ref="C782:C845" si="143">IF(B782="",1,(LOOKUP(B782,$3:$3,$4:$4)-LOOKUP($B$24,$3:$3,$4:$4)+100)/100)</f>
        <v>1</v>
      </c>
      <c r="D782" s="674"/>
      <c r="E782" s="24">
        <f t="shared" ref="E782:E845" si="144">(SUMIF($5:$5,D782,$6:$6)-SUMIF($5:$5,$D$24,$6:$6)+100)/100</f>
        <v>1</v>
      </c>
      <c r="F782" s="674"/>
      <c r="G782" s="24">
        <f t="shared" ref="G782:G845" si="145">(SUMIF($7:$7,F782,$8:$8)-SUMIF($7:$7,$F$24,$8:$8)+100)/100</f>
        <v>1</v>
      </c>
      <c r="H782" s="674"/>
      <c r="I782" s="24">
        <f t="shared" ref="I782:I845" si="146">(SUMIF($9:$9,H782,$10:$10)-SUMIF($9:$9,$H$24,$10:$10)+100)/100</f>
        <v>1</v>
      </c>
      <c r="J782" s="674"/>
      <c r="K782" s="24">
        <f t="shared" ref="K782:K845" si="147">(SUMIF($11:$11,J782,$12:$12)-SUMIF($11:$11,$J$24,$12:$12)+100)/100</f>
        <v>1</v>
      </c>
      <c r="L782" s="674"/>
      <c r="M782" s="24">
        <f t="shared" ref="M782:M845" si="148">(SUMIF($13:$13,L782,$14:$14)-SUMIF($13:$13,$L$24,$14:$14)+100)/100</f>
        <v>1</v>
      </c>
      <c r="N782" s="674"/>
      <c r="O782" s="24">
        <f t="shared" ref="O782:O845" si="149">(SUMIF($15:$15,N782,$16:$16)-SUMIF($15:$15,$N$24,$16:$16)+100)/100</f>
        <v>1</v>
      </c>
      <c r="P782" s="674"/>
      <c r="Q782" s="24">
        <f t="shared" ref="Q782:Q845" si="150">(SUMIF($17:$17,P782,$18:$18)-SUMIF($17:$17,$P$24,$18:$18)+100)/100</f>
        <v>0</v>
      </c>
      <c r="R782" s="670">
        <f t="shared" ref="R782:R845" si="151">IF(B782="",0,ROUND($R$24*C782*E782*G782*I782*K782*M782*O782*Q782,0))</f>
        <v>0</v>
      </c>
      <c r="S782" s="322">
        <f t="shared" ref="S782:S845" si="152">ROUND(R782*B782/10000,0)</f>
        <v>0</v>
      </c>
    </row>
    <row r="783" spans="1:19">
      <c r="A783" s="155"/>
      <c r="B783" s="57"/>
      <c r="C783" s="24">
        <f t="shared" si="143"/>
        <v>1</v>
      </c>
      <c r="D783" s="674"/>
      <c r="E783" s="24">
        <f t="shared" si="144"/>
        <v>1</v>
      </c>
      <c r="F783" s="674"/>
      <c r="G783" s="24">
        <f t="shared" si="145"/>
        <v>1</v>
      </c>
      <c r="H783" s="674"/>
      <c r="I783" s="24">
        <f t="shared" si="146"/>
        <v>1</v>
      </c>
      <c r="J783" s="674"/>
      <c r="K783" s="24">
        <f t="shared" si="147"/>
        <v>1</v>
      </c>
      <c r="L783" s="674"/>
      <c r="M783" s="24">
        <f t="shared" si="148"/>
        <v>1</v>
      </c>
      <c r="N783" s="674"/>
      <c r="O783" s="24">
        <f t="shared" si="149"/>
        <v>1</v>
      </c>
      <c r="P783" s="674"/>
      <c r="Q783" s="24">
        <f t="shared" si="150"/>
        <v>0</v>
      </c>
      <c r="R783" s="670">
        <f t="shared" si="151"/>
        <v>0</v>
      </c>
      <c r="S783" s="322">
        <f t="shared" si="152"/>
        <v>0</v>
      </c>
    </row>
    <row r="784" spans="1:19">
      <c r="A784" s="155"/>
      <c r="B784" s="57"/>
      <c r="C784" s="24">
        <f t="shared" si="143"/>
        <v>1</v>
      </c>
      <c r="D784" s="674"/>
      <c r="E784" s="24">
        <f t="shared" si="144"/>
        <v>1</v>
      </c>
      <c r="F784" s="674"/>
      <c r="G784" s="24">
        <f t="shared" si="145"/>
        <v>1</v>
      </c>
      <c r="H784" s="674"/>
      <c r="I784" s="24">
        <f t="shared" si="146"/>
        <v>1</v>
      </c>
      <c r="J784" s="674"/>
      <c r="K784" s="24">
        <f t="shared" si="147"/>
        <v>1</v>
      </c>
      <c r="L784" s="674"/>
      <c r="M784" s="24">
        <f t="shared" si="148"/>
        <v>1</v>
      </c>
      <c r="N784" s="674"/>
      <c r="O784" s="24">
        <f t="shared" si="149"/>
        <v>1</v>
      </c>
      <c r="P784" s="674"/>
      <c r="Q784" s="24">
        <f t="shared" si="150"/>
        <v>0</v>
      </c>
      <c r="R784" s="670">
        <f t="shared" si="151"/>
        <v>0</v>
      </c>
      <c r="S784" s="322">
        <f t="shared" si="152"/>
        <v>0</v>
      </c>
    </row>
    <row r="785" spans="1:19">
      <c r="A785" s="155"/>
      <c r="B785" s="57"/>
      <c r="C785" s="24">
        <f t="shared" si="143"/>
        <v>1</v>
      </c>
      <c r="D785" s="674"/>
      <c r="E785" s="24">
        <f t="shared" si="144"/>
        <v>1</v>
      </c>
      <c r="F785" s="674"/>
      <c r="G785" s="24">
        <f t="shared" si="145"/>
        <v>1</v>
      </c>
      <c r="H785" s="674"/>
      <c r="I785" s="24">
        <f t="shared" si="146"/>
        <v>1</v>
      </c>
      <c r="J785" s="674"/>
      <c r="K785" s="24">
        <f t="shared" si="147"/>
        <v>1</v>
      </c>
      <c r="L785" s="674"/>
      <c r="M785" s="24">
        <f t="shared" si="148"/>
        <v>1</v>
      </c>
      <c r="N785" s="674"/>
      <c r="O785" s="24">
        <f t="shared" si="149"/>
        <v>1</v>
      </c>
      <c r="P785" s="674"/>
      <c r="Q785" s="24">
        <f t="shared" si="150"/>
        <v>0</v>
      </c>
      <c r="R785" s="670">
        <f t="shared" si="151"/>
        <v>0</v>
      </c>
      <c r="S785" s="322">
        <f t="shared" si="152"/>
        <v>0</v>
      </c>
    </row>
    <row r="786" spans="1:19">
      <c r="A786" s="155"/>
      <c r="B786" s="57"/>
      <c r="C786" s="24">
        <f t="shared" si="143"/>
        <v>1</v>
      </c>
      <c r="D786" s="674"/>
      <c r="E786" s="24">
        <f t="shared" si="144"/>
        <v>1</v>
      </c>
      <c r="F786" s="674"/>
      <c r="G786" s="24">
        <f t="shared" si="145"/>
        <v>1</v>
      </c>
      <c r="H786" s="674"/>
      <c r="I786" s="24">
        <f t="shared" si="146"/>
        <v>1</v>
      </c>
      <c r="J786" s="674"/>
      <c r="K786" s="24">
        <f t="shared" si="147"/>
        <v>1</v>
      </c>
      <c r="L786" s="674"/>
      <c r="M786" s="24">
        <f t="shared" si="148"/>
        <v>1</v>
      </c>
      <c r="N786" s="674"/>
      <c r="O786" s="24">
        <f t="shared" si="149"/>
        <v>1</v>
      </c>
      <c r="P786" s="674"/>
      <c r="Q786" s="24">
        <f t="shared" si="150"/>
        <v>0</v>
      </c>
      <c r="R786" s="670">
        <f t="shared" si="151"/>
        <v>0</v>
      </c>
      <c r="S786" s="322">
        <f t="shared" si="152"/>
        <v>0</v>
      </c>
    </row>
    <row r="787" spans="1:19">
      <c r="A787" s="155"/>
      <c r="B787" s="57"/>
      <c r="C787" s="24">
        <f t="shared" si="143"/>
        <v>1</v>
      </c>
      <c r="D787" s="674"/>
      <c r="E787" s="24">
        <f t="shared" si="144"/>
        <v>1</v>
      </c>
      <c r="F787" s="674"/>
      <c r="G787" s="24">
        <f t="shared" si="145"/>
        <v>1</v>
      </c>
      <c r="H787" s="674"/>
      <c r="I787" s="24">
        <f t="shared" si="146"/>
        <v>1</v>
      </c>
      <c r="J787" s="674"/>
      <c r="K787" s="24">
        <f t="shared" si="147"/>
        <v>1</v>
      </c>
      <c r="L787" s="674"/>
      <c r="M787" s="24">
        <f t="shared" si="148"/>
        <v>1</v>
      </c>
      <c r="N787" s="674"/>
      <c r="O787" s="24">
        <f t="shared" si="149"/>
        <v>1</v>
      </c>
      <c r="P787" s="674"/>
      <c r="Q787" s="24">
        <f t="shared" si="150"/>
        <v>0</v>
      </c>
      <c r="R787" s="670">
        <f t="shared" si="151"/>
        <v>0</v>
      </c>
      <c r="S787" s="322">
        <f t="shared" si="152"/>
        <v>0</v>
      </c>
    </row>
    <row r="788" spans="1:19">
      <c r="A788" s="155"/>
      <c r="B788" s="57"/>
      <c r="C788" s="24">
        <f t="shared" si="143"/>
        <v>1</v>
      </c>
      <c r="D788" s="674"/>
      <c r="E788" s="24">
        <f t="shared" si="144"/>
        <v>1</v>
      </c>
      <c r="F788" s="674"/>
      <c r="G788" s="24">
        <f t="shared" si="145"/>
        <v>1</v>
      </c>
      <c r="H788" s="674"/>
      <c r="I788" s="24">
        <f t="shared" si="146"/>
        <v>1</v>
      </c>
      <c r="J788" s="674"/>
      <c r="K788" s="24">
        <f t="shared" si="147"/>
        <v>1</v>
      </c>
      <c r="L788" s="674"/>
      <c r="M788" s="24">
        <f t="shared" si="148"/>
        <v>1</v>
      </c>
      <c r="N788" s="674"/>
      <c r="O788" s="24">
        <f t="shared" si="149"/>
        <v>1</v>
      </c>
      <c r="P788" s="674"/>
      <c r="Q788" s="24">
        <f t="shared" si="150"/>
        <v>0</v>
      </c>
      <c r="R788" s="670">
        <f t="shared" si="151"/>
        <v>0</v>
      </c>
      <c r="S788" s="322">
        <f t="shared" si="152"/>
        <v>0</v>
      </c>
    </row>
    <row r="789" spans="1:19">
      <c r="A789" s="155"/>
      <c r="B789" s="57"/>
      <c r="C789" s="24">
        <f t="shared" si="143"/>
        <v>1</v>
      </c>
      <c r="D789" s="674"/>
      <c r="E789" s="24">
        <f t="shared" si="144"/>
        <v>1</v>
      </c>
      <c r="F789" s="674"/>
      <c r="G789" s="24">
        <f t="shared" si="145"/>
        <v>1</v>
      </c>
      <c r="H789" s="674"/>
      <c r="I789" s="24">
        <f t="shared" si="146"/>
        <v>1</v>
      </c>
      <c r="J789" s="674"/>
      <c r="K789" s="24">
        <f t="shared" si="147"/>
        <v>1</v>
      </c>
      <c r="L789" s="674"/>
      <c r="M789" s="24">
        <f t="shared" si="148"/>
        <v>1</v>
      </c>
      <c r="N789" s="674"/>
      <c r="O789" s="24">
        <f t="shared" si="149"/>
        <v>1</v>
      </c>
      <c r="P789" s="674"/>
      <c r="Q789" s="24">
        <f t="shared" si="150"/>
        <v>0</v>
      </c>
      <c r="R789" s="670">
        <f t="shared" si="151"/>
        <v>0</v>
      </c>
      <c r="S789" s="322">
        <f t="shared" si="152"/>
        <v>0</v>
      </c>
    </row>
    <row r="790" spans="1:19">
      <c r="A790" s="155"/>
      <c r="B790" s="57"/>
      <c r="C790" s="24">
        <f t="shared" si="143"/>
        <v>1</v>
      </c>
      <c r="D790" s="674"/>
      <c r="E790" s="24">
        <f t="shared" si="144"/>
        <v>1</v>
      </c>
      <c r="F790" s="674"/>
      <c r="G790" s="24">
        <f t="shared" si="145"/>
        <v>1</v>
      </c>
      <c r="H790" s="674"/>
      <c r="I790" s="24">
        <f t="shared" si="146"/>
        <v>1</v>
      </c>
      <c r="J790" s="674"/>
      <c r="K790" s="24">
        <f t="shared" si="147"/>
        <v>1</v>
      </c>
      <c r="L790" s="674"/>
      <c r="M790" s="24">
        <f t="shared" si="148"/>
        <v>1</v>
      </c>
      <c r="N790" s="674"/>
      <c r="O790" s="24">
        <f t="shared" si="149"/>
        <v>1</v>
      </c>
      <c r="P790" s="674"/>
      <c r="Q790" s="24">
        <f t="shared" si="150"/>
        <v>0</v>
      </c>
      <c r="R790" s="670">
        <f t="shared" si="151"/>
        <v>0</v>
      </c>
      <c r="S790" s="322">
        <f t="shared" si="152"/>
        <v>0</v>
      </c>
    </row>
    <row r="791" spans="1:19">
      <c r="A791" s="155"/>
      <c r="B791" s="57"/>
      <c r="C791" s="24">
        <f t="shared" si="143"/>
        <v>1</v>
      </c>
      <c r="D791" s="674"/>
      <c r="E791" s="24">
        <f t="shared" si="144"/>
        <v>1</v>
      </c>
      <c r="F791" s="674"/>
      <c r="G791" s="24">
        <f t="shared" si="145"/>
        <v>1</v>
      </c>
      <c r="H791" s="674"/>
      <c r="I791" s="24">
        <f t="shared" si="146"/>
        <v>1</v>
      </c>
      <c r="J791" s="674"/>
      <c r="K791" s="24">
        <f t="shared" si="147"/>
        <v>1</v>
      </c>
      <c r="L791" s="674"/>
      <c r="M791" s="24">
        <f t="shared" si="148"/>
        <v>1</v>
      </c>
      <c r="N791" s="674"/>
      <c r="O791" s="24">
        <f t="shared" si="149"/>
        <v>1</v>
      </c>
      <c r="P791" s="674"/>
      <c r="Q791" s="24">
        <f t="shared" si="150"/>
        <v>0</v>
      </c>
      <c r="R791" s="670">
        <f t="shared" si="151"/>
        <v>0</v>
      </c>
      <c r="S791" s="322">
        <f t="shared" si="152"/>
        <v>0</v>
      </c>
    </row>
    <row r="792" spans="1:19">
      <c r="A792" s="155"/>
      <c r="B792" s="57"/>
      <c r="C792" s="24">
        <f t="shared" si="143"/>
        <v>1</v>
      </c>
      <c r="D792" s="674"/>
      <c r="E792" s="24">
        <f t="shared" si="144"/>
        <v>1</v>
      </c>
      <c r="F792" s="674"/>
      <c r="G792" s="24">
        <f t="shared" si="145"/>
        <v>1</v>
      </c>
      <c r="H792" s="674"/>
      <c r="I792" s="24">
        <f t="shared" si="146"/>
        <v>1</v>
      </c>
      <c r="J792" s="674"/>
      <c r="K792" s="24">
        <f t="shared" si="147"/>
        <v>1</v>
      </c>
      <c r="L792" s="674"/>
      <c r="M792" s="24">
        <f t="shared" si="148"/>
        <v>1</v>
      </c>
      <c r="N792" s="674"/>
      <c r="O792" s="24">
        <f t="shared" si="149"/>
        <v>1</v>
      </c>
      <c r="P792" s="674"/>
      <c r="Q792" s="24">
        <f t="shared" si="150"/>
        <v>0</v>
      </c>
      <c r="R792" s="670">
        <f t="shared" si="151"/>
        <v>0</v>
      </c>
      <c r="S792" s="322">
        <f t="shared" si="152"/>
        <v>0</v>
      </c>
    </row>
    <row r="793" spans="1:19">
      <c r="A793" s="155"/>
      <c r="B793" s="57"/>
      <c r="C793" s="24">
        <f t="shared" si="143"/>
        <v>1</v>
      </c>
      <c r="D793" s="674"/>
      <c r="E793" s="24">
        <f t="shared" si="144"/>
        <v>1</v>
      </c>
      <c r="F793" s="674"/>
      <c r="G793" s="24">
        <f t="shared" si="145"/>
        <v>1</v>
      </c>
      <c r="H793" s="674"/>
      <c r="I793" s="24">
        <f t="shared" si="146"/>
        <v>1</v>
      </c>
      <c r="J793" s="674"/>
      <c r="K793" s="24">
        <f t="shared" si="147"/>
        <v>1</v>
      </c>
      <c r="L793" s="674"/>
      <c r="M793" s="24">
        <f t="shared" si="148"/>
        <v>1</v>
      </c>
      <c r="N793" s="674"/>
      <c r="O793" s="24">
        <f t="shared" si="149"/>
        <v>1</v>
      </c>
      <c r="P793" s="674"/>
      <c r="Q793" s="24">
        <f t="shared" si="150"/>
        <v>0</v>
      </c>
      <c r="R793" s="670">
        <f t="shared" si="151"/>
        <v>0</v>
      </c>
      <c r="S793" s="322">
        <f t="shared" si="152"/>
        <v>0</v>
      </c>
    </row>
    <row r="794" spans="1:19">
      <c r="A794" s="155"/>
      <c r="B794" s="57"/>
      <c r="C794" s="24">
        <f t="shared" si="143"/>
        <v>1</v>
      </c>
      <c r="D794" s="674"/>
      <c r="E794" s="24">
        <f t="shared" si="144"/>
        <v>1</v>
      </c>
      <c r="F794" s="674"/>
      <c r="G794" s="24">
        <f t="shared" si="145"/>
        <v>1</v>
      </c>
      <c r="H794" s="674"/>
      <c r="I794" s="24">
        <f t="shared" si="146"/>
        <v>1</v>
      </c>
      <c r="J794" s="674"/>
      <c r="K794" s="24">
        <f t="shared" si="147"/>
        <v>1</v>
      </c>
      <c r="L794" s="674"/>
      <c r="M794" s="24">
        <f t="shared" si="148"/>
        <v>1</v>
      </c>
      <c r="N794" s="674"/>
      <c r="O794" s="24">
        <f t="shared" si="149"/>
        <v>1</v>
      </c>
      <c r="P794" s="674"/>
      <c r="Q794" s="24">
        <f t="shared" si="150"/>
        <v>0</v>
      </c>
      <c r="R794" s="670">
        <f t="shared" si="151"/>
        <v>0</v>
      </c>
      <c r="S794" s="322">
        <f t="shared" si="152"/>
        <v>0</v>
      </c>
    </row>
    <row r="795" spans="1:19">
      <c r="A795" s="155"/>
      <c r="B795" s="57"/>
      <c r="C795" s="24">
        <f t="shared" si="143"/>
        <v>1</v>
      </c>
      <c r="D795" s="674"/>
      <c r="E795" s="24">
        <f t="shared" si="144"/>
        <v>1</v>
      </c>
      <c r="F795" s="674"/>
      <c r="G795" s="24">
        <f t="shared" si="145"/>
        <v>1</v>
      </c>
      <c r="H795" s="674"/>
      <c r="I795" s="24">
        <f t="shared" si="146"/>
        <v>1</v>
      </c>
      <c r="J795" s="674"/>
      <c r="K795" s="24">
        <f t="shared" si="147"/>
        <v>1</v>
      </c>
      <c r="L795" s="674"/>
      <c r="M795" s="24">
        <f t="shared" si="148"/>
        <v>1</v>
      </c>
      <c r="N795" s="674"/>
      <c r="O795" s="24">
        <f t="shared" si="149"/>
        <v>1</v>
      </c>
      <c r="P795" s="674"/>
      <c r="Q795" s="24">
        <f t="shared" si="150"/>
        <v>0</v>
      </c>
      <c r="R795" s="670">
        <f t="shared" si="151"/>
        <v>0</v>
      </c>
      <c r="S795" s="322">
        <f t="shared" si="152"/>
        <v>0</v>
      </c>
    </row>
    <row r="796" spans="1:19">
      <c r="A796" s="155"/>
      <c r="B796" s="57"/>
      <c r="C796" s="24">
        <f t="shared" si="143"/>
        <v>1</v>
      </c>
      <c r="D796" s="674"/>
      <c r="E796" s="24">
        <f t="shared" si="144"/>
        <v>1</v>
      </c>
      <c r="F796" s="674"/>
      <c r="G796" s="24">
        <f t="shared" si="145"/>
        <v>1</v>
      </c>
      <c r="H796" s="674"/>
      <c r="I796" s="24">
        <f t="shared" si="146"/>
        <v>1</v>
      </c>
      <c r="J796" s="674"/>
      <c r="K796" s="24">
        <f t="shared" si="147"/>
        <v>1</v>
      </c>
      <c r="L796" s="674"/>
      <c r="M796" s="24">
        <f t="shared" si="148"/>
        <v>1</v>
      </c>
      <c r="N796" s="674"/>
      <c r="O796" s="24">
        <f t="shared" si="149"/>
        <v>1</v>
      </c>
      <c r="P796" s="674"/>
      <c r="Q796" s="24">
        <f t="shared" si="150"/>
        <v>0</v>
      </c>
      <c r="R796" s="670">
        <f t="shared" si="151"/>
        <v>0</v>
      </c>
      <c r="S796" s="322">
        <f t="shared" si="152"/>
        <v>0</v>
      </c>
    </row>
    <row r="797" spans="1:19">
      <c r="A797" s="155"/>
      <c r="B797" s="57"/>
      <c r="C797" s="24">
        <f t="shared" si="143"/>
        <v>1</v>
      </c>
      <c r="D797" s="674"/>
      <c r="E797" s="24">
        <f t="shared" si="144"/>
        <v>1</v>
      </c>
      <c r="F797" s="674"/>
      <c r="G797" s="24">
        <f t="shared" si="145"/>
        <v>1</v>
      </c>
      <c r="H797" s="674"/>
      <c r="I797" s="24">
        <f t="shared" si="146"/>
        <v>1</v>
      </c>
      <c r="J797" s="674"/>
      <c r="K797" s="24">
        <f t="shared" si="147"/>
        <v>1</v>
      </c>
      <c r="L797" s="674"/>
      <c r="M797" s="24">
        <f t="shared" si="148"/>
        <v>1</v>
      </c>
      <c r="N797" s="674"/>
      <c r="O797" s="24">
        <f t="shared" si="149"/>
        <v>1</v>
      </c>
      <c r="P797" s="674"/>
      <c r="Q797" s="24">
        <f t="shared" si="150"/>
        <v>0</v>
      </c>
      <c r="R797" s="670">
        <f t="shared" si="151"/>
        <v>0</v>
      </c>
      <c r="S797" s="322">
        <f t="shared" si="152"/>
        <v>0</v>
      </c>
    </row>
    <row r="798" spans="1:19">
      <c r="A798" s="155"/>
      <c r="B798" s="57"/>
      <c r="C798" s="24">
        <f t="shared" si="143"/>
        <v>1</v>
      </c>
      <c r="D798" s="674"/>
      <c r="E798" s="24">
        <f t="shared" si="144"/>
        <v>1</v>
      </c>
      <c r="F798" s="674"/>
      <c r="G798" s="24">
        <f t="shared" si="145"/>
        <v>1</v>
      </c>
      <c r="H798" s="674"/>
      <c r="I798" s="24">
        <f t="shared" si="146"/>
        <v>1</v>
      </c>
      <c r="J798" s="674"/>
      <c r="K798" s="24">
        <f t="shared" si="147"/>
        <v>1</v>
      </c>
      <c r="L798" s="674"/>
      <c r="M798" s="24">
        <f t="shared" si="148"/>
        <v>1</v>
      </c>
      <c r="N798" s="674"/>
      <c r="O798" s="24">
        <f t="shared" si="149"/>
        <v>1</v>
      </c>
      <c r="P798" s="674"/>
      <c r="Q798" s="24">
        <f t="shared" si="150"/>
        <v>0</v>
      </c>
      <c r="R798" s="670">
        <f t="shared" si="151"/>
        <v>0</v>
      </c>
      <c r="S798" s="322">
        <f t="shared" si="152"/>
        <v>0</v>
      </c>
    </row>
    <row r="799" spans="1:19">
      <c r="A799" s="155"/>
      <c r="B799" s="57"/>
      <c r="C799" s="24">
        <f t="shared" si="143"/>
        <v>1</v>
      </c>
      <c r="D799" s="674"/>
      <c r="E799" s="24">
        <f t="shared" si="144"/>
        <v>1</v>
      </c>
      <c r="F799" s="674"/>
      <c r="G799" s="24">
        <f t="shared" si="145"/>
        <v>1</v>
      </c>
      <c r="H799" s="674"/>
      <c r="I799" s="24">
        <f t="shared" si="146"/>
        <v>1</v>
      </c>
      <c r="J799" s="674"/>
      <c r="K799" s="24">
        <f t="shared" si="147"/>
        <v>1</v>
      </c>
      <c r="L799" s="674"/>
      <c r="M799" s="24">
        <f t="shared" si="148"/>
        <v>1</v>
      </c>
      <c r="N799" s="674"/>
      <c r="O799" s="24">
        <f t="shared" si="149"/>
        <v>1</v>
      </c>
      <c r="P799" s="674"/>
      <c r="Q799" s="24">
        <f t="shared" si="150"/>
        <v>0</v>
      </c>
      <c r="R799" s="670">
        <f t="shared" si="151"/>
        <v>0</v>
      </c>
      <c r="S799" s="322">
        <f t="shared" si="152"/>
        <v>0</v>
      </c>
    </row>
    <row r="800" spans="1:19">
      <c r="A800" s="155"/>
      <c r="B800" s="57"/>
      <c r="C800" s="24">
        <f t="shared" si="143"/>
        <v>1</v>
      </c>
      <c r="D800" s="674"/>
      <c r="E800" s="24">
        <f t="shared" si="144"/>
        <v>1</v>
      </c>
      <c r="F800" s="674"/>
      <c r="G800" s="24">
        <f t="shared" si="145"/>
        <v>1</v>
      </c>
      <c r="H800" s="674"/>
      <c r="I800" s="24">
        <f t="shared" si="146"/>
        <v>1</v>
      </c>
      <c r="J800" s="674"/>
      <c r="K800" s="24">
        <f t="shared" si="147"/>
        <v>1</v>
      </c>
      <c r="L800" s="674"/>
      <c r="M800" s="24">
        <f t="shared" si="148"/>
        <v>1</v>
      </c>
      <c r="N800" s="674"/>
      <c r="O800" s="24">
        <f t="shared" si="149"/>
        <v>1</v>
      </c>
      <c r="P800" s="674"/>
      <c r="Q800" s="24">
        <f t="shared" si="150"/>
        <v>0</v>
      </c>
      <c r="R800" s="670">
        <f t="shared" si="151"/>
        <v>0</v>
      </c>
      <c r="S800" s="322">
        <f t="shared" si="152"/>
        <v>0</v>
      </c>
    </row>
    <row r="801" spans="1:19">
      <c r="A801" s="155"/>
      <c r="B801" s="57"/>
      <c r="C801" s="24">
        <f t="shared" si="143"/>
        <v>1</v>
      </c>
      <c r="D801" s="674"/>
      <c r="E801" s="24">
        <f t="shared" si="144"/>
        <v>1</v>
      </c>
      <c r="F801" s="674"/>
      <c r="G801" s="24">
        <f t="shared" si="145"/>
        <v>1</v>
      </c>
      <c r="H801" s="674"/>
      <c r="I801" s="24">
        <f t="shared" si="146"/>
        <v>1</v>
      </c>
      <c r="J801" s="674"/>
      <c r="K801" s="24">
        <f t="shared" si="147"/>
        <v>1</v>
      </c>
      <c r="L801" s="674"/>
      <c r="M801" s="24">
        <f t="shared" si="148"/>
        <v>1</v>
      </c>
      <c r="N801" s="674"/>
      <c r="O801" s="24">
        <f t="shared" si="149"/>
        <v>1</v>
      </c>
      <c r="P801" s="674"/>
      <c r="Q801" s="24">
        <f t="shared" si="150"/>
        <v>0</v>
      </c>
      <c r="R801" s="670">
        <f t="shared" si="151"/>
        <v>0</v>
      </c>
      <c r="S801" s="322">
        <f t="shared" si="152"/>
        <v>0</v>
      </c>
    </row>
    <row r="802" spans="1:19">
      <c r="A802" s="155"/>
      <c r="B802" s="57"/>
      <c r="C802" s="24">
        <f t="shared" si="143"/>
        <v>1</v>
      </c>
      <c r="D802" s="674"/>
      <c r="E802" s="24">
        <f t="shared" si="144"/>
        <v>1</v>
      </c>
      <c r="F802" s="674"/>
      <c r="G802" s="24">
        <f t="shared" si="145"/>
        <v>1</v>
      </c>
      <c r="H802" s="674"/>
      <c r="I802" s="24">
        <f t="shared" si="146"/>
        <v>1</v>
      </c>
      <c r="J802" s="674"/>
      <c r="K802" s="24">
        <f t="shared" si="147"/>
        <v>1</v>
      </c>
      <c r="L802" s="674"/>
      <c r="M802" s="24">
        <f t="shared" si="148"/>
        <v>1</v>
      </c>
      <c r="N802" s="674"/>
      <c r="O802" s="24">
        <f t="shared" si="149"/>
        <v>1</v>
      </c>
      <c r="P802" s="674"/>
      <c r="Q802" s="24">
        <f t="shared" si="150"/>
        <v>0</v>
      </c>
      <c r="R802" s="670">
        <f t="shared" si="151"/>
        <v>0</v>
      </c>
      <c r="S802" s="322">
        <f t="shared" si="152"/>
        <v>0</v>
      </c>
    </row>
    <row r="803" spans="1:19">
      <c r="A803" s="155"/>
      <c r="B803" s="57"/>
      <c r="C803" s="24">
        <f t="shared" si="143"/>
        <v>1</v>
      </c>
      <c r="D803" s="674"/>
      <c r="E803" s="24">
        <f t="shared" si="144"/>
        <v>1</v>
      </c>
      <c r="F803" s="674"/>
      <c r="G803" s="24">
        <f t="shared" si="145"/>
        <v>1</v>
      </c>
      <c r="H803" s="674"/>
      <c r="I803" s="24">
        <f t="shared" si="146"/>
        <v>1</v>
      </c>
      <c r="J803" s="674"/>
      <c r="K803" s="24">
        <f t="shared" si="147"/>
        <v>1</v>
      </c>
      <c r="L803" s="674"/>
      <c r="M803" s="24">
        <f t="shared" si="148"/>
        <v>1</v>
      </c>
      <c r="N803" s="674"/>
      <c r="O803" s="24">
        <f t="shared" si="149"/>
        <v>1</v>
      </c>
      <c r="P803" s="674"/>
      <c r="Q803" s="24">
        <f t="shared" si="150"/>
        <v>0</v>
      </c>
      <c r="R803" s="670">
        <f t="shared" si="151"/>
        <v>0</v>
      </c>
      <c r="S803" s="322">
        <f t="shared" si="152"/>
        <v>0</v>
      </c>
    </row>
    <row r="804" spans="1:19">
      <c r="A804" s="155"/>
      <c r="B804" s="57"/>
      <c r="C804" s="24">
        <f t="shared" si="143"/>
        <v>1</v>
      </c>
      <c r="D804" s="674"/>
      <c r="E804" s="24">
        <f t="shared" si="144"/>
        <v>1</v>
      </c>
      <c r="F804" s="674"/>
      <c r="G804" s="24">
        <f t="shared" si="145"/>
        <v>1</v>
      </c>
      <c r="H804" s="674"/>
      <c r="I804" s="24">
        <f t="shared" si="146"/>
        <v>1</v>
      </c>
      <c r="J804" s="674"/>
      <c r="K804" s="24">
        <f t="shared" si="147"/>
        <v>1</v>
      </c>
      <c r="L804" s="674"/>
      <c r="M804" s="24">
        <f t="shared" si="148"/>
        <v>1</v>
      </c>
      <c r="N804" s="674"/>
      <c r="O804" s="24">
        <f t="shared" si="149"/>
        <v>1</v>
      </c>
      <c r="P804" s="674"/>
      <c r="Q804" s="24">
        <f t="shared" si="150"/>
        <v>0</v>
      </c>
      <c r="R804" s="670">
        <f t="shared" si="151"/>
        <v>0</v>
      </c>
      <c r="S804" s="322">
        <f t="shared" si="152"/>
        <v>0</v>
      </c>
    </row>
    <row r="805" spans="1:19">
      <c r="A805" s="155"/>
      <c r="B805" s="57"/>
      <c r="C805" s="24">
        <f t="shared" si="143"/>
        <v>1</v>
      </c>
      <c r="D805" s="674"/>
      <c r="E805" s="24">
        <f t="shared" si="144"/>
        <v>1</v>
      </c>
      <c r="F805" s="674"/>
      <c r="G805" s="24">
        <f t="shared" si="145"/>
        <v>1</v>
      </c>
      <c r="H805" s="674"/>
      <c r="I805" s="24">
        <f t="shared" si="146"/>
        <v>1</v>
      </c>
      <c r="J805" s="674"/>
      <c r="K805" s="24">
        <f t="shared" si="147"/>
        <v>1</v>
      </c>
      <c r="L805" s="674"/>
      <c r="M805" s="24">
        <f t="shared" si="148"/>
        <v>1</v>
      </c>
      <c r="N805" s="674"/>
      <c r="O805" s="24">
        <f t="shared" si="149"/>
        <v>1</v>
      </c>
      <c r="P805" s="674"/>
      <c r="Q805" s="24">
        <f t="shared" si="150"/>
        <v>0</v>
      </c>
      <c r="R805" s="670">
        <f t="shared" si="151"/>
        <v>0</v>
      </c>
      <c r="S805" s="322">
        <f t="shared" si="152"/>
        <v>0</v>
      </c>
    </row>
    <row r="806" spans="1:19">
      <c r="A806" s="155"/>
      <c r="B806" s="57"/>
      <c r="C806" s="24">
        <f t="shared" si="143"/>
        <v>1</v>
      </c>
      <c r="D806" s="674"/>
      <c r="E806" s="24">
        <f t="shared" si="144"/>
        <v>1</v>
      </c>
      <c r="F806" s="674"/>
      <c r="G806" s="24">
        <f t="shared" si="145"/>
        <v>1</v>
      </c>
      <c r="H806" s="674"/>
      <c r="I806" s="24">
        <f t="shared" si="146"/>
        <v>1</v>
      </c>
      <c r="J806" s="674"/>
      <c r="K806" s="24">
        <f t="shared" si="147"/>
        <v>1</v>
      </c>
      <c r="L806" s="674"/>
      <c r="M806" s="24">
        <f t="shared" si="148"/>
        <v>1</v>
      </c>
      <c r="N806" s="674"/>
      <c r="O806" s="24">
        <f t="shared" si="149"/>
        <v>1</v>
      </c>
      <c r="P806" s="674"/>
      <c r="Q806" s="24">
        <f t="shared" si="150"/>
        <v>0</v>
      </c>
      <c r="R806" s="670">
        <f t="shared" si="151"/>
        <v>0</v>
      </c>
      <c r="S806" s="322">
        <f t="shared" si="152"/>
        <v>0</v>
      </c>
    </row>
    <row r="807" spans="1:19">
      <c r="A807" s="155"/>
      <c r="B807" s="57"/>
      <c r="C807" s="24">
        <f t="shared" si="143"/>
        <v>1</v>
      </c>
      <c r="D807" s="674"/>
      <c r="E807" s="24">
        <f t="shared" si="144"/>
        <v>1</v>
      </c>
      <c r="F807" s="674"/>
      <c r="G807" s="24">
        <f t="shared" si="145"/>
        <v>1</v>
      </c>
      <c r="H807" s="674"/>
      <c r="I807" s="24">
        <f t="shared" si="146"/>
        <v>1</v>
      </c>
      <c r="J807" s="674"/>
      <c r="K807" s="24">
        <f t="shared" si="147"/>
        <v>1</v>
      </c>
      <c r="L807" s="674"/>
      <c r="M807" s="24">
        <f t="shared" si="148"/>
        <v>1</v>
      </c>
      <c r="N807" s="674"/>
      <c r="O807" s="24">
        <f t="shared" si="149"/>
        <v>1</v>
      </c>
      <c r="P807" s="674"/>
      <c r="Q807" s="24">
        <f t="shared" si="150"/>
        <v>0</v>
      </c>
      <c r="R807" s="670">
        <f t="shared" si="151"/>
        <v>0</v>
      </c>
      <c r="S807" s="322">
        <f t="shared" si="152"/>
        <v>0</v>
      </c>
    </row>
    <row r="808" spans="1:19">
      <c r="A808" s="155"/>
      <c r="B808" s="57"/>
      <c r="C808" s="24">
        <f t="shared" si="143"/>
        <v>1</v>
      </c>
      <c r="D808" s="674"/>
      <c r="E808" s="24">
        <f t="shared" si="144"/>
        <v>1</v>
      </c>
      <c r="F808" s="674"/>
      <c r="G808" s="24">
        <f t="shared" si="145"/>
        <v>1</v>
      </c>
      <c r="H808" s="674"/>
      <c r="I808" s="24">
        <f t="shared" si="146"/>
        <v>1</v>
      </c>
      <c r="J808" s="674"/>
      <c r="K808" s="24">
        <f t="shared" si="147"/>
        <v>1</v>
      </c>
      <c r="L808" s="674"/>
      <c r="M808" s="24">
        <f t="shared" si="148"/>
        <v>1</v>
      </c>
      <c r="N808" s="674"/>
      <c r="O808" s="24">
        <f t="shared" si="149"/>
        <v>1</v>
      </c>
      <c r="P808" s="674"/>
      <c r="Q808" s="24">
        <f t="shared" si="150"/>
        <v>0</v>
      </c>
      <c r="R808" s="670">
        <f t="shared" si="151"/>
        <v>0</v>
      </c>
      <c r="S808" s="322">
        <f t="shared" si="152"/>
        <v>0</v>
      </c>
    </row>
    <row r="809" spans="1:19">
      <c r="A809" s="155"/>
      <c r="B809" s="57"/>
      <c r="C809" s="24">
        <f t="shared" si="143"/>
        <v>1</v>
      </c>
      <c r="D809" s="674"/>
      <c r="E809" s="24">
        <f t="shared" si="144"/>
        <v>1</v>
      </c>
      <c r="F809" s="674"/>
      <c r="G809" s="24">
        <f t="shared" si="145"/>
        <v>1</v>
      </c>
      <c r="H809" s="674"/>
      <c r="I809" s="24">
        <f t="shared" si="146"/>
        <v>1</v>
      </c>
      <c r="J809" s="674"/>
      <c r="K809" s="24">
        <f t="shared" si="147"/>
        <v>1</v>
      </c>
      <c r="L809" s="674"/>
      <c r="M809" s="24">
        <f t="shared" si="148"/>
        <v>1</v>
      </c>
      <c r="N809" s="674"/>
      <c r="O809" s="24">
        <f t="shared" si="149"/>
        <v>1</v>
      </c>
      <c r="P809" s="674"/>
      <c r="Q809" s="24">
        <f t="shared" si="150"/>
        <v>0</v>
      </c>
      <c r="R809" s="670">
        <f t="shared" si="151"/>
        <v>0</v>
      </c>
      <c r="S809" s="322">
        <f t="shared" si="152"/>
        <v>0</v>
      </c>
    </row>
    <row r="810" spans="1:19">
      <c r="A810" s="155"/>
      <c r="B810" s="57"/>
      <c r="C810" s="24">
        <f t="shared" si="143"/>
        <v>1</v>
      </c>
      <c r="D810" s="674"/>
      <c r="E810" s="24">
        <f t="shared" si="144"/>
        <v>1</v>
      </c>
      <c r="F810" s="674"/>
      <c r="G810" s="24">
        <f t="shared" si="145"/>
        <v>1</v>
      </c>
      <c r="H810" s="674"/>
      <c r="I810" s="24">
        <f t="shared" si="146"/>
        <v>1</v>
      </c>
      <c r="J810" s="674"/>
      <c r="K810" s="24">
        <f t="shared" si="147"/>
        <v>1</v>
      </c>
      <c r="L810" s="674"/>
      <c r="M810" s="24">
        <f t="shared" si="148"/>
        <v>1</v>
      </c>
      <c r="N810" s="674"/>
      <c r="O810" s="24">
        <f t="shared" si="149"/>
        <v>1</v>
      </c>
      <c r="P810" s="674"/>
      <c r="Q810" s="24">
        <f t="shared" si="150"/>
        <v>0</v>
      </c>
      <c r="R810" s="670">
        <f t="shared" si="151"/>
        <v>0</v>
      </c>
      <c r="S810" s="322">
        <f t="shared" si="152"/>
        <v>0</v>
      </c>
    </row>
    <row r="811" spans="1:19">
      <c r="A811" s="155"/>
      <c r="B811" s="57"/>
      <c r="C811" s="24">
        <f t="shared" si="143"/>
        <v>1</v>
      </c>
      <c r="D811" s="674"/>
      <c r="E811" s="24">
        <f t="shared" si="144"/>
        <v>1</v>
      </c>
      <c r="F811" s="674"/>
      <c r="G811" s="24">
        <f t="shared" si="145"/>
        <v>1</v>
      </c>
      <c r="H811" s="674"/>
      <c r="I811" s="24">
        <f t="shared" si="146"/>
        <v>1</v>
      </c>
      <c r="J811" s="674"/>
      <c r="K811" s="24">
        <f t="shared" si="147"/>
        <v>1</v>
      </c>
      <c r="L811" s="674"/>
      <c r="M811" s="24">
        <f t="shared" si="148"/>
        <v>1</v>
      </c>
      <c r="N811" s="674"/>
      <c r="O811" s="24">
        <f t="shared" si="149"/>
        <v>1</v>
      </c>
      <c r="P811" s="674"/>
      <c r="Q811" s="24">
        <f t="shared" si="150"/>
        <v>0</v>
      </c>
      <c r="R811" s="670">
        <f t="shared" si="151"/>
        <v>0</v>
      </c>
      <c r="S811" s="322">
        <f t="shared" si="152"/>
        <v>0</v>
      </c>
    </row>
    <row r="812" spans="1:19">
      <c r="A812" s="155"/>
      <c r="B812" s="57"/>
      <c r="C812" s="24">
        <f t="shared" si="143"/>
        <v>1</v>
      </c>
      <c r="D812" s="674"/>
      <c r="E812" s="24">
        <f t="shared" si="144"/>
        <v>1</v>
      </c>
      <c r="F812" s="674"/>
      <c r="G812" s="24">
        <f t="shared" si="145"/>
        <v>1</v>
      </c>
      <c r="H812" s="674"/>
      <c r="I812" s="24">
        <f t="shared" si="146"/>
        <v>1</v>
      </c>
      <c r="J812" s="674"/>
      <c r="K812" s="24">
        <f t="shared" si="147"/>
        <v>1</v>
      </c>
      <c r="L812" s="674"/>
      <c r="M812" s="24">
        <f t="shared" si="148"/>
        <v>1</v>
      </c>
      <c r="N812" s="674"/>
      <c r="O812" s="24">
        <f t="shared" si="149"/>
        <v>1</v>
      </c>
      <c r="P812" s="674"/>
      <c r="Q812" s="24">
        <f t="shared" si="150"/>
        <v>0</v>
      </c>
      <c r="R812" s="670">
        <f t="shared" si="151"/>
        <v>0</v>
      </c>
      <c r="S812" s="322">
        <f t="shared" si="152"/>
        <v>0</v>
      </c>
    </row>
    <row r="813" spans="1:19">
      <c r="A813" s="155"/>
      <c r="B813" s="57"/>
      <c r="C813" s="24">
        <f t="shared" si="143"/>
        <v>1</v>
      </c>
      <c r="D813" s="674"/>
      <c r="E813" s="24">
        <f t="shared" si="144"/>
        <v>1</v>
      </c>
      <c r="F813" s="674"/>
      <c r="G813" s="24">
        <f t="shared" si="145"/>
        <v>1</v>
      </c>
      <c r="H813" s="674"/>
      <c r="I813" s="24">
        <f t="shared" si="146"/>
        <v>1</v>
      </c>
      <c r="J813" s="674"/>
      <c r="K813" s="24">
        <f t="shared" si="147"/>
        <v>1</v>
      </c>
      <c r="L813" s="674"/>
      <c r="M813" s="24">
        <f t="shared" si="148"/>
        <v>1</v>
      </c>
      <c r="N813" s="674"/>
      <c r="O813" s="24">
        <f t="shared" si="149"/>
        <v>1</v>
      </c>
      <c r="P813" s="674"/>
      <c r="Q813" s="24">
        <f t="shared" si="150"/>
        <v>0</v>
      </c>
      <c r="R813" s="670">
        <f t="shared" si="151"/>
        <v>0</v>
      </c>
      <c r="S813" s="322">
        <f t="shared" si="152"/>
        <v>0</v>
      </c>
    </row>
    <row r="814" spans="1:19">
      <c r="A814" s="155"/>
      <c r="B814" s="57"/>
      <c r="C814" s="24">
        <f t="shared" si="143"/>
        <v>1</v>
      </c>
      <c r="D814" s="674"/>
      <c r="E814" s="24">
        <f t="shared" si="144"/>
        <v>1</v>
      </c>
      <c r="F814" s="674"/>
      <c r="G814" s="24">
        <f t="shared" si="145"/>
        <v>1</v>
      </c>
      <c r="H814" s="674"/>
      <c r="I814" s="24">
        <f t="shared" si="146"/>
        <v>1</v>
      </c>
      <c r="J814" s="674"/>
      <c r="K814" s="24">
        <f t="shared" si="147"/>
        <v>1</v>
      </c>
      <c r="L814" s="674"/>
      <c r="M814" s="24">
        <f t="shared" si="148"/>
        <v>1</v>
      </c>
      <c r="N814" s="674"/>
      <c r="O814" s="24">
        <f t="shared" si="149"/>
        <v>1</v>
      </c>
      <c r="P814" s="674"/>
      <c r="Q814" s="24">
        <f t="shared" si="150"/>
        <v>0</v>
      </c>
      <c r="R814" s="670">
        <f t="shared" si="151"/>
        <v>0</v>
      </c>
      <c r="S814" s="322">
        <f t="shared" si="152"/>
        <v>0</v>
      </c>
    </row>
    <row r="815" spans="1:19">
      <c r="A815" s="155"/>
      <c r="B815" s="57"/>
      <c r="C815" s="24">
        <f t="shared" si="143"/>
        <v>1</v>
      </c>
      <c r="D815" s="674"/>
      <c r="E815" s="24">
        <f t="shared" si="144"/>
        <v>1</v>
      </c>
      <c r="F815" s="674"/>
      <c r="G815" s="24">
        <f t="shared" si="145"/>
        <v>1</v>
      </c>
      <c r="H815" s="674"/>
      <c r="I815" s="24">
        <f t="shared" si="146"/>
        <v>1</v>
      </c>
      <c r="J815" s="674"/>
      <c r="K815" s="24">
        <f t="shared" si="147"/>
        <v>1</v>
      </c>
      <c r="L815" s="674"/>
      <c r="M815" s="24">
        <f t="shared" si="148"/>
        <v>1</v>
      </c>
      <c r="N815" s="674"/>
      <c r="O815" s="24">
        <f t="shared" si="149"/>
        <v>1</v>
      </c>
      <c r="P815" s="674"/>
      <c r="Q815" s="24">
        <f t="shared" si="150"/>
        <v>0</v>
      </c>
      <c r="R815" s="670">
        <f t="shared" si="151"/>
        <v>0</v>
      </c>
      <c r="S815" s="322">
        <f t="shared" si="152"/>
        <v>0</v>
      </c>
    </row>
    <row r="816" spans="1:19">
      <c r="A816" s="155"/>
      <c r="B816" s="57"/>
      <c r="C816" s="24">
        <f t="shared" si="143"/>
        <v>1</v>
      </c>
      <c r="D816" s="674"/>
      <c r="E816" s="24">
        <f t="shared" si="144"/>
        <v>1</v>
      </c>
      <c r="F816" s="674"/>
      <c r="G816" s="24">
        <f t="shared" si="145"/>
        <v>1</v>
      </c>
      <c r="H816" s="674"/>
      <c r="I816" s="24">
        <f t="shared" si="146"/>
        <v>1</v>
      </c>
      <c r="J816" s="674"/>
      <c r="K816" s="24">
        <f t="shared" si="147"/>
        <v>1</v>
      </c>
      <c r="L816" s="674"/>
      <c r="M816" s="24">
        <f t="shared" si="148"/>
        <v>1</v>
      </c>
      <c r="N816" s="674"/>
      <c r="O816" s="24">
        <f t="shared" si="149"/>
        <v>1</v>
      </c>
      <c r="P816" s="674"/>
      <c r="Q816" s="24">
        <f t="shared" si="150"/>
        <v>0</v>
      </c>
      <c r="R816" s="670">
        <f t="shared" si="151"/>
        <v>0</v>
      </c>
      <c r="S816" s="322">
        <f t="shared" si="152"/>
        <v>0</v>
      </c>
    </row>
    <row r="817" spans="1:19">
      <c r="A817" s="155"/>
      <c r="B817" s="57"/>
      <c r="C817" s="24">
        <f t="shared" si="143"/>
        <v>1</v>
      </c>
      <c r="D817" s="674"/>
      <c r="E817" s="24">
        <f t="shared" si="144"/>
        <v>1</v>
      </c>
      <c r="F817" s="674"/>
      <c r="G817" s="24">
        <f t="shared" si="145"/>
        <v>1</v>
      </c>
      <c r="H817" s="674"/>
      <c r="I817" s="24">
        <f t="shared" si="146"/>
        <v>1</v>
      </c>
      <c r="J817" s="674"/>
      <c r="K817" s="24">
        <f t="shared" si="147"/>
        <v>1</v>
      </c>
      <c r="L817" s="674"/>
      <c r="M817" s="24">
        <f t="shared" si="148"/>
        <v>1</v>
      </c>
      <c r="N817" s="674"/>
      <c r="O817" s="24">
        <f t="shared" si="149"/>
        <v>1</v>
      </c>
      <c r="P817" s="674"/>
      <c r="Q817" s="24">
        <f t="shared" si="150"/>
        <v>0</v>
      </c>
      <c r="R817" s="670">
        <f t="shared" si="151"/>
        <v>0</v>
      </c>
      <c r="S817" s="322">
        <f t="shared" si="152"/>
        <v>0</v>
      </c>
    </row>
    <row r="818" spans="1:19">
      <c r="A818" s="155"/>
      <c r="B818" s="57"/>
      <c r="C818" s="24">
        <f t="shared" si="143"/>
        <v>1</v>
      </c>
      <c r="D818" s="674"/>
      <c r="E818" s="24">
        <f t="shared" si="144"/>
        <v>1</v>
      </c>
      <c r="F818" s="674"/>
      <c r="G818" s="24">
        <f t="shared" si="145"/>
        <v>1</v>
      </c>
      <c r="H818" s="674"/>
      <c r="I818" s="24">
        <f t="shared" si="146"/>
        <v>1</v>
      </c>
      <c r="J818" s="674"/>
      <c r="K818" s="24">
        <f t="shared" si="147"/>
        <v>1</v>
      </c>
      <c r="L818" s="674"/>
      <c r="M818" s="24">
        <f t="shared" si="148"/>
        <v>1</v>
      </c>
      <c r="N818" s="674"/>
      <c r="O818" s="24">
        <f t="shared" si="149"/>
        <v>1</v>
      </c>
      <c r="P818" s="674"/>
      <c r="Q818" s="24">
        <f t="shared" si="150"/>
        <v>0</v>
      </c>
      <c r="R818" s="670">
        <f t="shared" si="151"/>
        <v>0</v>
      </c>
      <c r="S818" s="322">
        <f t="shared" si="152"/>
        <v>0</v>
      </c>
    </row>
    <row r="819" spans="1:19">
      <c r="A819" s="155"/>
      <c r="B819" s="57"/>
      <c r="C819" s="24">
        <f t="shared" si="143"/>
        <v>1</v>
      </c>
      <c r="D819" s="674"/>
      <c r="E819" s="24">
        <f t="shared" si="144"/>
        <v>1</v>
      </c>
      <c r="F819" s="674"/>
      <c r="G819" s="24">
        <f t="shared" si="145"/>
        <v>1</v>
      </c>
      <c r="H819" s="674"/>
      <c r="I819" s="24">
        <f t="shared" si="146"/>
        <v>1</v>
      </c>
      <c r="J819" s="674"/>
      <c r="K819" s="24">
        <f t="shared" si="147"/>
        <v>1</v>
      </c>
      <c r="L819" s="674"/>
      <c r="M819" s="24">
        <f t="shared" si="148"/>
        <v>1</v>
      </c>
      <c r="N819" s="674"/>
      <c r="O819" s="24">
        <f t="shared" si="149"/>
        <v>1</v>
      </c>
      <c r="P819" s="674"/>
      <c r="Q819" s="24">
        <f t="shared" si="150"/>
        <v>0</v>
      </c>
      <c r="R819" s="670">
        <f t="shared" si="151"/>
        <v>0</v>
      </c>
      <c r="S819" s="322">
        <f t="shared" si="152"/>
        <v>0</v>
      </c>
    </row>
    <row r="820" spans="1:19">
      <c r="A820" s="155"/>
      <c r="B820" s="57"/>
      <c r="C820" s="24">
        <f t="shared" si="143"/>
        <v>1</v>
      </c>
      <c r="D820" s="674"/>
      <c r="E820" s="24">
        <f t="shared" si="144"/>
        <v>1</v>
      </c>
      <c r="F820" s="674"/>
      <c r="G820" s="24">
        <f t="shared" si="145"/>
        <v>1</v>
      </c>
      <c r="H820" s="674"/>
      <c r="I820" s="24">
        <f t="shared" si="146"/>
        <v>1</v>
      </c>
      <c r="J820" s="674"/>
      <c r="K820" s="24">
        <f t="shared" si="147"/>
        <v>1</v>
      </c>
      <c r="L820" s="674"/>
      <c r="M820" s="24">
        <f t="shared" si="148"/>
        <v>1</v>
      </c>
      <c r="N820" s="674"/>
      <c r="O820" s="24">
        <f t="shared" si="149"/>
        <v>1</v>
      </c>
      <c r="P820" s="674"/>
      <c r="Q820" s="24">
        <f t="shared" si="150"/>
        <v>0</v>
      </c>
      <c r="R820" s="670">
        <f t="shared" si="151"/>
        <v>0</v>
      </c>
      <c r="S820" s="322">
        <f t="shared" si="152"/>
        <v>0</v>
      </c>
    </row>
    <row r="821" spans="1:19">
      <c r="A821" s="155"/>
      <c r="B821" s="57"/>
      <c r="C821" s="24">
        <f t="shared" si="143"/>
        <v>1</v>
      </c>
      <c r="D821" s="674"/>
      <c r="E821" s="24">
        <f t="shared" si="144"/>
        <v>1</v>
      </c>
      <c r="F821" s="674"/>
      <c r="G821" s="24">
        <f t="shared" si="145"/>
        <v>1</v>
      </c>
      <c r="H821" s="674"/>
      <c r="I821" s="24">
        <f t="shared" si="146"/>
        <v>1</v>
      </c>
      <c r="J821" s="674"/>
      <c r="K821" s="24">
        <f t="shared" si="147"/>
        <v>1</v>
      </c>
      <c r="L821" s="674"/>
      <c r="M821" s="24">
        <f t="shared" si="148"/>
        <v>1</v>
      </c>
      <c r="N821" s="674"/>
      <c r="O821" s="24">
        <f t="shared" si="149"/>
        <v>1</v>
      </c>
      <c r="P821" s="674"/>
      <c r="Q821" s="24">
        <f t="shared" si="150"/>
        <v>0</v>
      </c>
      <c r="R821" s="670">
        <f t="shared" si="151"/>
        <v>0</v>
      </c>
      <c r="S821" s="322">
        <f t="shared" si="152"/>
        <v>0</v>
      </c>
    </row>
    <row r="822" spans="1:19">
      <c r="A822" s="155"/>
      <c r="B822" s="57"/>
      <c r="C822" s="24">
        <f t="shared" si="143"/>
        <v>1</v>
      </c>
      <c r="D822" s="674"/>
      <c r="E822" s="24">
        <f t="shared" si="144"/>
        <v>1</v>
      </c>
      <c r="F822" s="674"/>
      <c r="G822" s="24">
        <f t="shared" si="145"/>
        <v>1</v>
      </c>
      <c r="H822" s="674"/>
      <c r="I822" s="24">
        <f t="shared" si="146"/>
        <v>1</v>
      </c>
      <c r="J822" s="674"/>
      <c r="K822" s="24">
        <f t="shared" si="147"/>
        <v>1</v>
      </c>
      <c r="L822" s="674"/>
      <c r="M822" s="24">
        <f t="shared" si="148"/>
        <v>1</v>
      </c>
      <c r="N822" s="674"/>
      <c r="O822" s="24">
        <f t="shared" si="149"/>
        <v>1</v>
      </c>
      <c r="P822" s="674"/>
      <c r="Q822" s="24">
        <f t="shared" si="150"/>
        <v>0</v>
      </c>
      <c r="R822" s="670">
        <f t="shared" si="151"/>
        <v>0</v>
      </c>
      <c r="S822" s="322">
        <f t="shared" si="152"/>
        <v>0</v>
      </c>
    </row>
    <row r="823" spans="1:19">
      <c r="A823" s="155"/>
      <c r="B823" s="57"/>
      <c r="C823" s="24">
        <f t="shared" si="143"/>
        <v>1</v>
      </c>
      <c r="D823" s="674"/>
      <c r="E823" s="24">
        <f t="shared" si="144"/>
        <v>1</v>
      </c>
      <c r="F823" s="674"/>
      <c r="G823" s="24">
        <f t="shared" si="145"/>
        <v>1</v>
      </c>
      <c r="H823" s="674"/>
      <c r="I823" s="24">
        <f t="shared" si="146"/>
        <v>1</v>
      </c>
      <c r="J823" s="674"/>
      <c r="K823" s="24">
        <f t="shared" si="147"/>
        <v>1</v>
      </c>
      <c r="L823" s="674"/>
      <c r="M823" s="24">
        <f t="shared" si="148"/>
        <v>1</v>
      </c>
      <c r="N823" s="674"/>
      <c r="O823" s="24">
        <f t="shared" si="149"/>
        <v>1</v>
      </c>
      <c r="P823" s="674"/>
      <c r="Q823" s="24">
        <f t="shared" si="150"/>
        <v>0</v>
      </c>
      <c r="R823" s="670">
        <f t="shared" si="151"/>
        <v>0</v>
      </c>
      <c r="S823" s="322">
        <f t="shared" si="152"/>
        <v>0</v>
      </c>
    </row>
    <row r="824" spans="1:19">
      <c r="A824" s="155"/>
      <c r="B824" s="57"/>
      <c r="C824" s="24">
        <f t="shared" si="143"/>
        <v>1</v>
      </c>
      <c r="D824" s="674"/>
      <c r="E824" s="24">
        <f t="shared" si="144"/>
        <v>1</v>
      </c>
      <c r="F824" s="674"/>
      <c r="G824" s="24">
        <f t="shared" si="145"/>
        <v>1</v>
      </c>
      <c r="H824" s="674"/>
      <c r="I824" s="24">
        <f t="shared" si="146"/>
        <v>1</v>
      </c>
      <c r="J824" s="674"/>
      <c r="K824" s="24">
        <f t="shared" si="147"/>
        <v>1</v>
      </c>
      <c r="L824" s="674"/>
      <c r="M824" s="24">
        <f t="shared" si="148"/>
        <v>1</v>
      </c>
      <c r="N824" s="674"/>
      <c r="O824" s="24">
        <f t="shared" si="149"/>
        <v>1</v>
      </c>
      <c r="P824" s="674"/>
      <c r="Q824" s="24">
        <f t="shared" si="150"/>
        <v>0</v>
      </c>
      <c r="R824" s="670">
        <f t="shared" si="151"/>
        <v>0</v>
      </c>
      <c r="S824" s="322">
        <f t="shared" si="152"/>
        <v>0</v>
      </c>
    </row>
    <row r="825" spans="1:19">
      <c r="A825" s="155"/>
      <c r="B825" s="57"/>
      <c r="C825" s="24">
        <f t="shared" si="143"/>
        <v>1</v>
      </c>
      <c r="D825" s="674"/>
      <c r="E825" s="24">
        <f t="shared" si="144"/>
        <v>1</v>
      </c>
      <c r="F825" s="674"/>
      <c r="G825" s="24">
        <f t="shared" si="145"/>
        <v>1</v>
      </c>
      <c r="H825" s="674"/>
      <c r="I825" s="24">
        <f t="shared" si="146"/>
        <v>1</v>
      </c>
      <c r="J825" s="674"/>
      <c r="K825" s="24">
        <f t="shared" si="147"/>
        <v>1</v>
      </c>
      <c r="L825" s="674"/>
      <c r="M825" s="24">
        <f t="shared" si="148"/>
        <v>1</v>
      </c>
      <c r="N825" s="674"/>
      <c r="O825" s="24">
        <f t="shared" si="149"/>
        <v>1</v>
      </c>
      <c r="P825" s="674"/>
      <c r="Q825" s="24">
        <f t="shared" si="150"/>
        <v>0</v>
      </c>
      <c r="R825" s="670">
        <f t="shared" si="151"/>
        <v>0</v>
      </c>
      <c r="S825" s="322">
        <f t="shared" si="152"/>
        <v>0</v>
      </c>
    </row>
    <row r="826" spans="1:19">
      <c r="A826" s="155"/>
      <c r="B826" s="57"/>
      <c r="C826" s="24">
        <f t="shared" si="143"/>
        <v>1</v>
      </c>
      <c r="D826" s="674"/>
      <c r="E826" s="24">
        <f t="shared" si="144"/>
        <v>1</v>
      </c>
      <c r="F826" s="674"/>
      <c r="G826" s="24">
        <f t="shared" si="145"/>
        <v>1</v>
      </c>
      <c r="H826" s="674"/>
      <c r="I826" s="24">
        <f t="shared" si="146"/>
        <v>1</v>
      </c>
      <c r="J826" s="674"/>
      <c r="K826" s="24">
        <f t="shared" si="147"/>
        <v>1</v>
      </c>
      <c r="L826" s="674"/>
      <c r="M826" s="24">
        <f t="shared" si="148"/>
        <v>1</v>
      </c>
      <c r="N826" s="674"/>
      <c r="O826" s="24">
        <f t="shared" si="149"/>
        <v>1</v>
      </c>
      <c r="P826" s="674"/>
      <c r="Q826" s="24">
        <f t="shared" si="150"/>
        <v>0</v>
      </c>
      <c r="R826" s="670">
        <f t="shared" si="151"/>
        <v>0</v>
      </c>
      <c r="S826" s="322">
        <f t="shared" si="152"/>
        <v>0</v>
      </c>
    </row>
    <row r="827" spans="1:19">
      <c r="A827" s="155"/>
      <c r="B827" s="57"/>
      <c r="C827" s="24">
        <f t="shared" si="143"/>
        <v>1</v>
      </c>
      <c r="D827" s="674"/>
      <c r="E827" s="24">
        <f t="shared" si="144"/>
        <v>1</v>
      </c>
      <c r="F827" s="674"/>
      <c r="G827" s="24">
        <f t="shared" si="145"/>
        <v>1</v>
      </c>
      <c r="H827" s="674"/>
      <c r="I827" s="24">
        <f t="shared" si="146"/>
        <v>1</v>
      </c>
      <c r="J827" s="674"/>
      <c r="K827" s="24">
        <f t="shared" si="147"/>
        <v>1</v>
      </c>
      <c r="L827" s="674"/>
      <c r="M827" s="24">
        <f t="shared" si="148"/>
        <v>1</v>
      </c>
      <c r="N827" s="674"/>
      <c r="O827" s="24">
        <f t="shared" si="149"/>
        <v>1</v>
      </c>
      <c r="P827" s="674"/>
      <c r="Q827" s="24">
        <f t="shared" si="150"/>
        <v>0</v>
      </c>
      <c r="R827" s="670">
        <f t="shared" si="151"/>
        <v>0</v>
      </c>
      <c r="S827" s="322">
        <f t="shared" si="152"/>
        <v>0</v>
      </c>
    </row>
    <row r="828" spans="1:19">
      <c r="A828" s="155"/>
      <c r="B828" s="57"/>
      <c r="C828" s="24">
        <f t="shared" si="143"/>
        <v>1</v>
      </c>
      <c r="D828" s="674"/>
      <c r="E828" s="24">
        <f t="shared" si="144"/>
        <v>1</v>
      </c>
      <c r="F828" s="674"/>
      <c r="G828" s="24">
        <f t="shared" si="145"/>
        <v>1</v>
      </c>
      <c r="H828" s="674"/>
      <c r="I828" s="24">
        <f t="shared" si="146"/>
        <v>1</v>
      </c>
      <c r="J828" s="674"/>
      <c r="K828" s="24">
        <f t="shared" si="147"/>
        <v>1</v>
      </c>
      <c r="L828" s="674"/>
      <c r="M828" s="24">
        <f t="shared" si="148"/>
        <v>1</v>
      </c>
      <c r="N828" s="674"/>
      <c r="O828" s="24">
        <f t="shared" si="149"/>
        <v>1</v>
      </c>
      <c r="P828" s="674"/>
      <c r="Q828" s="24">
        <f t="shared" si="150"/>
        <v>0</v>
      </c>
      <c r="R828" s="670">
        <f t="shared" si="151"/>
        <v>0</v>
      </c>
      <c r="S828" s="322">
        <f t="shared" si="152"/>
        <v>0</v>
      </c>
    </row>
    <row r="829" spans="1:19">
      <c r="A829" s="155"/>
      <c r="B829" s="57"/>
      <c r="C829" s="24">
        <f t="shared" si="143"/>
        <v>1</v>
      </c>
      <c r="D829" s="674"/>
      <c r="E829" s="24">
        <f t="shared" si="144"/>
        <v>1</v>
      </c>
      <c r="F829" s="674"/>
      <c r="G829" s="24">
        <f t="shared" si="145"/>
        <v>1</v>
      </c>
      <c r="H829" s="674"/>
      <c r="I829" s="24">
        <f t="shared" si="146"/>
        <v>1</v>
      </c>
      <c r="J829" s="674"/>
      <c r="K829" s="24">
        <f t="shared" si="147"/>
        <v>1</v>
      </c>
      <c r="L829" s="674"/>
      <c r="M829" s="24">
        <f t="shared" si="148"/>
        <v>1</v>
      </c>
      <c r="N829" s="674"/>
      <c r="O829" s="24">
        <f t="shared" si="149"/>
        <v>1</v>
      </c>
      <c r="P829" s="674"/>
      <c r="Q829" s="24">
        <f t="shared" si="150"/>
        <v>0</v>
      </c>
      <c r="R829" s="670">
        <f t="shared" si="151"/>
        <v>0</v>
      </c>
      <c r="S829" s="322">
        <f t="shared" si="152"/>
        <v>0</v>
      </c>
    </row>
    <row r="830" spans="1:19">
      <c r="A830" s="155"/>
      <c r="B830" s="57"/>
      <c r="C830" s="24">
        <f t="shared" si="143"/>
        <v>1</v>
      </c>
      <c r="D830" s="674"/>
      <c r="E830" s="24">
        <f t="shared" si="144"/>
        <v>1</v>
      </c>
      <c r="F830" s="674"/>
      <c r="G830" s="24">
        <f t="shared" si="145"/>
        <v>1</v>
      </c>
      <c r="H830" s="674"/>
      <c r="I830" s="24">
        <f t="shared" si="146"/>
        <v>1</v>
      </c>
      <c r="J830" s="674"/>
      <c r="K830" s="24">
        <f t="shared" si="147"/>
        <v>1</v>
      </c>
      <c r="L830" s="674"/>
      <c r="M830" s="24">
        <f t="shared" si="148"/>
        <v>1</v>
      </c>
      <c r="N830" s="674"/>
      <c r="O830" s="24">
        <f t="shared" si="149"/>
        <v>1</v>
      </c>
      <c r="P830" s="674"/>
      <c r="Q830" s="24">
        <f t="shared" si="150"/>
        <v>0</v>
      </c>
      <c r="R830" s="670">
        <f t="shared" si="151"/>
        <v>0</v>
      </c>
      <c r="S830" s="322">
        <f t="shared" si="152"/>
        <v>0</v>
      </c>
    </row>
    <row r="831" spans="1:19">
      <c r="A831" s="155"/>
      <c r="B831" s="57"/>
      <c r="C831" s="24">
        <f t="shared" si="143"/>
        <v>1</v>
      </c>
      <c r="D831" s="674"/>
      <c r="E831" s="24">
        <f t="shared" si="144"/>
        <v>1</v>
      </c>
      <c r="F831" s="674"/>
      <c r="G831" s="24">
        <f t="shared" si="145"/>
        <v>1</v>
      </c>
      <c r="H831" s="674"/>
      <c r="I831" s="24">
        <f t="shared" si="146"/>
        <v>1</v>
      </c>
      <c r="J831" s="674"/>
      <c r="K831" s="24">
        <f t="shared" si="147"/>
        <v>1</v>
      </c>
      <c r="L831" s="674"/>
      <c r="M831" s="24">
        <f t="shared" si="148"/>
        <v>1</v>
      </c>
      <c r="N831" s="674"/>
      <c r="O831" s="24">
        <f t="shared" si="149"/>
        <v>1</v>
      </c>
      <c r="P831" s="674"/>
      <c r="Q831" s="24">
        <f t="shared" si="150"/>
        <v>0</v>
      </c>
      <c r="R831" s="670">
        <f t="shared" si="151"/>
        <v>0</v>
      </c>
      <c r="S831" s="322">
        <f t="shared" si="152"/>
        <v>0</v>
      </c>
    </row>
    <row r="832" spans="1:19">
      <c r="A832" s="155"/>
      <c r="B832" s="57"/>
      <c r="C832" s="24">
        <f t="shared" si="143"/>
        <v>1</v>
      </c>
      <c r="D832" s="674"/>
      <c r="E832" s="24">
        <f t="shared" si="144"/>
        <v>1</v>
      </c>
      <c r="F832" s="674"/>
      <c r="G832" s="24">
        <f t="shared" si="145"/>
        <v>1</v>
      </c>
      <c r="H832" s="674"/>
      <c r="I832" s="24">
        <f t="shared" si="146"/>
        <v>1</v>
      </c>
      <c r="J832" s="674"/>
      <c r="K832" s="24">
        <f t="shared" si="147"/>
        <v>1</v>
      </c>
      <c r="L832" s="674"/>
      <c r="M832" s="24">
        <f t="shared" si="148"/>
        <v>1</v>
      </c>
      <c r="N832" s="674"/>
      <c r="O832" s="24">
        <f t="shared" si="149"/>
        <v>1</v>
      </c>
      <c r="P832" s="674"/>
      <c r="Q832" s="24">
        <f t="shared" si="150"/>
        <v>0</v>
      </c>
      <c r="R832" s="670">
        <f t="shared" si="151"/>
        <v>0</v>
      </c>
      <c r="S832" s="322">
        <f t="shared" si="152"/>
        <v>0</v>
      </c>
    </row>
    <row r="833" spans="1:19">
      <c r="A833" s="155"/>
      <c r="B833" s="57"/>
      <c r="C833" s="24">
        <f t="shared" si="143"/>
        <v>1</v>
      </c>
      <c r="D833" s="674"/>
      <c r="E833" s="24">
        <f t="shared" si="144"/>
        <v>1</v>
      </c>
      <c r="F833" s="674"/>
      <c r="G833" s="24">
        <f t="shared" si="145"/>
        <v>1</v>
      </c>
      <c r="H833" s="674"/>
      <c r="I833" s="24">
        <f t="shared" si="146"/>
        <v>1</v>
      </c>
      <c r="J833" s="674"/>
      <c r="K833" s="24">
        <f t="shared" si="147"/>
        <v>1</v>
      </c>
      <c r="L833" s="674"/>
      <c r="M833" s="24">
        <f t="shared" si="148"/>
        <v>1</v>
      </c>
      <c r="N833" s="674"/>
      <c r="O833" s="24">
        <f t="shared" si="149"/>
        <v>1</v>
      </c>
      <c r="P833" s="674"/>
      <c r="Q833" s="24">
        <f t="shared" si="150"/>
        <v>0</v>
      </c>
      <c r="R833" s="670">
        <f t="shared" si="151"/>
        <v>0</v>
      </c>
      <c r="S833" s="322">
        <f t="shared" si="152"/>
        <v>0</v>
      </c>
    </row>
    <row r="834" spans="1:19">
      <c r="A834" s="155"/>
      <c r="B834" s="57"/>
      <c r="C834" s="24">
        <f t="shared" si="143"/>
        <v>1</v>
      </c>
      <c r="D834" s="674"/>
      <c r="E834" s="24">
        <f t="shared" si="144"/>
        <v>1</v>
      </c>
      <c r="F834" s="674"/>
      <c r="G834" s="24">
        <f t="shared" si="145"/>
        <v>1</v>
      </c>
      <c r="H834" s="674"/>
      <c r="I834" s="24">
        <f t="shared" si="146"/>
        <v>1</v>
      </c>
      <c r="J834" s="674"/>
      <c r="K834" s="24">
        <f t="shared" si="147"/>
        <v>1</v>
      </c>
      <c r="L834" s="674"/>
      <c r="M834" s="24">
        <f t="shared" si="148"/>
        <v>1</v>
      </c>
      <c r="N834" s="674"/>
      <c r="O834" s="24">
        <f t="shared" si="149"/>
        <v>1</v>
      </c>
      <c r="P834" s="674"/>
      <c r="Q834" s="24">
        <f t="shared" si="150"/>
        <v>0</v>
      </c>
      <c r="R834" s="670">
        <f t="shared" si="151"/>
        <v>0</v>
      </c>
      <c r="S834" s="322">
        <f t="shared" si="152"/>
        <v>0</v>
      </c>
    </row>
    <row r="835" spans="1:19">
      <c r="A835" s="155"/>
      <c r="B835" s="57"/>
      <c r="C835" s="24">
        <f t="shared" si="143"/>
        <v>1</v>
      </c>
      <c r="D835" s="674"/>
      <c r="E835" s="24">
        <f t="shared" si="144"/>
        <v>1</v>
      </c>
      <c r="F835" s="674"/>
      <c r="G835" s="24">
        <f t="shared" si="145"/>
        <v>1</v>
      </c>
      <c r="H835" s="674"/>
      <c r="I835" s="24">
        <f t="shared" si="146"/>
        <v>1</v>
      </c>
      <c r="J835" s="674"/>
      <c r="K835" s="24">
        <f t="shared" si="147"/>
        <v>1</v>
      </c>
      <c r="L835" s="674"/>
      <c r="M835" s="24">
        <f t="shared" si="148"/>
        <v>1</v>
      </c>
      <c r="N835" s="674"/>
      <c r="O835" s="24">
        <f t="shared" si="149"/>
        <v>1</v>
      </c>
      <c r="P835" s="674"/>
      <c r="Q835" s="24">
        <f t="shared" si="150"/>
        <v>0</v>
      </c>
      <c r="R835" s="670">
        <f t="shared" si="151"/>
        <v>0</v>
      </c>
      <c r="S835" s="322">
        <f t="shared" si="152"/>
        <v>0</v>
      </c>
    </row>
    <row r="836" spans="1:19">
      <c r="A836" s="155"/>
      <c r="B836" s="57"/>
      <c r="C836" s="24">
        <f t="shared" si="143"/>
        <v>1</v>
      </c>
      <c r="D836" s="674"/>
      <c r="E836" s="24">
        <f t="shared" si="144"/>
        <v>1</v>
      </c>
      <c r="F836" s="674"/>
      <c r="G836" s="24">
        <f t="shared" si="145"/>
        <v>1</v>
      </c>
      <c r="H836" s="674"/>
      <c r="I836" s="24">
        <f t="shared" si="146"/>
        <v>1</v>
      </c>
      <c r="J836" s="674"/>
      <c r="K836" s="24">
        <f t="shared" si="147"/>
        <v>1</v>
      </c>
      <c r="L836" s="674"/>
      <c r="M836" s="24">
        <f t="shared" si="148"/>
        <v>1</v>
      </c>
      <c r="N836" s="674"/>
      <c r="O836" s="24">
        <f t="shared" si="149"/>
        <v>1</v>
      </c>
      <c r="P836" s="674"/>
      <c r="Q836" s="24">
        <f t="shared" si="150"/>
        <v>0</v>
      </c>
      <c r="R836" s="670">
        <f t="shared" si="151"/>
        <v>0</v>
      </c>
      <c r="S836" s="322">
        <f t="shared" si="152"/>
        <v>0</v>
      </c>
    </row>
    <row r="837" spans="1:19">
      <c r="A837" s="155"/>
      <c r="B837" s="57"/>
      <c r="C837" s="24">
        <f t="shared" si="143"/>
        <v>1</v>
      </c>
      <c r="D837" s="674"/>
      <c r="E837" s="24">
        <f t="shared" si="144"/>
        <v>1</v>
      </c>
      <c r="F837" s="674"/>
      <c r="G837" s="24">
        <f t="shared" si="145"/>
        <v>1</v>
      </c>
      <c r="H837" s="674"/>
      <c r="I837" s="24">
        <f t="shared" si="146"/>
        <v>1</v>
      </c>
      <c r="J837" s="674"/>
      <c r="K837" s="24">
        <f t="shared" si="147"/>
        <v>1</v>
      </c>
      <c r="L837" s="674"/>
      <c r="M837" s="24">
        <f t="shared" si="148"/>
        <v>1</v>
      </c>
      <c r="N837" s="674"/>
      <c r="O837" s="24">
        <f t="shared" si="149"/>
        <v>1</v>
      </c>
      <c r="P837" s="674"/>
      <c r="Q837" s="24">
        <f t="shared" si="150"/>
        <v>0</v>
      </c>
      <c r="R837" s="670">
        <f t="shared" si="151"/>
        <v>0</v>
      </c>
      <c r="S837" s="322">
        <f t="shared" si="152"/>
        <v>0</v>
      </c>
    </row>
    <row r="838" spans="1:19">
      <c r="A838" s="155"/>
      <c r="B838" s="57"/>
      <c r="C838" s="24">
        <f t="shared" si="143"/>
        <v>1</v>
      </c>
      <c r="D838" s="674"/>
      <c r="E838" s="24">
        <f t="shared" si="144"/>
        <v>1</v>
      </c>
      <c r="F838" s="674"/>
      <c r="G838" s="24">
        <f t="shared" si="145"/>
        <v>1</v>
      </c>
      <c r="H838" s="674"/>
      <c r="I838" s="24">
        <f t="shared" si="146"/>
        <v>1</v>
      </c>
      <c r="J838" s="674"/>
      <c r="K838" s="24">
        <f t="shared" si="147"/>
        <v>1</v>
      </c>
      <c r="L838" s="674"/>
      <c r="M838" s="24">
        <f t="shared" si="148"/>
        <v>1</v>
      </c>
      <c r="N838" s="674"/>
      <c r="O838" s="24">
        <f t="shared" si="149"/>
        <v>1</v>
      </c>
      <c r="P838" s="674"/>
      <c r="Q838" s="24">
        <f t="shared" si="150"/>
        <v>0</v>
      </c>
      <c r="R838" s="670">
        <f t="shared" si="151"/>
        <v>0</v>
      </c>
      <c r="S838" s="322">
        <f t="shared" si="152"/>
        <v>0</v>
      </c>
    </row>
    <row r="839" spans="1:19">
      <c r="A839" s="155"/>
      <c r="B839" s="57"/>
      <c r="C839" s="24">
        <f t="shared" si="143"/>
        <v>1</v>
      </c>
      <c r="D839" s="674"/>
      <c r="E839" s="24">
        <f t="shared" si="144"/>
        <v>1</v>
      </c>
      <c r="F839" s="674"/>
      <c r="G839" s="24">
        <f t="shared" si="145"/>
        <v>1</v>
      </c>
      <c r="H839" s="674"/>
      <c r="I839" s="24">
        <f t="shared" si="146"/>
        <v>1</v>
      </c>
      <c r="J839" s="674"/>
      <c r="K839" s="24">
        <f t="shared" si="147"/>
        <v>1</v>
      </c>
      <c r="L839" s="674"/>
      <c r="M839" s="24">
        <f t="shared" si="148"/>
        <v>1</v>
      </c>
      <c r="N839" s="674"/>
      <c r="O839" s="24">
        <f t="shared" si="149"/>
        <v>1</v>
      </c>
      <c r="P839" s="674"/>
      <c r="Q839" s="24">
        <f t="shared" si="150"/>
        <v>0</v>
      </c>
      <c r="R839" s="670">
        <f t="shared" si="151"/>
        <v>0</v>
      </c>
      <c r="S839" s="322">
        <f t="shared" si="152"/>
        <v>0</v>
      </c>
    </row>
    <row r="840" spans="1:19">
      <c r="A840" s="155"/>
      <c r="B840" s="57"/>
      <c r="C840" s="24">
        <f t="shared" si="143"/>
        <v>1</v>
      </c>
      <c r="D840" s="674"/>
      <c r="E840" s="24">
        <f t="shared" si="144"/>
        <v>1</v>
      </c>
      <c r="F840" s="674"/>
      <c r="G840" s="24">
        <f t="shared" si="145"/>
        <v>1</v>
      </c>
      <c r="H840" s="674"/>
      <c r="I840" s="24">
        <f t="shared" si="146"/>
        <v>1</v>
      </c>
      <c r="J840" s="674"/>
      <c r="K840" s="24">
        <f t="shared" si="147"/>
        <v>1</v>
      </c>
      <c r="L840" s="674"/>
      <c r="M840" s="24">
        <f t="shared" si="148"/>
        <v>1</v>
      </c>
      <c r="N840" s="674"/>
      <c r="O840" s="24">
        <f t="shared" si="149"/>
        <v>1</v>
      </c>
      <c r="P840" s="674"/>
      <c r="Q840" s="24">
        <f t="shared" si="150"/>
        <v>0</v>
      </c>
      <c r="R840" s="670">
        <f t="shared" si="151"/>
        <v>0</v>
      </c>
      <c r="S840" s="322">
        <f t="shared" si="152"/>
        <v>0</v>
      </c>
    </row>
    <row r="841" spans="1:19">
      <c r="A841" s="155"/>
      <c r="B841" s="57"/>
      <c r="C841" s="24">
        <f t="shared" si="143"/>
        <v>1</v>
      </c>
      <c r="D841" s="674"/>
      <c r="E841" s="24">
        <f t="shared" si="144"/>
        <v>1</v>
      </c>
      <c r="F841" s="674"/>
      <c r="G841" s="24">
        <f t="shared" si="145"/>
        <v>1</v>
      </c>
      <c r="H841" s="674"/>
      <c r="I841" s="24">
        <f t="shared" si="146"/>
        <v>1</v>
      </c>
      <c r="J841" s="674"/>
      <c r="K841" s="24">
        <f t="shared" si="147"/>
        <v>1</v>
      </c>
      <c r="L841" s="674"/>
      <c r="M841" s="24">
        <f t="shared" si="148"/>
        <v>1</v>
      </c>
      <c r="N841" s="674"/>
      <c r="O841" s="24">
        <f t="shared" si="149"/>
        <v>1</v>
      </c>
      <c r="P841" s="674"/>
      <c r="Q841" s="24">
        <f t="shared" si="150"/>
        <v>0</v>
      </c>
      <c r="R841" s="670">
        <f t="shared" si="151"/>
        <v>0</v>
      </c>
      <c r="S841" s="322">
        <f t="shared" si="152"/>
        <v>0</v>
      </c>
    </row>
    <row r="842" spans="1:19">
      <c r="A842" s="155"/>
      <c r="B842" s="57"/>
      <c r="C842" s="24">
        <f t="shared" si="143"/>
        <v>1</v>
      </c>
      <c r="D842" s="674"/>
      <c r="E842" s="24">
        <f t="shared" si="144"/>
        <v>1</v>
      </c>
      <c r="F842" s="674"/>
      <c r="G842" s="24">
        <f t="shared" si="145"/>
        <v>1</v>
      </c>
      <c r="H842" s="674"/>
      <c r="I842" s="24">
        <f t="shared" si="146"/>
        <v>1</v>
      </c>
      <c r="J842" s="674"/>
      <c r="K842" s="24">
        <f t="shared" si="147"/>
        <v>1</v>
      </c>
      <c r="L842" s="674"/>
      <c r="M842" s="24">
        <f t="shared" si="148"/>
        <v>1</v>
      </c>
      <c r="N842" s="674"/>
      <c r="O842" s="24">
        <f t="shared" si="149"/>
        <v>1</v>
      </c>
      <c r="P842" s="674"/>
      <c r="Q842" s="24">
        <f t="shared" si="150"/>
        <v>0</v>
      </c>
      <c r="R842" s="670">
        <f t="shared" si="151"/>
        <v>0</v>
      </c>
      <c r="S842" s="322">
        <f t="shared" si="152"/>
        <v>0</v>
      </c>
    </row>
    <row r="843" spans="1:19">
      <c r="A843" s="155"/>
      <c r="B843" s="57"/>
      <c r="C843" s="24">
        <f t="shared" si="143"/>
        <v>1</v>
      </c>
      <c r="D843" s="674"/>
      <c r="E843" s="24">
        <f t="shared" si="144"/>
        <v>1</v>
      </c>
      <c r="F843" s="674"/>
      <c r="G843" s="24">
        <f t="shared" si="145"/>
        <v>1</v>
      </c>
      <c r="H843" s="674"/>
      <c r="I843" s="24">
        <f t="shared" si="146"/>
        <v>1</v>
      </c>
      <c r="J843" s="674"/>
      <c r="K843" s="24">
        <f t="shared" si="147"/>
        <v>1</v>
      </c>
      <c r="L843" s="674"/>
      <c r="M843" s="24">
        <f t="shared" si="148"/>
        <v>1</v>
      </c>
      <c r="N843" s="674"/>
      <c r="O843" s="24">
        <f t="shared" si="149"/>
        <v>1</v>
      </c>
      <c r="P843" s="674"/>
      <c r="Q843" s="24">
        <f t="shared" si="150"/>
        <v>0</v>
      </c>
      <c r="R843" s="670">
        <f t="shared" si="151"/>
        <v>0</v>
      </c>
      <c r="S843" s="322">
        <f t="shared" si="152"/>
        <v>0</v>
      </c>
    </row>
    <row r="844" spans="1:19">
      <c r="A844" s="155"/>
      <c r="B844" s="57"/>
      <c r="C844" s="24">
        <f t="shared" si="143"/>
        <v>1</v>
      </c>
      <c r="D844" s="674"/>
      <c r="E844" s="24">
        <f t="shared" si="144"/>
        <v>1</v>
      </c>
      <c r="F844" s="674"/>
      <c r="G844" s="24">
        <f t="shared" si="145"/>
        <v>1</v>
      </c>
      <c r="H844" s="674"/>
      <c r="I844" s="24">
        <f t="shared" si="146"/>
        <v>1</v>
      </c>
      <c r="J844" s="674"/>
      <c r="K844" s="24">
        <f t="shared" si="147"/>
        <v>1</v>
      </c>
      <c r="L844" s="674"/>
      <c r="M844" s="24">
        <f t="shared" si="148"/>
        <v>1</v>
      </c>
      <c r="N844" s="674"/>
      <c r="O844" s="24">
        <f t="shared" si="149"/>
        <v>1</v>
      </c>
      <c r="P844" s="674"/>
      <c r="Q844" s="24">
        <f t="shared" si="150"/>
        <v>0</v>
      </c>
      <c r="R844" s="670">
        <f t="shared" si="151"/>
        <v>0</v>
      </c>
      <c r="S844" s="322">
        <f t="shared" si="152"/>
        <v>0</v>
      </c>
    </row>
    <row r="845" spans="1:19">
      <c r="A845" s="155"/>
      <c r="B845" s="57"/>
      <c r="C845" s="24">
        <f t="shared" si="143"/>
        <v>1</v>
      </c>
      <c r="D845" s="674"/>
      <c r="E845" s="24">
        <f t="shared" si="144"/>
        <v>1</v>
      </c>
      <c r="F845" s="674"/>
      <c r="G845" s="24">
        <f t="shared" si="145"/>
        <v>1</v>
      </c>
      <c r="H845" s="674"/>
      <c r="I845" s="24">
        <f t="shared" si="146"/>
        <v>1</v>
      </c>
      <c r="J845" s="674"/>
      <c r="K845" s="24">
        <f t="shared" si="147"/>
        <v>1</v>
      </c>
      <c r="L845" s="674"/>
      <c r="M845" s="24">
        <f t="shared" si="148"/>
        <v>1</v>
      </c>
      <c r="N845" s="674"/>
      <c r="O845" s="24">
        <f t="shared" si="149"/>
        <v>1</v>
      </c>
      <c r="P845" s="674"/>
      <c r="Q845" s="24">
        <f t="shared" si="150"/>
        <v>0</v>
      </c>
      <c r="R845" s="670">
        <f t="shared" si="151"/>
        <v>0</v>
      </c>
      <c r="S845" s="322">
        <f t="shared" si="152"/>
        <v>0</v>
      </c>
    </row>
    <row r="846" spans="1:19">
      <c r="A846" s="155"/>
      <c r="B846" s="57"/>
      <c r="C846" s="24">
        <f t="shared" ref="C846:C909" si="153">IF(B846="",1,(LOOKUP(B846,$3:$3,$4:$4)-LOOKUP($B$24,$3:$3,$4:$4)+100)/100)</f>
        <v>1</v>
      </c>
      <c r="D846" s="674"/>
      <c r="E846" s="24">
        <f t="shared" ref="E846:E909" si="154">(SUMIF($5:$5,D846,$6:$6)-SUMIF($5:$5,$D$24,$6:$6)+100)/100</f>
        <v>1</v>
      </c>
      <c r="F846" s="674"/>
      <c r="G846" s="24">
        <f t="shared" ref="G846:G909" si="155">(SUMIF($7:$7,F846,$8:$8)-SUMIF($7:$7,$F$24,$8:$8)+100)/100</f>
        <v>1</v>
      </c>
      <c r="H846" s="674"/>
      <c r="I846" s="24">
        <f t="shared" ref="I846:I909" si="156">(SUMIF($9:$9,H846,$10:$10)-SUMIF($9:$9,$H$24,$10:$10)+100)/100</f>
        <v>1</v>
      </c>
      <c r="J846" s="674"/>
      <c r="K846" s="24">
        <f t="shared" ref="K846:K909" si="157">(SUMIF($11:$11,J846,$12:$12)-SUMIF($11:$11,$J$24,$12:$12)+100)/100</f>
        <v>1</v>
      </c>
      <c r="L846" s="674"/>
      <c r="M846" s="24">
        <f t="shared" ref="M846:M909" si="158">(SUMIF($13:$13,L846,$14:$14)-SUMIF($13:$13,$L$24,$14:$14)+100)/100</f>
        <v>1</v>
      </c>
      <c r="N846" s="674"/>
      <c r="O846" s="24">
        <f t="shared" ref="O846:O909" si="159">(SUMIF($15:$15,N846,$16:$16)-SUMIF($15:$15,$N$24,$16:$16)+100)/100</f>
        <v>1</v>
      </c>
      <c r="P846" s="674"/>
      <c r="Q846" s="24">
        <f t="shared" ref="Q846:Q909" si="160">(SUMIF($17:$17,P846,$18:$18)-SUMIF($17:$17,$P$24,$18:$18)+100)/100</f>
        <v>0</v>
      </c>
      <c r="R846" s="670">
        <f t="shared" ref="R846:R909" si="161">IF(B846="",0,ROUND($R$24*C846*E846*G846*I846*K846*M846*O846*Q846,0))</f>
        <v>0</v>
      </c>
      <c r="S846" s="322">
        <f t="shared" ref="S846:S909" si="162">ROUND(R846*B846/10000,0)</f>
        <v>0</v>
      </c>
    </row>
    <row r="847" spans="1:19">
      <c r="A847" s="155"/>
      <c r="B847" s="57"/>
      <c r="C847" s="24">
        <f t="shared" si="153"/>
        <v>1</v>
      </c>
      <c r="D847" s="674"/>
      <c r="E847" s="24">
        <f t="shared" si="154"/>
        <v>1</v>
      </c>
      <c r="F847" s="674"/>
      <c r="G847" s="24">
        <f t="shared" si="155"/>
        <v>1</v>
      </c>
      <c r="H847" s="674"/>
      <c r="I847" s="24">
        <f t="shared" si="156"/>
        <v>1</v>
      </c>
      <c r="J847" s="674"/>
      <c r="K847" s="24">
        <f t="shared" si="157"/>
        <v>1</v>
      </c>
      <c r="L847" s="674"/>
      <c r="M847" s="24">
        <f t="shared" si="158"/>
        <v>1</v>
      </c>
      <c r="N847" s="674"/>
      <c r="O847" s="24">
        <f t="shared" si="159"/>
        <v>1</v>
      </c>
      <c r="P847" s="674"/>
      <c r="Q847" s="24">
        <f t="shared" si="160"/>
        <v>0</v>
      </c>
      <c r="R847" s="670">
        <f t="shared" si="161"/>
        <v>0</v>
      </c>
      <c r="S847" s="322">
        <f t="shared" si="162"/>
        <v>0</v>
      </c>
    </row>
    <row r="848" spans="1:19">
      <c r="A848" s="155"/>
      <c r="B848" s="57"/>
      <c r="C848" s="24">
        <f t="shared" si="153"/>
        <v>1</v>
      </c>
      <c r="D848" s="674"/>
      <c r="E848" s="24">
        <f t="shared" si="154"/>
        <v>1</v>
      </c>
      <c r="F848" s="674"/>
      <c r="G848" s="24">
        <f t="shared" si="155"/>
        <v>1</v>
      </c>
      <c r="H848" s="674"/>
      <c r="I848" s="24">
        <f t="shared" si="156"/>
        <v>1</v>
      </c>
      <c r="J848" s="674"/>
      <c r="K848" s="24">
        <f t="shared" si="157"/>
        <v>1</v>
      </c>
      <c r="L848" s="674"/>
      <c r="M848" s="24">
        <f t="shared" si="158"/>
        <v>1</v>
      </c>
      <c r="N848" s="674"/>
      <c r="O848" s="24">
        <f t="shared" si="159"/>
        <v>1</v>
      </c>
      <c r="P848" s="674"/>
      <c r="Q848" s="24">
        <f t="shared" si="160"/>
        <v>0</v>
      </c>
      <c r="R848" s="670">
        <f t="shared" si="161"/>
        <v>0</v>
      </c>
      <c r="S848" s="322">
        <f t="shared" si="162"/>
        <v>0</v>
      </c>
    </row>
    <row r="849" spans="1:19">
      <c r="A849" s="155"/>
      <c r="B849" s="57"/>
      <c r="C849" s="24">
        <f t="shared" si="153"/>
        <v>1</v>
      </c>
      <c r="D849" s="674"/>
      <c r="E849" s="24">
        <f t="shared" si="154"/>
        <v>1</v>
      </c>
      <c r="F849" s="674"/>
      <c r="G849" s="24">
        <f t="shared" si="155"/>
        <v>1</v>
      </c>
      <c r="H849" s="674"/>
      <c r="I849" s="24">
        <f t="shared" si="156"/>
        <v>1</v>
      </c>
      <c r="J849" s="674"/>
      <c r="K849" s="24">
        <f t="shared" si="157"/>
        <v>1</v>
      </c>
      <c r="L849" s="674"/>
      <c r="M849" s="24">
        <f t="shared" si="158"/>
        <v>1</v>
      </c>
      <c r="N849" s="674"/>
      <c r="O849" s="24">
        <f t="shared" si="159"/>
        <v>1</v>
      </c>
      <c r="P849" s="674"/>
      <c r="Q849" s="24">
        <f t="shared" si="160"/>
        <v>0</v>
      </c>
      <c r="R849" s="670">
        <f t="shared" si="161"/>
        <v>0</v>
      </c>
      <c r="S849" s="322">
        <f t="shared" si="162"/>
        <v>0</v>
      </c>
    </row>
    <row r="850" spans="1:19">
      <c r="A850" s="155"/>
      <c r="B850" s="57"/>
      <c r="C850" s="24">
        <f t="shared" si="153"/>
        <v>1</v>
      </c>
      <c r="D850" s="674"/>
      <c r="E850" s="24">
        <f t="shared" si="154"/>
        <v>1</v>
      </c>
      <c r="F850" s="674"/>
      <c r="G850" s="24">
        <f t="shared" si="155"/>
        <v>1</v>
      </c>
      <c r="H850" s="674"/>
      <c r="I850" s="24">
        <f t="shared" si="156"/>
        <v>1</v>
      </c>
      <c r="J850" s="674"/>
      <c r="K850" s="24">
        <f t="shared" si="157"/>
        <v>1</v>
      </c>
      <c r="L850" s="674"/>
      <c r="M850" s="24">
        <f t="shared" si="158"/>
        <v>1</v>
      </c>
      <c r="N850" s="674"/>
      <c r="O850" s="24">
        <f t="shared" si="159"/>
        <v>1</v>
      </c>
      <c r="P850" s="674"/>
      <c r="Q850" s="24">
        <f t="shared" si="160"/>
        <v>0</v>
      </c>
      <c r="R850" s="670">
        <f t="shared" si="161"/>
        <v>0</v>
      </c>
      <c r="S850" s="322">
        <f t="shared" si="162"/>
        <v>0</v>
      </c>
    </row>
    <row r="851" spans="1:19">
      <c r="A851" s="155"/>
      <c r="B851" s="57"/>
      <c r="C851" s="24">
        <f t="shared" si="153"/>
        <v>1</v>
      </c>
      <c r="D851" s="674"/>
      <c r="E851" s="24">
        <f t="shared" si="154"/>
        <v>1</v>
      </c>
      <c r="F851" s="674"/>
      <c r="G851" s="24">
        <f t="shared" si="155"/>
        <v>1</v>
      </c>
      <c r="H851" s="674"/>
      <c r="I851" s="24">
        <f t="shared" si="156"/>
        <v>1</v>
      </c>
      <c r="J851" s="674"/>
      <c r="K851" s="24">
        <f t="shared" si="157"/>
        <v>1</v>
      </c>
      <c r="L851" s="674"/>
      <c r="M851" s="24">
        <f t="shared" si="158"/>
        <v>1</v>
      </c>
      <c r="N851" s="674"/>
      <c r="O851" s="24">
        <f t="shared" si="159"/>
        <v>1</v>
      </c>
      <c r="P851" s="674"/>
      <c r="Q851" s="24">
        <f t="shared" si="160"/>
        <v>0</v>
      </c>
      <c r="R851" s="670">
        <f t="shared" si="161"/>
        <v>0</v>
      </c>
      <c r="S851" s="322">
        <f t="shared" si="162"/>
        <v>0</v>
      </c>
    </row>
    <row r="852" spans="1:19">
      <c r="A852" s="155"/>
      <c r="B852" s="57"/>
      <c r="C852" s="24">
        <f t="shared" si="153"/>
        <v>1</v>
      </c>
      <c r="D852" s="674"/>
      <c r="E852" s="24">
        <f t="shared" si="154"/>
        <v>1</v>
      </c>
      <c r="F852" s="674"/>
      <c r="G852" s="24">
        <f t="shared" si="155"/>
        <v>1</v>
      </c>
      <c r="H852" s="674"/>
      <c r="I852" s="24">
        <f t="shared" si="156"/>
        <v>1</v>
      </c>
      <c r="J852" s="674"/>
      <c r="K852" s="24">
        <f t="shared" si="157"/>
        <v>1</v>
      </c>
      <c r="L852" s="674"/>
      <c r="M852" s="24">
        <f t="shared" si="158"/>
        <v>1</v>
      </c>
      <c r="N852" s="674"/>
      <c r="O852" s="24">
        <f t="shared" si="159"/>
        <v>1</v>
      </c>
      <c r="P852" s="674"/>
      <c r="Q852" s="24">
        <f t="shared" si="160"/>
        <v>0</v>
      </c>
      <c r="R852" s="670">
        <f t="shared" si="161"/>
        <v>0</v>
      </c>
      <c r="S852" s="322">
        <f t="shared" si="162"/>
        <v>0</v>
      </c>
    </row>
    <row r="853" spans="1:19">
      <c r="A853" s="155"/>
      <c r="B853" s="57"/>
      <c r="C853" s="24">
        <f t="shared" si="153"/>
        <v>1</v>
      </c>
      <c r="D853" s="674"/>
      <c r="E853" s="24">
        <f t="shared" si="154"/>
        <v>1</v>
      </c>
      <c r="F853" s="674"/>
      <c r="G853" s="24">
        <f t="shared" si="155"/>
        <v>1</v>
      </c>
      <c r="H853" s="674"/>
      <c r="I853" s="24">
        <f t="shared" si="156"/>
        <v>1</v>
      </c>
      <c r="J853" s="674"/>
      <c r="K853" s="24">
        <f t="shared" si="157"/>
        <v>1</v>
      </c>
      <c r="L853" s="674"/>
      <c r="M853" s="24">
        <f t="shared" si="158"/>
        <v>1</v>
      </c>
      <c r="N853" s="674"/>
      <c r="O853" s="24">
        <f t="shared" si="159"/>
        <v>1</v>
      </c>
      <c r="P853" s="674"/>
      <c r="Q853" s="24">
        <f t="shared" si="160"/>
        <v>0</v>
      </c>
      <c r="R853" s="670">
        <f t="shared" si="161"/>
        <v>0</v>
      </c>
      <c r="S853" s="322">
        <f t="shared" si="162"/>
        <v>0</v>
      </c>
    </row>
    <row r="854" spans="1:19">
      <c r="A854" s="155"/>
      <c r="B854" s="57"/>
      <c r="C854" s="24">
        <f t="shared" si="153"/>
        <v>1</v>
      </c>
      <c r="D854" s="674"/>
      <c r="E854" s="24">
        <f t="shared" si="154"/>
        <v>1</v>
      </c>
      <c r="F854" s="674"/>
      <c r="G854" s="24">
        <f t="shared" si="155"/>
        <v>1</v>
      </c>
      <c r="H854" s="674"/>
      <c r="I854" s="24">
        <f t="shared" si="156"/>
        <v>1</v>
      </c>
      <c r="J854" s="674"/>
      <c r="K854" s="24">
        <f t="shared" si="157"/>
        <v>1</v>
      </c>
      <c r="L854" s="674"/>
      <c r="M854" s="24">
        <f t="shared" si="158"/>
        <v>1</v>
      </c>
      <c r="N854" s="674"/>
      <c r="O854" s="24">
        <f t="shared" si="159"/>
        <v>1</v>
      </c>
      <c r="P854" s="674"/>
      <c r="Q854" s="24">
        <f t="shared" si="160"/>
        <v>0</v>
      </c>
      <c r="R854" s="670">
        <f t="shared" si="161"/>
        <v>0</v>
      </c>
      <c r="S854" s="322">
        <f t="shared" si="162"/>
        <v>0</v>
      </c>
    </row>
    <row r="855" spans="1:19">
      <c r="A855" s="155"/>
      <c r="B855" s="57"/>
      <c r="C855" s="24">
        <f t="shared" si="153"/>
        <v>1</v>
      </c>
      <c r="D855" s="674"/>
      <c r="E855" s="24">
        <f t="shared" si="154"/>
        <v>1</v>
      </c>
      <c r="F855" s="674"/>
      <c r="G855" s="24">
        <f t="shared" si="155"/>
        <v>1</v>
      </c>
      <c r="H855" s="674"/>
      <c r="I855" s="24">
        <f t="shared" si="156"/>
        <v>1</v>
      </c>
      <c r="J855" s="674"/>
      <c r="K855" s="24">
        <f t="shared" si="157"/>
        <v>1</v>
      </c>
      <c r="L855" s="674"/>
      <c r="M855" s="24">
        <f t="shared" si="158"/>
        <v>1</v>
      </c>
      <c r="N855" s="674"/>
      <c r="O855" s="24">
        <f t="shared" si="159"/>
        <v>1</v>
      </c>
      <c r="P855" s="674"/>
      <c r="Q855" s="24">
        <f t="shared" si="160"/>
        <v>0</v>
      </c>
      <c r="R855" s="670">
        <f t="shared" si="161"/>
        <v>0</v>
      </c>
      <c r="S855" s="322">
        <f t="shared" si="162"/>
        <v>0</v>
      </c>
    </row>
    <row r="856" spans="1:19">
      <c r="A856" s="155"/>
      <c r="B856" s="57"/>
      <c r="C856" s="24">
        <f t="shared" si="153"/>
        <v>1</v>
      </c>
      <c r="D856" s="674"/>
      <c r="E856" s="24">
        <f t="shared" si="154"/>
        <v>1</v>
      </c>
      <c r="F856" s="674"/>
      <c r="G856" s="24">
        <f t="shared" si="155"/>
        <v>1</v>
      </c>
      <c r="H856" s="674"/>
      <c r="I856" s="24">
        <f t="shared" si="156"/>
        <v>1</v>
      </c>
      <c r="J856" s="674"/>
      <c r="K856" s="24">
        <f t="shared" si="157"/>
        <v>1</v>
      </c>
      <c r="L856" s="674"/>
      <c r="M856" s="24">
        <f t="shared" si="158"/>
        <v>1</v>
      </c>
      <c r="N856" s="674"/>
      <c r="O856" s="24">
        <f t="shared" si="159"/>
        <v>1</v>
      </c>
      <c r="P856" s="674"/>
      <c r="Q856" s="24">
        <f t="shared" si="160"/>
        <v>0</v>
      </c>
      <c r="R856" s="670">
        <f t="shared" si="161"/>
        <v>0</v>
      </c>
      <c r="S856" s="322">
        <f t="shared" si="162"/>
        <v>0</v>
      </c>
    </row>
    <row r="857" spans="1:19">
      <c r="A857" s="155"/>
      <c r="B857" s="57"/>
      <c r="C857" s="24">
        <f t="shared" si="153"/>
        <v>1</v>
      </c>
      <c r="D857" s="674"/>
      <c r="E857" s="24">
        <f t="shared" si="154"/>
        <v>1</v>
      </c>
      <c r="F857" s="674"/>
      <c r="G857" s="24">
        <f t="shared" si="155"/>
        <v>1</v>
      </c>
      <c r="H857" s="674"/>
      <c r="I857" s="24">
        <f t="shared" si="156"/>
        <v>1</v>
      </c>
      <c r="J857" s="674"/>
      <c r="K857" s="24">
        <f t="shared" si="157"/>
        <v>1</v>
      </c>
      <c r="L857" s="674"/>
      <c r="M857" s="24">
        <f t="shared" si="158"/>
        <v>1</v>
      </c>
      <c r="N857" s="674"/>
      <c r="O857" s="24">
        <f t="shared" si="159"/>
        <v>1</v>
      </c>
      <c r="P857" s="674"/>
      <c r="Q857" s="24">
        <f t="shared" si="160"/>
        <v>0</v>
      </c>
      <c r="R857" s="670">
        <f t="shared" si="161"/>
        <v>0</v>
      </c>
      <c r="S857" s="322">
        <f t="shared" si="162"/>
        <v>0</v>
      </c>
    </row>
    <row r="858" spans="1:19">
      <c r="A858" s="155"/>
      <c r="B858" s="57"/>
      <c r="C858" s="24">
        <f t="shared" si="153"/>
        <v>1</v>
      </c>
      <c r="D858" s="674"/>
      <c r="E858" s="24">
        <f t="shared" si="154"/>
        <v>1</v>
      </c>
      <c r="F858" s="674"/>
      <c r="G858" s="24">
        <f t="shared" si="155"/>
        <v>1</v>
      </c>
      <c r="H858" s="674"/>
      <c r="I858" s="24">
        <f t="shared" si="156"/>
        <v>1</v>
      </c>
      <c r="J858" s="674"/>
      <c r="K858" s="24">
        <f t="shared" si="157"/>
        <v>1</v>
      </c>
      <c r="L858" s="674"/>
      <c r="M858" s="24">
        <f t="shared" si="158"/>
        <v>1</v>
      </c>
      <c r="N858" s="674"/>
      <c r="O858" s="24">
        <f t="shared" si="159"/>
        <v>1</v>
      </c>
      <c r="P858" s="674"/>
      <c r="Q858" s="24">
        <f t="shared" si="160"/>
        <v>0</v>
      </c>
      <c r="R858" s="670">
        <f t="shared" si="161"/>
        <v>0</v>
      </c>
      <c r="S858" s="322">
        <f t="shared" si="162"/>
        <v>0</v>
      </c>
    </row>
    <row r="859" spans="1:19">
      <c r="A859" s="155"/>
      <c r="B859" s="57"/>
      <c r="C859" s="24">
        <f t="shared" si="153"/>
        <v>1</v>
      </c>
      <c r="D859" s="674"/>
      <c r="E859" s="24">
        <f t="shared" si="154"/>
        <v>1</v>
      </c>
      <c r="F859" s="674"/>
      <c r="G859" s="24">
        <f t="shared" si="155"/>
        <v>1</v>
      </c>
      <c r="H859" s="674"/>
      <c r="I859" s="24">
        <f t="shared" si="156"/>
        <v>1</v>
      </c>
      <c r="J859" s="674"/>
      <c r="K859" s="24">
        <f t="shared" si="157"/>
        <v>1</v>
      </c>
      <c r="L859" s="674"/>
      <c r="M859" s="24">
        <f t="shared" si="158"/>
        <v>1</v>
      </c>
      <c r="N859" s="674"/>
      <c r="O859" s="24">
        <f t="shared" si="159"/>
        <v>1</v>
      </c>
      <c r="P859" s="674"/>
      <c r="Q859" s="24">
        <f t="shared" si="160"/>
        <v>0</v>
      </c>
      <c r="R859" s="670">
        <f t="shared" si="161"/>
        <v>0</v>
      </c>
      <c r="S859" s="322">
        <f t="shared" si="162"/>
        <v>0</v>
      </c>
    </row>
    <row r="860" spans="1:19">
      <c r="A860" s="155"/>
      <c r="B860" s="57"/>
      <c r="C860" s="24">
        <f t="shared" si="153"/>
        <v>1</v>
      </c>
      <c r="D860" s="674"/>
      <c r="E860" s="24">
        <f t="shared" si="154"/>
        <v>1</v>
      </c>
      <c r="F860" s="674"/>
      <c r="G860" s="24">
        <f t="shared" si="155"/>
        <v>1</v>
      </c>
      <c r="H860" s="674"/>
      <c r="I860" s="24">
        <f t="shared" si="156"/>
        <v>1</v>
      </c>
      <c r="J860" s="674"/>
      <c r="K860" s="24">
        <f t="shared" si="157"/>
        <v>1</v>
      </c>
      <c r="L860" s="674"/>
      <c r="M860" s="24">
        <f t="shared" si="158"/>
        <v>1</v>
      </c>
      <c r="N860" s="674"/>
      <c r="O860" s="24">
        <f t="shared" si="159"/>
        <v>1</v>
      </c>
      <c r="P860" s="674"/>
      <c r="Q860" s="24">
        <f t="shared" si="160"/>
        <v>0</v>
      </c>
      <c r="R860" s="670">
        <f t="shared" si="161"/>
        <v>0</v>
      </c>
      <c r="S860" s="322">
        <f t="shared" si="162"/>
        <v>0</v>
      </c>
    </row>
    <row r="861" spans="1:19">
      <c r="A861" s="155"/>
      <c r="B861" s="57"/>
      <c r="C861" s="24">
        <f t="shared" si="153"/>
        <v>1</v>
      </c>
      <c r="D861" s="674"/>
      <c r="E861" s="24">
        <f t="shared" si="154"/>
        <v>1</v>
      </c>
      <c r="F861" s="674"/>
      <c r="G861" s="24">
        <f t="shared" si="155"/>
        <v>1</v>
      </c>
      <c r="H861" s="674"/>
      <c r="I861" s="24">
        <f t="shared" si="156"/>
        <v>1</v>
      </c>
      <c r="J861" s="674"/>
      <c r="K861" s="24">
        <f t="shared" si="157"/>
        <v>1</v>
      </c>
      <c r="L861" s="674"/>
      <c r="M861" s="24">
        <f t="shared" si="158"/>
        <v>1</v>
      </c>
      <c r="N861" s="674"/>
      <c r="O861" s="24">
        <f t="shared" si="159"/>
        <v>1</v>
      </c>
      <c r="P861" s="674"/>
      <c r="Q861" s="24">
        <f t="shared" si="160"/>
        <v>0</v>
      </c>
      <c r="R861" s="670">
        <f t="shared" si="161"/>
        <v>0</v>
      </c>
      <c r="S861" s="322">
        <f t="shared" si="162"/>
        <v>0</v>
      </c>
    </row>
    <row r="862" spans="1:19">
      <c r="A862" s="155"/>
      <c r="B862" s="57"/>
      <c r="C862" s="24">
        <f t="shared" si="153"/>
        <v>1</v>
      </c>
      <c r="D862" s="674"/>
      <c r="E862" s="24">
        <f t="shared" si="154"/>
        <v>1</v>
      </c>
      <c r="F862" s="674"/>
      <c r="G862" s="24">
        <f t="shared" si="155"/>
        <v>1</v>
      </c>
      <c r="H862" s="674"/>
      <c r="I862" s="24">
        <f t="shared" si="156"/>
        <v>1</v>
      </c>
      <c r="J862" s="674"/>
      <c r="K862" s="24">
        <f t="shared" si="157"/>
        <v>1</v>
      </c>
      <c r="L862" s="674"/>
      <c r="M862" s="24">
        <f t="shared" si="158"/>
        <v>1</v>
      </c>
      <c r="N862" s="674"/>
      <c r="O862" s="24">
        <f t="shared" si="159"/>
        <v>1</v>
      </c>
      <c r="P862" s="674"/>
      <c r="Q862" s="24">
        <f t="shared" si="160"/>
        <v>0</v>
      </c>
      <c r="R862" s="670">
        <f t="shared" si="161"/>
        <v>0</v>
      </c>
      <c r="S862" s="322">
        <f t="shared" si="162"/>
        <v>0</v>
      </c>
    </row>
    <row r="863" spans="1:19">
      <c r="A863" s="155"/>
      <c r="B863" s="57"/>
      <c r="C863" s="24">
        <f t="shared" si="153"/>
        <v>1</v>
      </c>
      <c r="D863" s="674"/>
      <c r="E863" s="24">
        <f t="shared" si="154"/>
        <v>1</v>
      </c>
      <c r="F863" s="674"/>
      <c r="G863" s="24">
        <f t="shared" si="155"/>
        <v>1</v>
      </c>
      <c r="H863" s="674"/>
      <c r="I863" s="24">
        <f t="shared" si="156"/>
        <v>1</v>
      </c>
      <c r="J863" s="674"/>
      <c r="K863" s="24">
        <f t="shared" si="157"/>
        <v>1</v>
      </c>
      <c r="L863" s="674"/>
      <c r="M863" s="24">
        <f t="shared" si="158"/>
        <v>1</v>
      </c>
      <c r="N863" s="674"/>
      <c r="O863" s="24">
        <f t="shared" si="159"/>
        <v>1</v>
      </c>
      <c r="P863" s="674"/>
      <c r="Q863" s="24">
        <f t="shared" si="160"/>
        <v>0</v>
      </c>
      <c r="R863" s="670">
        <f t="shared" si="161"/>
        <v>0</v>
      </c>
      <c r="S863" s="322">
        <f t="shared" si="162"/>
        <v>0</v>
      </c>
    </row>
    <row r="864" spans="1:19">
      <c r="A864" s="155"/>
      <c r="B864" s="57"/>
      <c r="C864" s="24">
        <f t="shared" si="153"/>
        <v>1</v>
      </c>
      <c r="D864" s="674"/>
      <c r="E864" s="24">
        <f t="shared" si="154"/>
        <v>1</v>
      </c>
      <c r="F864" s="674"/>
      <c r="G864" s="24">
        <f t="shared" si="155"/>
        <v>1</v>
      </c>
      <c r="H864" s="674"/>
      <c r="I864" s="24">
        <f t="shared" si="156"/>
        <v>1</v>
      </c>
      <c r="J864" s="674"/>
      <c r="K864" s="24">
        <f t="shared" si="157"/>
        <v>1</v>
      </c>
      <c r="L864" s="674"/>
      <c r="M864" s="24">
        <f t="shared" si="158"/>
        <v>1</v>
      </c>
      <c r="N864" s="674"/>
      <c r="O864" s="24">
        <f t="shared" si="159"/>
        <v>1</v>
      </c>
      <c r="P864" s="674"/>
      <c r="Q864" s="24">
        <f t="shared" si="160"/>
        <v>0</v>
      </c>
      <c r="R864" s="670">
        <f t="shared" si="161"/>
        <v>0</v>
      </c>
      <c r="S864" s="322">
        <f t="shared" si="162"/>
        <v>0</v>
      </c>
    </row>
    <row r="865" spans="1:19">
      <c r="A865" s="155"/>
      <c r="B865" s="57"/>
      <c r="C865" s="24">
        <f t="shared" si="153"/>
        <v>1</v>
      </c>
      <c r="D865" s="674"/>
      <c r="E865" s="24">
        <f t="shared" si="154"/>
        <v>1</v>
      </c>
      <c r="F865" s="674"/>
      <c r="G865" s="24">
        <f t="shared" si="155"/>
        <v>1</v>
      </c>
      <c r="H865" s="674"/>
      <c r="I865" s="24">
        <f t="shared" si="156"/>
        <v>1</v>
      </c>
      <c r="J865" s="674"/>
      <c r="K865" s="24">
        <f t="shared" si="157"/>
        <v>1</v>
      </c>
      <c r="L865" s="674"/>
      <c r="M865" s="24">
        <f t="shared" si="158"/>
        <v>1</v>
      </c>
      <c r="N865" s="674"/>
      <c r="O865" s="24">
        <f t="shared" si="159"/>
        <v>1</v>
      </c>
      <c r="P865" s="674"/>
      <c r="Q865" s="24">
        <f t="shared" si="160"/>
        <v>0</v>
      </c>
      <c r="R865" s="670">
        <f t="shared" si="161"/>
        <v>0</v>
      </c>
      <c r="S865" s="322">
        <f t="shared" si="162"/>
        <v>0</v>
      </c>
    </row>
    <row r="866" spans="1:19">
      <c r="A866" s="155"/>
      <c r="B866" s="57"/>
      <c r="C866" s="24">
        <f t="shared" si="153"/>
        <v>1</v>
      </c>
      <c r="D866" s="674"/>
      <c r="E866" s="24">
        <f t="shared" si="154"/>
        <v>1</v>
      </c>
      <c r="F866" s="674"/>
      <c r="G866" s="24">
        <f t="shared" si="155"/>
        <v>1</v>
      </c>
      <c r="H866" s="674"/>
      <c r="I866" s="24">
        <f t="shared" si="156"/>
        <v>1</v>
      </c>
      <c r="J866" s="674"/>
      <c r="K866" s="24">
        <f t="shared" si="157"/>
        <v>1</v>
      </c>
      <c r="L866" s="674"/>
      <c r="M866" s="24">
        <f t="shared" si="158"/>
        <v>1</v>
      </c>
      <c r="N866" s="674"/>
      <c r="O866" s="24">
        <f t="shared" si="159"/>
        <v>1</v>
      </c>
      <c r="P866" s="674"/>
      <c r="Q866" s="24">
        <f t="shared" si="160"/>
        <v>0</v>
      </c>
      <c r="R866" s="670">
        <f t="shared" si="161"/>
        <v>0</v>
      </c>
      <c r="S866" s="322">
        <f t="shared" si="162"/>
        <v>0</v>
      </c>
    </row>
    <row r="867" spans="1:19">
      <c r="A867" s="155"/>
      <c r="B867" s="57"/>
      <c r="C867" s="24">
        <f t="shared" si="153"/>
        <v>1</v>
      </c>
      <c r="D867" s="674"/>
      <c r="E867" s="24">
        <f t="shared" si="154"/>
        <v>1</v>
      </c>
      <c r="F867" s="674"/>
      <c r="G867" s="24">
        <f t="shared" si="155"/>
        <v>1</v>
      </c>
      <c r="H867" s="674"/>
      <c r="I867" s="24">
        <f t="shared" si="156"/>
        <v>1</v>
      </c>
      <c r="J867" s="674"/>
      <c r="K867" s="24">
        <f t="shared" si="157"/>
        <v>1</v>
      </c>
      <c r="L867" s="674"/>
      <c r="M867" s="24">
        <f t="shared" si="158"/>
        <v>1</v>
      </c>
      <c r="N867" s="674"/>
      <c r="O867" s="24">
        <f t="shared" si="159"/>
        <v>1</v>
      </c>
      <c r="P867" s="674"/>
      <c r="Q867" s="24">
        <f t="shared" si="160"/>
        <v>0</v>
      </c>
      <c r="R867" s="670">
        <f t="shared" si="161"/>
        <v>0</v>
      </c>
      <c r="S867" s="322">
        <f t="shared" si="162"/>
        <v>0</v>
      </c>
    </row>
    <row r="868" spans="1:19">
      <c r="A868" s="155"/>
      <c r="B868" s="57"/>
      <c r="C868" s="24">
        <f t="shared" si="153"/>
        <v>1</v>
      </c>
      <c r="D868" s="674"/>
      <c r="E868" s="24">
        <f t="shared" si="154"/>
        <v>1</v>
      </c>
      <c r="F868" s="674"/>
      <c r="G868" s="24">
        <f t="shared" si="155"/>
        <v>1</v>
      </c>
      <c r="H868" s="674"/>
      <c r="I868" s="24">
        <f t="shared" si="156"/>
        <v>1</v>
      </c>
      <c r="J868" s="674"/>
      <c r="K868" s="24">
        <f t="shared" si="157"/>
        <v>1</v>
      </c>
      <c r="L868" s="674"/>
      <c r="M868" s="24">
        <f t="shared" si="158"/>
        <v>1</v>
      </c>
      <c r="N868" s="674"/>
      <c r="O868" s="24">
        <f t="shared" si="159"/>
        <v>1</v>
      </c>
      <c r="P868" s="674"/>
      <c r="Q868" s="24">
        <f t="shared" si="160"/>
        <v>0</v>
      </c>
      <c r="R868" s="670">
        <f t="shared" si="161"/>
        <v>0</v>
      </c>
      <c r="S868" s="322">
        <f t="shared" si="162"/>
        <v>0</v>
      </c>
    </row>
    <row r="869" spans="1:19">
      <c r="A869" s="155"/>
      <c r="B869" s="57"/>
      <c r="C869" s="24">
        <f t="shared" si="153"/>
        <v>1</v>
      </c>
      <c r="D869" s="674"/>
      <c r="E869" s="24">
        <f t="shared" si="154"/>
        <v>1</v>
      </c>
      <c r="F869" s="674"/>
      <c r="G869" s="24">
        <f t="shared" si="155"/>
        <v>1</v>
      </c>
      <c r="H869" s="674"/>
      <c r="I869" s="24">
        <f t="shared" si="156"/>
        <v>1</v>
      </c>
      <c r="J869" s="674"/>
      <c r="K869" s="24">
        <f t="shared" si="157"/>
        <v>1</v>
      </c>
      <c r="L869" s="674"/>
      <c r="M869" s="24">
        <f t="shared" si="158"/>
        <v>1</v>
      </c>
      <c r="N869" s="674"/>
      <c r="O869" s="24">
        <f t="shared" si="159"/>
        <v>1</v>
      </c>
      <c r="P869" s="674"/>
      <c r="Q869" s="24">
        <f t="shared" si="160"/>
        <v>0</v>
      </c>
      <c r="R869" s="670">
        <f t="shared" si="161"/>
        <v>0</v>
      </c>
      <c r="S869" s="322">
        <f t="shared" si="162"/>
        <v>0</v>
      </c>
    </row>
    <row r="870" spans="1:19">
      <c r="A870" s="155"/>
      <c r="B870" s="57"/>
      <c r="C870" s="24">
        <f t="shared" si="153"/>
        <v>1</v>
      </c>
      <c r="D870" s="674"/>
      <c r="E870" s="24">
        <f t="shared" si="154"/>
        <v>1</v>
      </c>
      <c r="F870" s="674"/>
      <c r="G870" s="24">
        <f t="shared" si="155"/>
        <v>1</v>
      </c>
      <c r="H870" s="674"/>
      <c r="I870" s="24">
        <f t="shared" si="156"/>
        <v>1</v>
      </c>
      <c r="J870" s="674"/>
      <c r="K870" s="24">
        <f t="shared" si="157"/>
        <v>1</v>
      </c>
      <c r="L870" s="674"/>
      <c r="M870" s="24">
        <f t="shared" si="158"/>
        <v>1</v>
      </c>
      <c r="N870" s="674"/>
      <c r="O870" s="24">
        <f t="shared" si="159"/>
        <v>1</v>
      </c>
      <c r="P870" s="674"/>
      <c r="Q870" s="24">
        <f t="shared" si="160"/>
        <v>0</v>
      </c>
      <c r="R870" s="670">
        <f t="shared" si="161"/>
        <v>0</v>
      </c>
      <c r="S870" s="322">
        <f t="shared" si="162"/>
        <v>0</v>
      </c>
    </row>
    <row r="871" spans="1:19">
      <c r="A871" s="155"/>
      <c r="B871" s="57"/>
      <c r="C871" s="24">
        <f t="shared" si="153"/>
        <v>1</v>
      </c>
      <c r="D871" s="674"/>
      <c r="E871" s="24">
        <f t="shared" si="154"/>
        <v>1</v>
      </c>
      <c r="F871" s="674"/>
      <c r="G871" s="24">
        <f t="shared" si="155"/>
        <v>1</v>
      </c>
      <c r="H871" s="674"/>
      <c r="I871" s="24">
        <f t="shared" si="156"/>
        <v>1</v>
      </c>
      <c r="J871" s="674"/>
      <c r="K871" s="24">
        <f t="shared" si="157"/>
        <v>1</v>
      </c>
      <c r="L871" s="674"/>
      <c r="M871" s="24">
        <f t="shared" si="158"/>
        <v>1</v>
      </c>
      <c r="N871" s="674"/>
      <c r="O871" s="24">
        <f t="shared" si="159"/>
        <v>1</v>
      </c>
      <c r="P871" s="674"/>
      <c r="Q871" s="24">
        <f t="shared" si="160"/>
        <v>0</v>
      </c>
      <c r="R871" s="670">
        <f t="shared" si="161"/>
        <v>0</v>
      </c>
      <c r="S871" s="322">
        <f t="shared" si="162"/>
        <v>0</v>
      </c>
    </row>
    <row r="872" spans="1:19">
      <c r="A872" s="155"/>
      <c r="B872" s="57"/>
      <c r="C872" s="24">
        <f t="shared" si="153"/>
        <v>1</v>
      </c>
      <c r="D872" s="674"/>
      <c r="E872" s="24">
        <f t="shared" si="154"/>
        <v>1</v>
      </c>
      <c r="F872" s="674"/>
      <c r="G872" s="24">
        <f t="shared" si="155"/>
        <v>1</v>
      </c>
      <c r="H872" s="674"/>
      <c r="I872" s="24">
        <f t="shared" si="156"/>
        <v>1</v>
      </c>
      <c r="J872" s="674"/>
      <c r="K872" s="24">
        <f t="shared" si="157"/>
        <v>1</v>
      </c>
      <c r="L872" s="674"/>
      <c r="M872" s="24">
        <f t="shared" si="158"/>
        <v>1</v>
      </c>
      <c r="N872" s="674"/>
      <c r="O872" s="24">
        <f t="shared" si="159"/>
        <v>1</v>
      </c>
      <c r="P872" s="674"/>
      <c r="Q872" s="24">
        <f t="shared" si="160"/>
        <v>0</v>
      </c>
      <c r="R872" s="670">
        <f t="shared" si="161"/>
        <v>0</v>
      </c>
      <c r="S872" s="322">
        <f t="shared" si="162"/>
        <v>0</v>
      </c>
    </row>
    <row r="873" spans="1:19">
      <c r="A873" s="155"/>
      <c r="B873" s="57"/>
      <c r="C873" s="24">
        <f t="shared" si="153"/>
        <v>1</v>
      </c>
      <c r="D873" s="674"/>
      <c r="E873" s="24">
        <f t="shared" si="154"/>
        <v>1</v>
      </c>
      <c r="F873" s="674"/>
      <c r="G873" s="24">
        <f t="shared" si="155"/>
        <v>1</v>
      </c>
      <c r="H873" s="674"/>
      <c r="I873" s="24">
        <f t="shared" si="156"/>
        <v>1</v>
      </c>
      <c r="J873" s="674"/>
      <c r="K873" s="24">
        <f t="shared" si="157"/>
        <v>1</v>
      </c>
      <c r="L873" s="674"/>
      <c r="M873" s="24">
        <f t="shared" si="158"/>
        <v>1</v>
      </c>
      <c r="N873" s="674"/>
      <c r="O873" s="24">
        <f t="shared" si="159"/>
        <v>1</v>
      </c>
      <c r="P873" s="674"/>
      <c r="Q873" s="24">
        <f t="shared" si="160"/>
        <v>0</v>
      </c>
      <c r="R873" s="670">
        <f t="shared" si="161"/>
        <v>0</v>
      </c>
      <c r="S873" s="322">
        <f t="shared" si="162"/>
        <v>0</v>
      </c>
    </row>
    <row r="874" spans="1:19">
      <c r="A874" s="155"/>
      <c r="B874" s="57"/>
      <c r="C874" s="24">
        <f t="shared" si="153"/>
        <v>1</v>
      </c>
      <c r="D874" s="674"/>
      <c r="E874" s="24">
        <f t="shared" si="154"/>
        <v>1</v>
      </c>
      <c r="F874" s="674"/>
      <c r="G874" s="24">
        <f t="shared" si="155"/>
        <v>1</v>
      </c>
      <c r="H874" s="674"/>
      <c r="I874" s="24">
        <f t="shared" si="156"/>
        <v>1</v>
      </c>
      <c r="J874" s="674"/>
      <c r="K874" s="24">
        <f t="shared" si="157"/>
        <v>1</v>
      </c>
      <c r="L874" s="674"/>
      <c r="M874" s="24">
        <f t="shared" si="158"/>
        <v>1</v>
      </c>
      <c r="N874" s="674"/>
      <c r="O874" s="24">
        <f t="shared" si="159"/>
        <v>1</v>
      </c>
      <c r="P874" s="674"/>
      <c r="Q874" s="24">
        <f t="shared" si="160"/>
        <v>0</v>
      </c>
      <c r="R874" s="670">
        <f t="shared" si="161"/>
        <v>0</v>
      </c>
      <c r="S874" s="322">
        <f t="shared" si="162"/>
        <v>0</v>
      </c>
    </row>
    <row r="875" spans="1:19">
      <c r="A875" s="155"/>
      <c r="B875" s="57"/>
      <c r="C875" s="24">
        <f t="shared" si="153"/>
        <v>1</v>
      </c>
      <c r="D875" s="674"/>
      <c r="E875" s="24">
        <f t="shared" si="154"/>
        <v>1</v>
      </c>
      <c r="F875" s="674"/>
      <c r="G875" s="24">
        <f t="shared" si="155"/>
        <v>1</v>
      </c>
      <c r="H875" s="674"/>
      <c r="I875" s="24">
        <f t="shared" si="156"/>
        <v>1</v>
      </c>
      <c r="J875" s="674"/>
      <c r="K875" s="24">
        <f t="shared" si="157"/>
        <v>1</v>
      </c>
      <c r="L875" s="674"/>
      <c r="M875" s="24">
        <f t="shared" si="158"/>
        <v>1</v>
      </c>
      <c r="N875" s="674"/>
      <c r="O875" s="24">
        <f t="shared" si="159"/>
        <v>1</v>
      </c>
      <c r="P875" s="674"/>
      <c r="Q875" s="24">
        <f t="shared" si="160"/>
        <v>0</v>
      </c>
      <c r="R875" s="670">
        <f t="shared" si="161"/>
        <v>0</v>
      </c>
      <c r="S875" s="322">
        <f t="shared" si="162"/>
        <v>0</v>
      </c>
    </row>
    <row r="876" spans="1:19">
      <c r="A876" s="155"/>
      <c r="B876" s="57"/>
      <c r="C876" s="24">
        <f t="shared" si="153"/>
        <v>1</v>
      </c>
      <c r="D876" s="674"/>
      <c r="E876" s="24">
        <f t="shared" si="154"/>
        <v>1</v>
      </c>
      <c r="F876" s="674"/>
      <c r="G876" s="24">
        <f t="shared" si="155"/>
        <v>1</v>
      </c>
      <c r="H876" s="674"/>
      <c r="I876" s="24">
        <f t="shared" si="156"/>
        <v>1</v>
      </c>
      <c r="J876" s="674"/>
      <c r="K876" s="24">
        <f t="shared" si="157"/>
        <v>1</v>
      </c>
      <c r="L876" s="674"/>
      <c r="M876" s="24">
        <f t="shared" si="158"/>
        <v>1</v>
      </c>
      <c r="N876" s="674"/>
      <c r="O876" s="24">
        <f t="shared" si="159"/>
        <v>1</v>
      </c>
      <c r="P876" s="674"/>
      <c r="Q876" s="24">
        <f t="shared" si="160"/>
        <v>0</v>
      </c>
      <c r="R876" s="670">
        <f t="shared" si="161"/>
        <v>0</v>
      </c>
      <c r="S876" s="322">
        <f t="shared" si="162"/>
        <v>0</v>
      </c>
    </row>
    <row r="877" spans="1:19">
      <c r="A877" s="155"/>
      <c r="B877" s="57"/>
      <c r="C877" s="24">
        <f t="shared" si="153"/>
        <v>1</v>
      </c>
      <c r="D877" s="674"/>
      <c r="E877" s="24">
        <f t="shared" si="154"/>
        <v>1</v>
      </c>
      <c r="F877" s="674"/>
      <c r="G877" s="24">
        <f t="shared" si="155"/>
        <v>1</v>
      </c>
      <c r="H877" s="674"/>
      <c r="I877" s="24">
        <f t="shared" si="156"/>
        <v>1</v>
      </c>
      <c r="J877" s="674"/>
      <c r="K877" s="24">
        <f t="shared" si="157"/>
        <v>1</v>
      </c>
      <c r="L877" s="674"/>
      <c r="M877" s="24">
        <f t="shared" si="158"/>
        <v>1</v>
      </c>
      <c r="N877" s="674"/>
      <c r="O877" s="24">
        <f t="shared" si="159"/>
        <v>1</v>
      </c>
      <c r="P877" s="674"/>
      <c r="Q877" s="24">
        <f t="shared" si="160"/>
        <v>0</v>
      </c>
      <c r="R877" s="670">
        <f t="shared" si="161"/>
        <v>0</v>
      </c>
      <c r="S877" s="322">
        <f t="shared" si="162"/>
        <v>0</v>
      </c>
    </row>
    <row r="878" spans="1:19">
      <c r="A878" s="155"/>
      <c r="B878" s="57"/>
      <c r="C878" s="24">
        <f t="shared" si="153"/>
        <v>1</v>
      </c>
      <c r="D878" s="674"/>
      <c r="E878" s="24">
        <f t="shared" si="154"/>
        <v>1</v>
      </c>
      <c r="F878" s="674"/>
      <c r="G878" s="24">
        <f t="shared" si="155"/>
        <v>1</v>
      </c>
      <c r="H878" s="674"/>
      <c r="I878" s="24">
        <f t="shared" si="156"/>
        <v>1</v>
      </c>
      <c r="J878" s="674"/>
      <c r="K878" s="24">
        <f t="shared" si="157"/>
        <v>1</v>
      </c>
      <c r="L878" s="674"/>
      <c r="M878" s="24">
        <f t="shared" si="158"/>
        <v>1</v>
      </c>
      <c r="N878" s="674"/>
      <c r="O878" s="24">
        <f t="shared" si="159"/>
        <v>1</v>
      </c>
      <c r="P878" s="674"/>
      <c r="Q878" s="24">
        <f t="shared" si="160"/>
        <v>0</v>
      </c>
      <c r="R878" s="670">
        <f t="shared" si="161"/>
        <v>0</v>
      </c>
      <c r="S878" s="322">
        <f t="shared" si="162"/>
        <v>0</v>
      </c>
    </row>
    <row r="879" spans="1:19">
      <c r="A879" s="155"/>
      <c r="B879" s="57"/>
      <c r="C879" s="24">
        <f t="shared" si="153"/>
        <v>1</v>
      </c>
      <c r="D879" s="674"/>
      <c r="E879" s="24">
        <f t="shared" si="154"/>
        <v>1</v>
      </c>
      <c r="F879" s="674"/>
      <c r="G879" s="24">
        <f t="shared" si="155"/>
        <v>1</v>
      </c>
      <c r="H879" s="674"/>
      <c r="I879" s="24">
        <f t="shared" si="156"/>
        <v>1</v>
      </c>
      <c r="J879" s="674"/>
      <c r="K879" s="24">
        <f t="shared" si="157"/>
        <v>1</v>
      </c>
      <c r="L879" s="674"/>
      <c r="M879" s="24">
        <f t="shared" si="158"/>
        <v>1</v>
      </c>
      <c r="N879" s="674"/>
      <c r="O879" s="24">
        <f t="shared" si="159"/>
        <v>1</v>
      </c>
      <c r="P879" s="674"/>
      <c r="Q879" s="24">
        <f t="shared" si="160"/>
        <v>0</v>
      </c>
      <c r="R879" s="670">
        <f t="shared" si="161"/>
        <v>0</v>
      </c>
      <c r="S879" s="322">
        <f t="shared" si="162"/>
        <v>0</v>
      </c>
    </row>
    <row r="880" spans="1:19">
      <c r="A880" s="155"/>
      <c r="B880" s="57"/>
      <c r="C880" s="24">
        <f t="shared" si="153"/>
        <v>1</v>
      </c>
      <c r="D880" s="674"/>
      <c r="E880" s="24">
        <f t="shared" si="154"/>
        <v>1</v>
      </c>
      <c r="F880" s="674"/>
      <c r="G880" s="24">
        <f t="shared" si="155"/>
        <v>1</v>
      </c>
      <c r="H880" s="674"/>
      <c r="I880" s="24">
        <f t="shared" si="156"/>
        <v>1</v>
      </c>
      <c r="J880" s="674"/>
      <c r="K880" s="24">
        <f t="shared" si="157"/>
        <v>1</v>
      </c>
      <c r="L880" s="674"/>
      <c r="M880" s="24">
        <f t="shared" si="158"/>
        <v>1</v>
      </c>
      <c r="N880" s="674"/>
      <c r="O880" s="24">
        <f t="shared" si="159"/>
        <v>1</v>
      </c>
      <c r="P880" s="674"/>
      <c r="Q880" s="24">
        <f t="shared" si="160"/>
        <v>0</v>
      </c>
      <c r="R880" s="670">
        <f t="shared" si="161"/>
        <v>0</v>
      </c>
      <c r="S880" s="322">
        <f t="shared" si="162"/>
        <v>0</v>
      </c>
    </row>
    <row r="881" spans="1:19">
      <c r="A881" s="155"/>
      <c r="B881" s="57"/>
      <c r="C881" s="24">
        <f t="shared" si="153"/>
        <v>1</v>
      </c>
      <c r="D881" s="674"/>
      <c r="E881" s="24">
        <f t="shared" si="154"/>
        <v>1</v>
      </c>
      <c r="F881" s="674"/>
      <c r="G881" s="24">
        <f t="shared" si="155"/>
        <v>1</v>
      </c>
      <c r="H881" s="674"/>
      <c r="I881" s="24">
        <f t="shared" si="156"/>
        <v>1</v>
      </c>
      <c r="J881" s="674"/>
      <c r="K881" s="24">
        <f t="shared" si="157"/>
        <v>1</v>
      </c>
      <c r="L881" s="674"/>
      <c r="M881" s="24">
        <f t="shared" si="158"/>
        <v>1</v>
      </c>
      <c r="N881" s="674"/>
      <c r="O881" s="24">
        <f t="shared" si="159"/>
        <v>1</v>
      </c>
      <c r="P881" s="674"/>
      <c r="Q881" s="24">
        <f t="shared" si="160"/>
        <v>0</v>
      </c>
      <c r="R881" s="670">
        <f t="shared" si="161"/>
        <v>0</v>
      </c>
      <c r="S881" s="322">
        <f t="shared" si="162"/>
        <v>0</v>
      </c>
    </row>
    <row r="882" spans="1:19">
      <c r="A882" s="155"/>
      <c r="B882" s="57"/>
      <c r="C882" s="24">
        <f t="shared" si="153"/>
        <v>1</v>
      </c>
      <c r="D882" s="674"/>
      <c r="E882" s="24">
        <f t="shared" si="154"/>
        <v>1</v>
      </c>
      <c r="F882" s="674"/>
      <c r="G882" s="24">
        <f t="shared" si="155"/>
        <v>1</v>
      </c>
      <c r="H882" s="674"/>
      <c r="I882" s="24">
        <f t="shared" si="156"/>
        <v>1</v>
      </c>
      <c r="J882" s="674"/>
      <c r="K882" s="24">
        <f t="shared" si="157"/>
        <v>1</v>
      </c>
      <c r="L882" s="674"/>
      <c r="M882" s="24">
        <f t="shared" si="158"/>
        <v>1</v>
      </c>
      <c r="N882" s="674"/>
      <c r="O882" s="24">
        <f t="shared" si="159"/>
        <v>1</v>
      </c>
      <c r="P882" s="674"/>
      <c r="Q882" s="24">
        <f t="shared" si="160"/>
        <v>0</v>
      </c>
      <c r="R882" s="670">
        <f t="shared" si="161"/>
        <v>0</v>
      </c>
      <c r="S882" s="322">
        <f t="shared" si="162"/>
        <v>0</v>
      </c>
    </row>
    <row r="883" spans="1:19">
      <c r="A883" s="155"/>
      <c r="B883" s="57"/>
      <c r="C883" s="24">
        <f t="shared" si="153"/>
        <v>1</v>
      </c>
      <c r="D883" s="674"/>
      <c r="E883" s="24">
        <f t="shared" si="154"/>
        <v>1</v>
      </c>
      <c r="F883" s="674"/>
      <c r="G883" s="24">
        <f t="shared" si="155"/>
        <v>1</v>
      </c>
      <c r="H883" s="674"/>
      <c r="I883" s="24">
        <f t="shared" si="156"/>
        <v>1</v>
      </c>
      <c r="J883" s="674"/>
      <c r="K883" s="24">
        <f t="shared" si="157"/>
        <v>1</v>
      </c>
      <c r="L883" s="674"/>
      <c r="M883" s="24">
        <f t="shared" si="158"/>
        <v>1</v>
      </c>
      <c r="N883" s="674"/>
      <c r="O883" s="24">
        <f t="shared" si="159"/>
        <v>1</v>
      </c>
      <c r="P883" s="674"/>
      <c r="Q883" s="24">
        <f t="shared" si="160"/>
        <v>0</v>
      </c>
      <c r="R883" s="670">
        <f t="shared" si="161"/>
        <v>0</v>
      </c>
      <c r="S883" s="322">
        <f t="shared" si="162"/>
        <v>0</v>
      </c>
    </row>
    <row r="884" spans="1:19">
      <c r="A884" s="155"/>
      <c r="B884" s="57"/>
      <c r="C884" s="24">
        <f t="shared" si="153"/>
        <v>1</v>
      </c>
      <c r="D884" s="674"/>
      <c r="E884" s="24">
        <f t="shared" si="154"/>
        <v>1</v>
      </c>
      <c r="F884" s="674"/>
      <c r="G884" s="24">
        <f t="shared" si="155"/>
        <v>1</v>
      </c>
      <c r="H884" s="674"/>
      <c r="I884" s="24">
        <f t="shared" si="156"/>
        <v>1</v>
      </c>
      <c r="J884" s="674"/>
      <c r="K884" s="24">
        <f t="shared" si="157"/>
        <v>1</v>
      </c>
      <c r="L884" s="674"/>
      <c r="M884" s="24">
        <f t="shared" si="158"/>
        <v>1</v>
      </c>
      <c r="N884" s="674"/>
      <c r="O884" s="24">
        <f t="shared" si="159"/>
        <v>1</v>
      </c>
      <c r="P884" s="674"/>
      <c r="Q884" s="24">
        <f t="shared" si="160"/>
        <v>0</v>
      </c>
      <c r="R884" s="670">
        <f t="shared" si="161"/>
        <v>0</v>
      </c>
      <c r="S884" s="322">
        <f t="shared" si="162"/>
        <v>0</v>
      </c>
    </row>
    <row r="885" spans="1:19">
      <c r="A885" s="155"/>
      <c r="B885" s="57"/>
      <c r="C885" s="24">
        <f t="shared" si="153"/>
        <v>1</v>
      </c>
      <c r="D885" s="674"/>
      <c r="E885" s="24">
        <f t="shared" si="154"/>
        <v>1</v>
      </c>
      <c r="F885" s="674"/>
      <c r="G885" s="24">
        <f t="shared" si="155"/>
        <v>1</v>
      </c>
      <c r="H885" s="674"/>
      <c r="I885" s="24">
        <f t="shared" si="156"/>
        <v>1</v>
      </c>
      <c r="J885" s="674"/>
      <c r="K885" s="24">
        <f t="shared" si="157"/>
        <v>1</v>
      </c>
      <c r="L885" s="674"/>
      <c r="M885" s="24">
        <f t="shared" si="158"/>
        <v>1</v>
      </c>
      <c r="N885" s="674"/>
      <c r="O885" s="24">
        <f t="shared" si="159"/>
        <v>1</v>
      </c>
      <c r="P885" s="674"/>
      <c r="Q885" s="24">
        <f t="shared" si="160"/>
        <v>0</v>
      </c>
      <c r="R885" s="670">
        <f t="shared" si="161"/>
        <v>0</v>
      </c>
      <c r="S885" s="322">
        <f t="shared" si="162"/>
        <v>0</v>
      </c>
    </row>
    <row r="886" spans="1:19">
      <c r="A886" s="155"/>
      <c r="B886" s="57"/>
      <c r="C886" s="24">
        <f t="shared" si="153"/>
        <v>1</v>
      </c>
      <c r="D886" s="674"/>
      <c r="E886" s="24">
        <f t="shared" si="154"/>
        <v>1</v>
      </c>
      <c r="F886" s="674"/>
      <c r="G886" s="24">
        <f t="shared" si="155"/>
        <v>1</v>
      </c>
      <c r="H886" s="674"/>
      <c r="I886" s="24">
        <f t="shared" si="156"/>
        <v>1</v>
      </c>
      <c r="J886" s="674"/>
      <c r="K886" s="24">
        <f t="shared" si="157"/>
        <v>1</v>
      </c>
      <c r="L886" s="674"/>
      <c r="M886" s="24">
        <f t="shared" si="158"/>
        <v>1</v>
      </c>
      <c r="N886" s="674"/>
      <c r="O886" s="24">
        <f t="shared" si="159"/>
        <v>1</v>
      </c>
      <c r="P886" s="674"/>
      <c r="Q886" s="24">
        <f t="shared" si="160"/>
        <v>0</v>
      </c>
      <c r="R886" s="670">
        <f t="shared" si="161"/>
        <v>0</v>
      </c>
      <c r="S886" s="322">
        <f t="shared" si="162"/>
        <v>0</v>
      </c>
    </row>
    <row r="887" spans="1:19">
      <c r="A887" s="155"/>
      <c r="B887" s="57"/>
      <c r="C887" s="24">
        <f t="shared" si="153"/>
        <v>1</v>
      </c>
      <c r="D887" s="674"/>
      <c r="E887" s="24">
        <f t="shared" si="154"/>
        <v>1</v>
      </c>
      <c r="F887" s="674"/>
      <c r="G887" s="24">
        <f t="shared" si="155"/>
        <v>1</v>
      </c>
      <c r="H887" s="674"/>
      <c r="I887" s="24">
        <f t="shared" si="156"/>
        <v>1</v>
      </c>
      <c r="J887" s="674"/>
      <c r="K887" s="24">
        <f t="shared" si="157"/>
        <v>1</v>
      </c>
      <c r="L887" s="674"/>
      <c r="M887" s="24">
        <f t="shared" si="158"/>
        <v>1</v>
      </c>
      <c r="N887" s="674"/>
      <c r="O887" s="24">
        <f t="shared" si="159"/>
        <v>1</v>
      </c>
      <c r="P887" s="674"/>
      <c r="Q887" s="24">
        <f t="shared" si="160"/>
        <v>0</v>
      </c>
      <c r="R887" s="670">
        <f t="shared" si="161"/>
        <v>0</v>
      </c>
      <c r="S887" s="322">
        <f t="shared" si="162"/>
        <v>0</v>
      </c>
    </row>
    <row r="888" spans="1:19">
      <c r="A888" s="155"/>
      <c r="B888" s="57"/>
      <c r="C888" s="24">
        <f t="shared" si="153"/>
        <v>1</v>
      </c>
      <c r="D888" s="674"/>
      <c r="E888" s="24">
        <f t="shared" si="154"/>
        <v>1</v>
      </c>
      <c r="F888" s="674"/>
      <c r="G888" s="24">
        <f t="shared" si="155"/>
        <v>1</v>
      </c>
      <c r="H888" s="674"/>
      <c r="I888" s="24">
        <f t="shared" si="156"/>
        <v>1</v>
      </c>
      <c r="J888" s="674"/>
      <c r="K888" s="24">
        <f t="shared" si="157"/>
        <v>1</v>
      </c>
      <c r="L888" s="674"/>
      <c r="M888" s="24">
        <f t="shared" si="158"/>
        <v>1</v>
      </c>
      <c r="N888" s="674"/>
      <c r="O888" s="24">
        <f t="shared" si="159"/>
        <v>1</v>
      </c>
      <c r="P888" s="674"/>
      <c r="Q888" s="24">
        <f t="shared" si="160"/>
        <v>0</v>
      </c>
      <c r="R888" s="670">
        <f t="shared" si="161"/>
        <v>0</v>
      </c>
      <c r="S888" s="322">
        <f t="shared" si="162"/>
        <v>0</v>
      </c>
    </row>
    <row r="889" spans="1:19">
      <c r="A889" s="155"/>
      <c r="B889" s="57"/>
      <c r="C889" s="24">
        <f t="shared" si="153"/>
        <v>1</v>
      </c>
      <c r="D889" s="674"/>
      <c r="E889" s="24">
        <f t="shared" si="154"/>
        <v>1</v>
      </c>
      <c r="F889" s="674"/>
      <c r="G889" s="24">
        <f t="shared" si="155"/>
        <v>1</v>
      </c>
      <c r="H889" s="674"/>
      <c r="I889" s="24">
        <f t="shared" si="156"/>
        <v>1</v>
      </c>
      <c r="J889" s="674"/>
      <c r="K889" s="24">
        <f t="shared" si="157"/>
        <v>1</v>
      </c>
      <c r="L889" s="674"/>
      <c r="M889" s="24">
        <f t="shared" si="158"/>
        <v>1</v>
      </c>
      <c r="N889" s="674"/>
      <c r="O889" s="24">
        <f t="shared" si="159"/>
        <v>1</v>
      </c>
      <c r="P889" s="674"/>
      <c r="Q889" s="24">
        <f t="shared" si="160"/>
        <v>0</v>
      </c>
      <c r="R889" s="670">
        <f t="shared" si="161"/>
        <v>0</v>
      </c>
      <c r="S889" s="322">
        <f t="shared" si="162"/>
        <v>0</v>
      </c>
    </row>
    <row r="890" spans="1:19">
      <c r="A890" s="155"/>
      <c r="B890" s="57"/>
      <c r="C890" s="24">
        <f t="shared" si="153"/>
        <v>1</v>
      </c>
      <c r="D890" s="674"/>
      <c r="E890" s="24">
        <f t="shared" si="154"/>
        <v>1</v>
      </c>
      <c r="F890" s="674"/>
      <c r="G890" s="24">
        <f t="shared" si="155"/>
        <v>1</v>
      </c>
      <c r="H890" s="674"/>
      <c r="I890" s="24">
        <f t="shared" si="156"/>
        <v>1</v>
      </c>
      <c r="J890" s="674"/>
      <c r="K890" s="24">
        <f t="shared" si="157"/>
        <v>1</v>
      </c>
      <c r="L890" s="674"/>
      <c r="M890" s="24">
        <f t="shared" si="158"/>
        <v>1</v>
      </c>
      <c r="N890" s="674"/>
      <c r="O890" s="24">
        <f t="shared" si="159"/>
        <v>1</v>
      </c>
      <c r="P890" s="674"/>
      <c r="Q890" s="24">
        <f t="shared" si="160"/>
        <v>0</v>
      </c>
      <c r="R890" s="670">
        <f t="shared" si="161"/>
        <v>0</v>
      </c>
      <c r="S890" s="322">
        <f t="shared" si="162"/>
        <v>0</v>
      </c>
    </row>
    <row r="891" spans="1:19">
      <c r="A891" s="155"/>
      <c r="B891" s="57"/>
      <c r="C891" s="24">
        <f t="shared" si="153"/>
        <v>1</v>
      </c>
      <c r="D891" s="674"/>
      <c r="E891" s="24">
        <f t="shared" si="154"/>
        <v>1</v>
      </c>
      <c r="F891" s="674"/>
      <c r="G891" s="24">
        <f t="shared" si="155"/>
        <v>1</v>
      </c>
      <c r="H891" s="674"/>
      <c r="I891" s="24">
        <f t="shared" si="156"/>
        <v>1</v>
      </c>
      <c r="J891" s="674"/>
      <c r="K891" s="24">
        <f t="shared" si="157"/>
        <v>1</v>
      </c>
      <c r="L891" s="674"/>
      <c r="M891" s="24">
        <f t="shared" si="158"/>
        <v>1</v>
      </c>
      <c r="N891" s="674"/>
      <c r="O891" s="24">
        <f t="shared" si="159"/>
        <v>1</v>
      </c>
      <c r="P891" s="674"/>
      <c r="Q891" s="24">
        <f t="shared" si="160"/>
        <v>0</v>
      </c>
      <c r="R891" s="670">
        <f t="shared" si="161"/>
        <v>0</v>
      </c>
      <c r="S891" s="322">
        <f t="shared" si="162"/>
        <v>0</v>
      </c>
    </row>
    <row r="892" spans="1:19">
      <c r="A892" s="155"/>
      <c r="B892" s="57"/>
      <c r="C892" s="24">
        <f t="shared" si="153"/>
        <v>1</v>
      </c>
      <c r="D892" s="674"/>
      <c r="E892" s="24">
        <f t="shared" si="154"/>
        <v>1</v>
      </c>
      <c r="F892" s="674"/>
      <c r="G892" s="24">
        <f t="shared" si="155"/>
        <v>1</v>
      </c>
      <c r="H892" s="674"/>
      <c r="I892" s="24">
        <f t="shared" si="156"/>
        <v>1</v>
      </c>
      <c r="J892" s="674"/>
      <c r="K892" s="24">
        <f t="shared" si="157"/>
        <v>1</v>
      </c>
      <c r="L892" s="674"/>
      <c r="M892" s="24">
        <f t="shared" si="158"/>
        <v>1</v>
      </c>
      <c r="N892" s="674"/>
      <c r="O892" s="24">
        <f t="shared" si="159"/>
        <v>1</v>
      </c>
      <c r="P892" s="674"/>
      <c r="Q892" s="24">
        <f t="shared" si="160"/>
        <v>0</v>
      </c>
      <c r="R892" s="670">
        <f t="shared" si="161"/>
        <v>0</v>
      </c>
      <c r="S892" s="322">
        <f t="shared" si="162"/>
        <v>0</v>
      </c>
    </row>
    <row r="893" spans="1:19">
      <c r="A893" s="155"/>
      <c r="B893" s="57"/>
      <c r="C893" s="24">
        <f t="shared" si="153"/>
        <v>1</v>
      </c>
      <c r="D893" s="674"/>
      <c r="E893" s="24">
        <f t="shared" si="154"/>
        <v>1</v>
      </c>
      <c r="F893" s="674"/>
      <c r="G893" s="24">
        <f t="shared" si="155"/>
        <v>1</v>
      </c>
      <c r="H893" s="674"/>
      <c r="I893" s="24">
        <f t="shared" si="156"/>
        <v>1</v>
      </c>
      <c r="J893" s="674"/>
      <c r="K893" s="24">
        <f t="shared" si="157"/>
        <v>1</v>
      </c>
      <c r="L893" s="674"/>
      <c r="M893" s="24">
        <f t="shared" si="158"/>
        <v>1</v>
      </c>
      <c r="N893" s="674"/>
      <c r="O893" s="24">
        <f t="shared" si="159"/>
        <v>1</v>
      </c>
      <c r="P893" s="674"/>
      <c r="Q893" s="24">
        <f t="shared" si="160"/>
        <v>0</v>
      </c>
      <c r="R893" s="670">
        <f t="shared" si="161"/>
        <v>0</v>
      </c>
      <c r="S893" s="322">
        <f t="shared" si="162"/>
        <v>0</v>
      </c>
    </row>
    <row r="894" spans="1:19">
      <c r="A894" s="155"/>
      <c r="B894" s="57"/>
      <c r="C894" s="24">
        <f t="shared" si="153"/>
        <v>1</v>
      </c>
      <c r="D894" s="674"/>
      <c r="E894" s="24">
        <f t="shared" si="154"/>
        <v>1</v>
      </c>
      <c r="F894" s="674"/>
      <c r="G894" s="24">
        <f t="shared" si="155"/>
        <v>1</v>
      </c>
      <c r="H894" s="674"/>
      <c r="I894" s="24">
        <f t="shared" si="156"/>
        <v>1</v>
      </c>
      <c r="J894" s="674"/>
      <c r="K894" s="24">
        <f t="shared" si="157"/>
        <v>1</v>
      </c>
      <c r="L894" s="674"/>
      <c r="M894" s="24">
        <f t="shared" si="158"/>
        <v>1</v>
      </c>
      <c r="N894" s="674"/>
      <c r="O894" s="24">
        <f t="shared" si="159"/>
        <v>1</v>
      </c>
      <c r="P894" s="674"/>
      <c r="Q894" s="24">
        <f t="shared" si="160"/>
        <v>0</v>
      </c>
      <c r="R894" s="670">
        <f t="shared" si="161"/>
        <v>0</v>
      </c>
      <c r="S894" s="322">
        <f t="shared" si="162"/>
        <v>0</v>
      </c>
    </row>
    <row r="895" spans="1:19">
      <c r="A895" s="155"/>
      <c r="B895" s="57"/>
      <c r="C895" s="24">
        <f t="shared" si="153"/>
        <v>1</v>
      </c>
      <c r="D895" s="674"/>
      <c r="E895" s="24">
        <f t="shared" si="154"/>
        <v>1</v>
      </c>
      <c r="F895" s="674"/>
      <c r="G895" s="24">
        <f t="shared" si="155"/>
        <v>1</v>
      </c>
      <c r="H895" s="674"/>
      <c r="I895" s="24">
        <f t="shared" si="156"/>
        <v>1</v>
      </c>
      <c r="J895" s="674"/>
      <c r="K895" s="24">
        <f t="shared" si="157"/>
        <v>1</v>
      </c>
      <c r="L895" s="674"/>
      <c r="M895" s="24">
        <f t="shared" si="158"/>
        <v>1</v>
      </c>
      <c r="N895" s="674"/>
      <c r="O895" s="24">
        <f t="shared" si="159"/>
        <v>1</v>
      </c>
      <c r="P895" s="674"/>
      <c r="Q895" s="24">
        <f t="shared" si="160"/>
        <v>0</v>
      </c>
      <c r="R895" s="670">
        <f t="shared" si="161"/>
        <v>0</v>
      </c>
      <c r="S895" s="322">
        <f t="shared" si="162"/>
        <v>0</v>
      </c>
    </row>
    <row r="896" spans="1:19">
      <c r="A896" s="155"/>
      <c r="B896" s="57"/>
      <c r="C896" s="24">
        <f t="shared" si="153"/>
        <v>1</v>
      </c>
      <c r="D896" s="674"/>
      <c r="E896" s="24">
        <f t="shared" si="154"/>
        <v>1</v>
      </c>
      <c r="F896" s="674"/>
      <c r="G896" s="24">
        <f t="shared" si="155"/>
        <v>1</v>
      </c>
      <c r="H896" s="674"/>
      <c r="I896" s="24">
        <f t="shared" si="156"/>
        <v>1</v>
      </c>
      <c r="J896" s="674"/>
      <c r="K896" s="24">
        <f t="shared" si="157"/>
        <v>1</v>
      </c>
      <c r="L896" s="674"/>
      <c r="M896" s="24">
        <f t="shared" si="158"/>
        <v>1</v>
      </c>
      <c r="N896" s="674"/>
      <c r="O896" s="24">
        <f t="shared" si="159"/>
        <v>1</v>
      </c>
      <c r="P896" s="674"/>
      <c r="Q896" s="24">
        <f t="shared" si="160"/>
        <v>0</v>
      </c>
      <c r="R896" s="670">
        <f t="shared" si="161"/>
        <v>0</v>
      </c>
      <c r="S896" s="322">
        <f t="shared" si="162"/>
        <v>0</v>
      </c>
    </row>
    <row r="897" spans="1:19">
      <c r="A897" s="155"/>
      <c r="B897" s="57"/>
      <c r="C897" s="24">
        <f t="shared" si="153"/>
        <v>1</v>
      </c>
      <c r="D897" s="674"/>
      <c r="E897" s="24">
        <f t="shared" si="154"/>
        <v>1</v>
      </c>
      <c r="F897" s="674"/>
      <c r="G897" s="24">
        <f t="shared" si="155"/>
        <v>1</v>
      </c>
      <c r="H897" s="674"/>
      <c r="I897" s="24">
        <f t="shared" si="156"/>
        <v>1</v>
      </c>
      <c r="J897" s="674"/>
      <c r="K897" s="24">
        <f t="shared" si="157"/>
        <v>1</v>
      </c>
      <c r="L897" s="674"/>
      <c r="M897" s="24">
        <f t="shared" si="158"/>
        <v>1</v>
      </c>
      <c r="N897" s="674"/>
      <c r="O897" s="24">
        <f t="shared" si="159"/>
        <v>1</v>
      </c>
      <c r="P897" s="674"/>
      <c r="Q897" s="24">
        <f t="shared" si="160"/>
        <v>0</v>
      </c>
      <c r="R897" s="670">
        <f t="shared" si="161"/>
        <v>0</v>
      </c>
      <c r="S897" s="322">
        <f t="shared" si="162"/>
        <v>0</v>
      </c>
    </row>
    <row r="898" spans="1:19">
      <c r="A898" s="155"/>
      <c r="B898" s="57"/>
      <c r="C898" s="24">
        <f t="shared" si="153"/>
        <v>1</v>
      </c>
      <c r="D898" s="674"/>
      <c r="E898" s="24">
        <f t="shared" si="154"/>
        <v>1</v>
      </c>
      <c r="F898" s="674"/>
      <c r="G898" s="24">
        <f t="shared" si="155"/>
        <v>1</v>
      </c>
      <c r="H898" s="674"/>
      <c r="I898" s="24">
        <f t="shared" si="156"/>
        <v>1</v>
      </c>
      <c r="J898" s="674"/>
      <c r="K898" s="24">
        <f t="shared" si="157"/>
        <v>1</v>
      </c>
      <c r="L898" s="674"/>
      <c r="M898" s="24">
        <f t="shared" si="158"/>
        <v>1</v>
      </c>
      <c r="N898" s="674"/>
      <c r="O898" s="24">
        <f t="shared" si="159"/>
        <v>1</v>
      </c>
      <c r="P898" s="674"/>
      <c r="Q898" s="24">
        <f t="shared" si="160"/>
        <v>0</v>
      </c>
      <c r="R898" s="670">
        <f t="shared" si="161"/>
        <v>0</v>
      </c>
      <c r="S898" s="322">
        <f t="shared" si="162"/>
        <v>0</v>
      </c>
    </row>
    <row r="899" spans="1:19">
      <c r="A899" s="155"/>
      <c r="B899" s="57"/>
      <c r="C899" s="24">
        <f t="shared" si="153"/>
        <v>1</v>
      </c>
      <c r="D899" s="674"/>
      <c r="E899" s="24">
        <f t="shared" si="154"/>
        <v>1</v>
      </c>
      <c r="F899" s="674"/>
      <c r="G899" s="24">
        <f t="shared" si="155"/>
        <v>1</v>
      </c>
      <c r="H899" s="674"/>
      <c r="I899" s="24">
        <f t="shared" si="156"/>
        <v>1</v>
      </c>
      <c r="J899" s="674"/>
      <c r="K899" s="24">
        <f t="shared" si="157"/>
        <v>1</v>
      </c>
      <c r="L899" s="674"/>
      <c r="M899" s="24">
        <f t="shared" si="158"/>
        <v>1</v>
      </c>
      <c r="N899" s="674"/>
      <c r="O899" s="24">
        <f t="shared" si="159"/>
        <v>1</v>
      </c>
      <c r="P899" s="674"/>
      <c r="Q899" s="24">
        <f t="shared" si="160"/>
        <v>0</v>
      </c>
      <c r="R899" s="670">
        <f t="shared" si="161"/>
        <v>0</v>
      </c>
      <c r="S899" s="322">
        <f t="shared" si="162"/>
        <v>0</v>
      </c>
    </row>
    <row r="900" spans="1:19">
      <c r="A900" s="155"/>
      <c r="B900" s="57"/>
      <c r="C900" s="24">
        <f t="shared" si="153"/>
        <v>1</v>
      </c>
      <c r="D900" s="674"/>
      <c r="E900" s="24">
        <f t="shared" si="154"/>
        <v>1</v>
      </c>
      <c r="F900" s="674"/>
      <c r="G900" s="24">
        <f t="shared" si="155"/>
        <v>1</v>
      </c>
      <c r="H900" s="674"/>
      <c r="I900" s="24">
        <f t="shared" si="156"/>
        <v>1</v>
      </c>
      <c r="J900" s="674"/>
      <c r="K900" s="24">
        <f t="shared" si="157"/>
        <v>1</v>
      </c>
      <c r="L900" s="674"/>
      <c r="M900" s="24">
        <f t="shared" si="158"/>
        <v>1</v>
      </c>
      <c r="N900" s="674"/>
      <c r="O900" s="24">
        <f t="shared" si="159"/>
        <v>1</v>
      </c>
      <c r="P900" s="674"/>
      <c r="Q900" s="24">
        <f t="shared" si="160"/>
        <v>0</v>
      </c>
      <c r="R900" s="670">
        <f t="shared" si="161"/>
        <v>0</v>
      </c>
      <c r="S900" s="322">
        <f t="shared" si="162"/>
        <v>0</v>
      </c>
    </row>
    <row r="901" spans="1:19">
      <c r="A901" s="155"/>
      <c r="B901" s="57"/>
      <c r="C901" s="24">
        <f t="shared" si="153"/>
        <v>1</v>
      </c>
      <c r="D901" s="674"/>
      <c r="E901" s="24">
        <f t="shared" si="154"/>
        <v>1</v>
      </c>
      <c r="F901" s="674"/>
      <c r="G901" s="24">
        <f t="shared" si="155"/>
        <v>1</v>
      </c>
      <c r="H901" s="674"/>
      <c r="I901" s="24">
        <f t="shared" si="156"/>
        <v>1</v>
      </c>
      <c r="J901" s="674"/>
      <c r="K901" s="24">
        <f t="shared" si="157"/>
        <v>1</v>
      </c>
      <c r="L901" s="674"/>
      <c r="M901" s="24">
        <f t="shared" si="158"/>
        <v>1</v>
      </c>
      <c r="N901" s="674"/>
      <c r="O901" s="24">
        <f t="shared" si="159"/>
        <v>1</v>
      </c>
      <c r="P901" s="674"/>
      <c r="Q901" s="24">
        <f t="shared" si="160"/>
        <v>0</v>
      </c>
      <c r="R901" s="670">
        <f t="shared" si="161"/>
        <v>0</v>
      </c>
      <c r="S901" s="322">
        <f t="shared" si="162"/>
        <v>0</v>
      </c>
    </row>
    <row r="902" spans="1:19">
      <c r="A902" s="155"/>
      <c r="B902" s="57"/>
      <c r="C902" s="24">
        <f t="shared" si="153"/>
        <v>1</v>
      </c>
      <c r="D902" s="674"/>
      <c r="E902" s="24">
        <f t="shared" si="154"/>
        <v>1</v>
      </c>
      <c r="F902" s="674"/>
      <c r="G902" s="24">
        <f t="shared" si="155"/>
        <v>1</v>
      </c>
      <c r="H902" s="674"/>
      <c r="I902" s="24">
        <f t="shared" si="156"/>
        <v>1</v>
      </c>
      <c r="J902" s="674"/>
      <c r="K902" s="24">
        <f t="shared" si="157"/>
        <v>1</v>
      </c>
      <c r="L902" s="674"/>
      <c r="M902" s="24">
        <f t="shared" si="158"/>
        <v>1</v>
      </c>
      <c r="N902" s="674"/>
      <c r="O902" s="24">
        <f t="shared" si="159"/>
        <v>1</v>
      </c>
      <c r="P902" s="674"/>
      <c r="Q902" s="24">
        <f t="shared" si="160"/>
        <v>0</v>
      </c>
      <c r="R902" s="670">
        <f t="shared" si="161"/>
        <v>0</v>
      </c>
      <c r="S902" s="322">
        <f t="shared" si="162"/>
        <v>0</v>
      </c>
    </row>
    <row r="903" spans="1:19">
      <c r="A903" s="155"/>
      <c r="B903" s="57"/>
      <c r="C903" s="24">
        <f t="shared" si="153"/>
        <v>1</v>
      </c>
      <c r="D903" s="674"/>
      <c r="E903" s="24">
        <f t="shared" si="154"/>
        <v>1</v>
      </c>
      <c r="F903" s="674"/>
      <c r="G903" s="24">
        <f t="shared" si="155"/>
        <v>1</v>
      </c>
      <c r="H903" s="674"/>
      <c r="I903" s="24">
        <f t="shared" si="156"/>
        <v>1</v>
      </c>
      <c r="J903" s="674"/>
      <c r="K903" s="24">
        <f t="shared" si="157"/>
        <v>1</v>
      </c>
      <c r="L903" s="674"/>
      <c r="M903" s="24">
        <f t="shared" si="158"/>
        <v>1</v>
      </c>
      <c r="N903" s="674"/>
      <c r="O903" s="24">
        <f t="shared" si="159"/>
        <v>1</v>
      </c>
      <c r="P903" s="674"/>
      <c r="Q903" s="24">
        <f t="shared" si="160"/>
        <v>0</v>
      </c>
      <c r="R903" s="670">
        <f t="shared" si="161"/>
        <v>0</v>
      </c>
      <c r="S903" s="322">
        <f t="shared" si="162"/>
        <v>0</v>
      </c>
    </row>
    <row r="904" spans="1:19">
      <c r="A904" s="155"/>
      <c r="B904" s="57"/>
      <c r="C904" s="24">
        <f t="shared" si="153"/>
        <v>1</v>
      </c>
      <c r="D904" s="674"/>
      <c r="E904" s="24">
        <f t="shared" si="154"/>
        <v>1</v>
      </c>
      <c r="F904" s="674"/>
      <c r="G904" s="24">
        <f t="shared" si="155"/>
        <v>1</v>
      </c>
      <c r="H904" s="674"/>
      <c r="I904" s="24">
        <f t="shared" si="156"/>
        <v>1</v>
      </c>
      <c r="J904" s="674"/>
      <c r="K904" s="24">
        <f t="shared" si="157"/>
        <v>1</v>
      </c>
      <c r="L904" s="674"/>
      <c r="M904" s="24">
        <f t="shared" si="158"/>
        <v>1</v>
      </c>
      <c r="N904" s="674"/>
      <c r="O904" s="24">
        <f t="shared" si="159"/>
        <v>1</v>
      </c>
      <c r="P904" s="674"/>
      <c r="Q904" s="24">
        <f t="shared" si="160"/>
        <v>0</v>
      </c>
      <c r="R904" s="670">
        <f t="shared" si="161"/>
        <v>0</v>
      </c>
      <c r="S904" s="322">
        <f t="shared" si="162"/>
        <v>0</v>
      </c>
    </row>
    <row r="905" spans="1:19">
      <c r="A905" s="155"/>
      <c r="B905" s="57"/>
      <c r="C905" s="24">
        <f t="shared" si="153"/>
        <v>1</v>
      </c>
      <c r="D905" s="674"/>
      <c r="E905" s="24">
        <f t="shared" si="154"/>
        <v>1</v>
      </c>
      <c r="F905" s="674"/>
      <c r="G905" s="24">
        <f t="shared" si="155"/>
        <v>1</v>
      </c>
      <c r="H905" s="674"/>
      <c r="I905" s="24">
        <f t="shared" si="156"/>
        <v>1</v>
      </c>
      <c r="J905" s="674"/>
      <c r="K905" s="24">
        <f t="shared" si="157"/>
        <v>1</v>
      </c>
      <c r="L905" s="674"/>
      <c r="M905" s="24">
        <f t="shared" si="158"/>
        <v>1</v>
      </c>
      <c r="N905" s="674"/>
      <c r="O905" s="24">
        <f t="shared" si="159"/>
        <v>1</v>
      </c>
      <c r="P905" s="674"/>
      <c r="Q905" s="24">
        <f t="shared" si="160"/>
        <v>0</v>
      </c>
      <c r="R905" s="670">
        <f t="shared" si="161"/>
        <v>0</v>
      </c>
      <c r="S905" s="322">
        <f t="shared" si="162"/>
        <v>0</v>
      </c>
    </row>
    <row r="906" spans="1:19">
      <c r="A906" s="155"/>
      <c r="B906" s="57"/>
      <c r="C906" s="24">
        <f t="shared" si="153"/>
        <v>1</v>
      </c>
      <c r="D906" s="674"/>
      <c r="E906" s="24">
        <f t="shared" si="154"/>
        <v>1</v>
      </c>
      <c r="F906" s="674"/>
      <c r="G906" s="24">
        <f t="shared" si="155"/>
        <v>1</v>
      </c>
      <c r="H906" s="674"/>
      <c r="I906" s="24">
        <f t="shared" si="156"/>
        <v>1</v>
      </c>
      <c r="J906" s="674"/>
      <c r="K906" s="24">
        <f t="shared" si="157"/>
        <v>1</v>
      </c>
      <c r="L906" s="674"/>
      <c r="M906" s="24">
        <f t="shared" si="158"/>
        <v>1</v>
      </c>
      <c r="N906" s="674"/>
      <c r="O906" s="24">
        <f t="shared" si="159"/>
        <v>1</v>
      </c>
      <c r="P906" s="674"/>
      <c r="Q906" s="24">
        <f t="shared" si="160"/>
        <v>0</v>
      </c>
      <c r="R906" s="670">
        <f t="shared" si="161"/>
        <v>0</v>
      </c>
      <c r="S906" s="322">
        <f t="shared" si="162"/>
        <v>0</v>
      </c>
    </row>
    <row r="907" spans="1:19">
      <c r="A907" s="155"/>
      <c r="B907" s="57"/>
      <c r="C907" s="24">
        <f t="shared" si="153"/>
        <v>1</v>
      </c>
      <c r="D907" s="674"/>
      <c r="E907" s="24">
        <f t="shared" si="154"/>
        <v>1</v>
      </c>
      <c r="F907" s="674"/>
      <c r="G907" s="24">
        <f t="shared" si="155"/>
        <v>1</v>
      </c>
      <c r="H907" s="674"/>
      <c r="I907" s="24">
        <f t="shared" si="156"/>
        <v>1</v>
      </c>
      <c r="J907" s="674"/>
      <c r="K907" s="24">
        <f t="shared" si="157"/>
        <v>1</v>
      </c>
      <c r="L907" s="674"/>
      <c r="M907" s="24">
        <f t="shared" si="158"/>
        <v>1</v>
      </c>
      <c r="N907" s="674"/>
      <c r="O907" s="24">
        <f t="shared" si="159"/>
        <v>1</v>
      </c>
      <c r="P907" s="674"/>
      <c r="Q907" s="24">
        <f t="shared" si="160"/>
        <v>0</v>
      </c>
      <c r="R907" s="670">
        <f t="shared" si="161"/>
        <v>0</v>
      </c>
      <c r="S907" s="322">
        <f t="shared" si="162"/>
        <v>0</v>
      </c>
    </row>
    <row r="908" spans="1:19">
      <c r="A908" s="155"/>
      <c r="B908" s="57"/>
      <c r="C908" s="24">
        <f t="shared" si="153"/>
        <v>1</v>
      </c>
      <c r="D908" s="674"/>
      <c r="E908" s="24">
        <f t="shared" si="154"/>
        <v>1</v>
      </c>
      <c r="F908" s="674"/>
      <c r="G908" s="24">
        <f t="shared" si="155"/>
        <v>1</v>
      </c>
      <c r="H908" s="674"/>
      <c r="I908" s="24">
        <f t="shared" si="156"/>
        <v>1</v>
      </c>
      <c r="J908" s="674"/>
      <c r="K908" s="24">
        <f t="shared" si="157"/>
        <v>1</v>
      </c>
      <c r="L908" s="674"/>
      <c r="M908" s="24">
        <f t="shared" si="158"/>
        <v>1</v>
      </c>
      <c r="N908" s="674"/>
      <c r="O908" s="24">
        <f t="shared" si="159"/>
        <v>1</v>
      </c>
      <c r="P908" s="674"/>
      <c r="Q908" s="24">
        <f t="shared" si="160"/>
        <v>0</v>
      </c>
      <c r="R908" s="670">
        <f t="shared" si="161"/>
        <v>0</v>
      </c>
      <c r="S908" s="322">
        <f t="shared" si="162"/>
        <v>0</v>
      </c>
    </row>
    <row r="909" spans="1:19">
      <c r="A909" s="155"/>
      <c r="B909" s="57"/>
      <c r="C909" s="24">
        <f t="shared" si="153"/>
        <v>1</v>
      </c>
      <c r="D909" s="674"/>
      <c r="E909" s="24">
        <f t="shared" si="154"/>
        <v>1</v>
      </c>
      <c r="F909" s="674"/>
      <c r="G909" s="24">
        <f t="shared" si="155"/>
        <v>1</v>
      </c>
      <c r="H909" s="674"/>
      <c r="I909" s="24">
        <f t="shared" si="156"/>
        <v>1</v>
      </c>
      <c r="J909" s="674"/>
      <c r="K909" s="24">
        <f t="shared" si="157"/>
        <v>1</v>
      </c>
      <c r="L909" s="674"/>
      <c r="M909" s="24">
        <f t="shared" si="158"/>
        <v>1</v>
      </c>
      <c r="N909" s="674"/>
      <c r="O909" s="24">
        <f t="shared" si="159"/>
        <v>1</v>
      </c>
      <c r="P909" s="674"/>
      <c r="Q909" s="24">
        <f t="shared" si="160"/>
        <v>0</v>
      </c>
      <c r="R909" s="670">
        <f t="shared" si="161"/>
        <v>0</v>
      </c>
      <c r="S909" s="322">
        <f t="shared" si="162"/>
        <v>0</v>
      </c>
    </row>
    <row r="910" spans="1:19">
      <c r="A910" s="155"/>
      <c r="B910" s="57"/>
      <c r="C910" s="24">
        <f t="shared" ref="C910:C973" si="163">IF(B910="",1,(LOOKUP(B910,$3:$3,$4:$4)-LOOKUP($B$24,$3:$3,$4:$4)+100)/100)</f>
        <v>1</v>
      </c>
      <c r="D910" s="674"/>
      <c r="E910" s="24">
        <f t="shared" ref="E910:E973" si="164">(SUMIF($5:$5,D910,$6:$6)-SUMIF($5:$5,$D$24,$6:$6)+100)/100</f>
        <v>1</v>
      </c>
      <c r="F910" s="674"/>
      <c r="G910" s="24">
        <f t="shared" ref="G910:G973" si="165">(SUMIF($7:$7,F910,$8:$8)-SUMIF($7:$7,$F$24,$8:$8)+100)/100</f>
        <v>1</v>
      </c>
      <c r="H910" s="674"/>
      <c r="I910" s="24">
        <f t="shared" ref="I910:I973" si="166">(SUMIF($9:$9,H910,$10:$10)-SUMIF($9:$9,$H$24,$10:$10)+100)/100</f>
        <v>1</v>
      </c>
      <c r="J910" s="674"/>
      <c r="K910" s="24">
        <f t="shared" ref="K910:K973" si="167">(SUMIF($11:$11,J910,$12:$12)-SUMIF($11:$11,$J$24,$12:$12)+100)/100</f>
        <v>1</v>
      </c>
      <c r="L910" s="674"/>
      <c r="M910" s="24">
        <f t="shared" ref="M910:M973" si="168">(SUMIF($13:$13,L910,$14:$14)-SUMIF($13:$13,$L$24,$14:$14)+100)/100</f>
        <v>1</v>
      </c>
      <c r="N910" s="674"/>
      <c r="O910" s="24">
        <f t="shared" ref="O910:O973" si="169">(SUMIF($15:$15,N910,$16:$16)-SUMIF($15:$15,$N$24,$16:$16)+100)/100</f>
        <v>1</v>
      </c>
      <c r="P910" s="674"/>
      <c r="Q910" s="24">
        <f t="shared" ref="Q910:Q973" si="170">(SUMIF($17:$17,P910,$18:$18)-SUMIF($17:$17,$P$24,$18:$18)+100)/100</f>
        <v>0</v>
      </c>
      <c r="R910" s="670">
        <f t="shared" ref="R910:R973" si="171">IF(B910="",0,ROUND($R$24*C910*E910*G910*I910*K910*M910*O910*Q910,0))</f>
        <v>0</v>
      </c>
      <c r="S910" s="322">
        <f t="shared" ref="S910:S973" si="172">ROUND(R910*B910/10000,0)</f>
        <v>0</v>
      </c>
    </row>
    <row r="911" spans="1:19">
      <c r="A911" s="155"/>
      <c r="B911" s="57"/>
      <c r="C911" s="24">
        <f t="shared" si="163"/>
        <v>1</v>
      </c>
      <c r="D911" s="674"/>
      <c r="E911" s="24">
        <f t="shared" si="164"/>
        <v>1</v>
      </c>
      <c r="F911" s="674"/>
      <c r="G911" s="24">
        <f t="shared" si="165"/>
        <v>1</v>
      </c>
      <c r="H911" s="674"/>
      <c r="I911" s="24">
        <f t="shared" si="166"/>
        <v>1</v>
      </c>
      <c r="J911" s="674"/>
      <c r="K911" s="24">
        <f t="shared" si="167"/>
        <v>1</v>
      </c>
      <c r="L911" s="674"/>
      <c r="M911" s="24">
        <f t="shared" si="168"/>
        <v>1</v>
      </c>
      <c r="N911" s="674"/>
      <c r="O911" s="24">
        <f t="shared" si="169"/>
        <v>1</v>
      </c>
      <c r="P911" s="674"/>
      <c r="Q911" s="24">
        <f t="shared" si="170"/>
        <v>0</v>
      </c>
      <c r="R911" s="670">
        <f t="shared" si="171"/>
        <v>0</v>
      </c>
      <c r="S911" s="322">
        <f t="shared" si="172"/>
        <v>0</v>
      </c>
    </row>
    <row r="912" spans="1:19">
      <c r="A912" s="155"/>
      <c r="B912" s="57"/>
      <c r="C912" s="24">
        <f t="shared" si="163"/>
        <v>1</v>
      </c>
      <c r="D912" s="674"/>
      <c r="E912" s="24">
        <f t="shared" si="164"/>
        <v>1</v>
      </c>
      <c r="F912" s="674"/>
      <c r="G912" s="24">
        <f t="shared" si="165"/>
        <v>1</v>
      </c>
      <c r="H912" s="674"/>
      <c r="I912" s="24">
        <f t="shared" si="166"/>
        <v>1</v>
      </c>
      <c r="J912" s="674"/>
      <c r="K912" s="24">
        <f t="shared" si="167"/>
        <v>1</v>
      </c>
      <c r="L912" s="674"/>
      <c r="M912" s="24">
        <f t="shared" si="168"/>
        <v>1</v>
      </c>
      <c r="N912" s="674"/>
      <c r="O912" s="24">
        <f t="shared" si="169"/>
        <v>1</v>
      </c>
      <c r="P912" s="674"/>
      <c r="Q912" s="24">
        <f t="shared" si="170"/>
        <v>0</v>
      </c>
      <c r="R912" s="670">
        <f t="shared" si="171"/>
        <v>0</v>
      </c>
      <c r="S912" s="322">
        <f t="shared" si="172"/>
        <v>0</v>
      </c>
    </row>
    <row r="913" spans="1:19">
      <c r="A913" s="155"/>
      <c r="B913" s="57"/>
      <c r="C913" s="24">
        <f t="shared" si="163"/>
        <v>1</v>
      </c>
      <c r="D913" s="674"/>
      <c r="E913" s="24">
        <f t="shared" si="164"/>
        <v>1</v>
      </c>
      <c r="F913" s="674"/>
      <c r="G913" s="24">
        <f t="shared" si="165"/>
        <v>1</v>
      </c>
      <c r="H913" s="674"/>
      <c r="I913" s="24">
        <f t="shared" si="166"/>
        <v>1</v>
      </c>
      <c r="J913" s="674"/>
      <c r="K913" s="24">
        <f t="shared" si="167"/>
        <v>1</v>
      </c>
      <c r="L913" s="674"/>
      <c r="M913" s="24">
        <f t="shared" si="168"/>
        <v>1</v>
      </c>
      <c r="N913" s="674"/>
      <c r="O913" s="24">
        <f t="shared" si="169"/>
        <v>1</v>
      </c>
      <c r="P913" s="674"/>
      <c r="Q913" s="24">
        <f t="shared" si="170"/>
        <v>0</v>
      </c>
      <c r="R913" s="670">
        <f t="shared" si="171"/>
        <v>0</v>
      </c>
      <c r="S913" s="322">
        <f t="shared" si="172"/>
        <v>0</v>
      </c>
    </row>
    <row r="914" spans="1:19">
      <c r="A914" s="155"/>
      <c r="B914" s="57"/>
      <c r="C914" s="24">
        <f t="shared" si="163"/>
        <v>1</v>
      </c>
      <c r="D914" s="674"/>
      <c r="E914" s="24">
        <f t="shared" si="164"/>
        <v>1</v>
      </c>
      <c r="F914" s="674"/>
      <c r="G914" s="24">
        <f t="shared" si="165"/>
        <v>1</v>
      </c>
      <c r="H914" s="674"/>
      <c r="I914" s="24">
        <f t="shared" si="166"/>
        <v>1</v>
      </c>
      <c r="J914" s="674"/>
      <c r="K914" s="24">
        <f t="shared" si="167"/>
        <v>1</v>
      </c>
      <c r="L914" s="674"/>
      <c r="M914" s="24">
        <f t="shared" si="168"/>
        <v>1</v>
      </c>
      <c r="N914" s="674"/>
      <c r="O914" s="24">
        <f t="shared" si="169"/>
        <v>1</v>
      </c>
      <c r="P914" s="674"/>
      <c r="Q914" s="24">
        <f t="shared" si="170"/>
        <v>0</v>
      </c>
      <c r="R914" s="670">
        <f t="shared" si="171"/>
        <v>0</v>
      </c>
      <c r="S914" s="322">
        <f t="shared" si="172"/>
        <v>0</v>
      </c>
    </row>
    <row r="915" spans="1:19">
      <c r="A915" s="155"/>
      <c r="B915" s="57"/>
      <c r="C915" s="24">
        <f t="shared" si="163"/>
        <v>1</v>
      </c>
      <c r="D915" s="674"/>
      <c r="E915" s="24">
        <f t="shared" si="164"/>
        <v>1</v>
      </c>
      <c r="F915" s="674"/>
      <c r="G915" s="24">
        <f t="shared" si="165"/>
        <v>1</v>
      </c>
      <c r="H915" s="674"/>
      <c r="I915" s="24">
        <f t="shared" si="166"/>
        <v>1</v>
      </c>
      <c r="J915" s="674"/>
      <c r="K915" s="24">
        <f t="shared" si="167"/>
        <v>1</v>
      </c>
      <c r="L915" s="674"/>
      <c r="M915" s="24">
        <f t="shared" si="168"/>
        <v>1</v>
      </c>
      <c r="N915" s="674"/>
      <c r="O915" s="24">
        <f t="shared" si="169"/>
        <v>1</v>
      </c>
      <c r="P915" s="674"/>
      <c r="Q915" s="24">
        <f t="shared" si="170"/>
        <v>0</v>
      </c>
      <c r="R915" s="670">
        <f t="shared" si="171"/>
        <v>0</v>
      </c>
      <c r="S915" s="322">
        <f t="shared" si="172"/>
        <v>0</v>
      </c>
    </row>
    <row r="916" spans="1:19">
      <c r="A916" s="155"/>
      <c r="B916" s="57"/>
      <c r="C916" s="24">
        <f t="shared" si="163"/>
        <v>1</v>
      </c>
      <c r="D916" s="674"/>
      <c r="E916" s="24">
        <f t="shared" si="164"/>
        <v>1</v>
      </c>
      <c r="F916" s="674"/>
      <c r="G916" s="24">
        <f t="shared" si="165"/>
        <v>1</v>
      </c>
      <c r="H916" s="674"/>
      <c r="I916" s="24">
        <f t="shared" si="166"/>
        <v>1</v>
      </c>
      <c r="J916" s="674"/>
      <c r="K916" s="24">
        <f t="shared" si="167"/>
        <v>1</v>
      </c>
      <c r="L916" s="674"/>
      <c r="M916" s="24">
        <f t="shared" si="168"/>
        <v>1</v>
      </c>
      <c r="N916" s="674"/>
      <c r="O916" s="24">
        <f t="shared" si="169"/>
        <v>1</v>
      </c>
      <c r="P916" s="674"/>
      <c r="Q916" s="24">
        <f t="shared" si="170"/>
        <v>0</v>
      </c>
      <c r="R916" s="670">
        <f t="shared" si="171"/>
        <v>0</v>
      </c>
      <c r="S916" s="322">
        <f t="shared" si="172"/>
        <v>0</v>
      </c>
    </row>
    <row r="917" spans="1:19">
      <c r="A917" s="155"/>
      <c r="B917" s="57"/>
      <c r="C917" s="24">
        <f t="shared" si="163"/>
        <v>1</v>
      </c>
      <c r="D917" s="674"/>
      <c r="E917" s="24">
        <f t="shared" si="164"/>
        <v>1</v>
      </c>
      <c r="F917" s="674"/>
      <c r="G917" s="24">
        <f t="shared" si="165"/>
        <v>1</v>
      </c>
      <c r="H917" s="674"/>
      <c r="I917" s="24">
        <f t="shared" si="166"/>
        <v>1</v>
      </c>
      <c r="J917" s="674"/>
      <c r="K917" s="24">
        <f t="shared" si="167"/>
        <v>1</v>
      </c>
      <c r="L917" s="674"/>
      <c r="M917" s="24">
        <f t="shared" si="168"/>
        <v>1</v>
      </c>
      <c r="N917" s="674"/>
      <c r="O917" s="24">
        <f t="shared" si="169"/>
        <v>1</v>
      </c>
      <c r="P917" s="674"/>
      <c r="Q917" s="24">
        <f t="shared" si="170"/>
        <v>0</v>
      </c>
      <c r="R917" s="670">
        <f t="shared" si="171"/>
        <v>0</v>
      </c>
      <c r="S917" s="322">
        <f t="shared" si="172"/>
        <v>0</v>
      </c>
    </row>
    <row r="918" spans="1:19">
      <c r="A918" s="155"/>
      <c r="B918" s="57"/>
      <c r="C918" s="24">
        <f t="shared" si="163"/>
        <v>1</v>
      </c>
      <c r="D918" s="674"/>
      <c r="E918" s="24">
        <f t="shared" si="164"/>
        <v>1</v>
      </c>
      <c r="F918" s="674"/>
      <c r="G918" s="24">
        <f t="shared" si="165"/>
        <v>1</v>
      </c>
      <c r="H918" s="674"/>
      <c r="I918" s="24">
        <f t="shared" si="166"/>
        <v>1</v>
      </c>
      <c r="J918" s="674"/>
      <c r="K918" s="24">
        <f t="shared" si="167"/>
        <v>1</v>
      </c>
      <c r="L918" s="674"/>
      <c r="M918" s="24">
        <f t="shared" si="168"/>
        <v>1</v>
      </c>
      <c r="N918" s="674"/>
      <c r="O918" s="24">
        <f t="shared" si="169"/>
        <v>1</v>
      </c>
      <c r="P918" s="674"/>
      <c r="Q918" s="24">
        <f t="shared" si="170"/>
        <v>0</v>
      </c>
      <c r="R918" s="670">
        <f t="shared" si="171"/>
        <v>0</v>
      </c>
      <c r="S918" s="322">
        <f t="shared" si="172"/>
        <v>0</v>
      </c>
    </row>
    <row r="919" spans="1:19">
      <c r="A919" s="155"/>
      <c r="B919" s="57"/>
      <c r="C919" s="24">
        <f t="shared" si="163"/>
        <v>1</v>
      </c>
      <c r="D919" s="674"/>
      <c r="E919" s="24">
        <f t="shared" si="164"/>
        <v>1</v>
      </c>
      <c r="F919" s="674"/>
      <c r="G919" s="24">
        <f t="shared" si="165"/>
        <v>1</v>
      </c>
      <c r="H919" s="674"/>
      <c r="I919" s="24">
        <f t="shared" si="166"/>
        <v>1</v>
      </c>
      <c r="J919" s="674"/>
      <c r="K919" s="24">
        <f t="shared" si="167"/>
        <v>1</v>
      </c>
      <c r="L919" s="674"/>
      <c r="M919" s="24">
        <f t="shared" si="168"/>
        <v>1</v>
      </c>
      <c r="N919" s="674"/>
      <c r="O919" s="24">
        <f t="shared" si="169"/>
        <v>1</v>
      </c>
      <c r="P919" s="674"/>
      <c r="Q919" s="24">
        <f t="shared" si="170"/>
        <v>0</v>
      </c>
      <c r="R919" s="670">
        <f t="shared" si="171"/>
        <v>0</v>
      </c>
      <c r="S919" s="322">
        <f t="shared" si="172"/>
        <v>0</v>
      </c>
    </row>
    <row r="920" spans="1:19">
      <c r="A920" s="155"/>
      <c r="B920" s="57"/>
      <c r="C920" s="24">
        <f t="shared" si="163"/>
        <v>1</v>
      </c>
      <c r="D920" s="674"/>
      <c r="E920" s="24">
        <f t="shared" si="164"/>
        <v>1</v>
      </c>
      <c r="F920" s="674"/>
      <c r="G920" s="24">
        <f t="shared" si="165"/>
        <v>1</v>
      </c>
      <c r="H920" s="674"/>
      <c r="I920" s="24">
        <f t="shared" si="166"/>
        <v>1</v>
      </c>
      <c r="J920" s="674"/>
      <c r="K920" s="24">
        <f t="shared" si="167"/>
        <v>1</v>
      </c>
      <c r="L920" s="674"/>
      <c r="M920" s="24">
        <f t="shared" si="168"/>
        <v>1</v>
      </c>
      <c r="N920" s="674"/>
      <c r="O920" s="24">
        <f t="shared" si="169"/>
        <v>1</v>
      </c>
      <c r="P920" s="674"/>
      <c r="Q920" s="24">
        <f t="shared" si="170"/>
        <v>0</v>
      </c>
      <c r="R920" s="670">
        <f t="shared" si="171"/>
        <v>0</v>
      </c>
      <c r="S920" s="322">
        <f t="shared" si="172"/>
        <v>0</v>
      </c>
    </row>
    <row r="921" spans="1:19">
      <c r="A921" s="155"/>
      <c r="B921" s="57"/>
      <c r="C921" s="24">
        <f t="shared" si="163"/>
        <v>1</v>
      </c>
      <c r="D921" s="674"/>
      <c r="E921" s="24">
        <f t="shared" si="164"/>
        <v>1</v>
      </c>
      <c r="F921" s="674"/>
      <c r="G921" s="24">
        <f t="shared" si="165"/>
        <v>1</v>
      </c>
      <c r="H921" s="674"/>
      <c r="I921" s="24">
        <f t="shared" si="166"/>
        <v>1</v>
      </c>
      <c r="J921" s="674"/>
      <c r="K921" s="24">
        <f t="shared" si="167"/>
        <v>1</v>
      </c>
      <c r="L921" s="674"/>
      <c r="M921" s="24">
        <f t="shared" si="168"/>
        <v>1</v>
      </c>
      <c r="N921" s="674"/>
      <c r="O921" s="24">
        <f t="shared" si="169"/>
        <v>1</v>
      </c>
      <c r="P921" s="674"/>
      <c r="Q921" s="24">
        <f t="shared" si="170"/>
        <v>0</v>
      </c>
      <c r="R921" s="670">
        <f t="shared" si="171"/>
        <v>0</v>
      </c>
      <c r="S921" s="322">
        <f t="shared" si="172"/>
        <v>0</v>
      </c>
    </row>
    <row r="922" spans="1:19">
      <c r="A922" s="155"/>
      <c r="B922" s="57"/>
      <c r="C922" s="24">
        <f t="shared" si="163"/>
        <v>1</v>
      </c>
      <c r="D922" s="674"/>
      <c r="E922" s="24">
        <f t="shared" si="164"/>
        <v>1</v>
      </c>
      <c r="F922" s="674"/>
      <c r="G922" s="24">
        <f t="shared" si="165"/>
        <v>1</v>
      </c>
      <c r="H922" s="674"/>
      <c r="I922" s="24">
        <f t="shared" si="166"/>
        <v>1</v>
      </c>
      <c r="J922" s="674"/>
      <c r="K922" s="24">
        <f t="shared" si="167"/>
        <v>1</v>
      </c>
      <c r="L922" s="674"/>
      <c r="M922" s="24">
        <f t="shared" si="168"/>
        <v>1</v>
      </c>
      <c r="N922" s="674"/>
      <c r="O922" s="24">
        <f t="shared" si="169"/>
        <v>1</v>
      </c>
      <c r="P922" s="674"/>
      <c r="Q922" s="24">
        <f t="shared" si="170"/>
        <v>0</v>
      </c>
      <c r="R922" s="670">
        <f t="shared" si="171"/>
        <v>0</v>
      </c>
      <c r="S922" s="322">
        <f t="shared" si="172"/>
        <v>0</v>
      </c>
    </row>
    <row r="923" spans="1:19">
      <c r="A923" s="155"/>
      <c r="B923" s="57"/>
      <c r="C923" s="24">
        <f t="shared" si="163"/>
        <v>1</v>
      </c>
      <c r="D923" s="674"/>
      <c r="E923" s="24">
        <f t="shared" si="164"/>
        <v>1</v>
      </c>
      <c r="F923" s="674"/>
      <c r="G923" s="24">
        <f t="shared" si="165"/>
        <v>1</v>
      </c>
      <c r="H923" s="674"/>
      <c r="I923" s="24">
        <f t="shared" si="166"/>
        <v>1</v>
      </c>
      <c r="J923" s="674"/>
      <c r="K923" s="24">
        <f t="shared" si="167"/>
        <v>1</v>
      </c>
      <c r="L923" s="674"/>
      <c r="M923" s="24">
        <f t="shared" si="168"/>
        <v>1</v>
      </c>
      <c r="N923" s="674"/>
      <c r="O923" s="24">
        <f t="shared" si="169"/>
        <v>1</v>
      </c>
      <c r="P923" s="674"/>
      <c r="Q923" s="24">
        <f t="shared" si="170"/>
        <v>0</v>
      </c>
      <c r="R923" s="670">
        <f t="shared" si="171"/>
        <v>0</v>
      </c>
      <c r="S923" s="322">
        <f t="shared" si="172"/>
        <v>0</v>
      </c>
    </row>
    <row r="924" spans="1:19">
      <c r="A924" s="155"/>
      <c r="B924" s="57"/>
      <c r="C924" s="24">
        <f t="shared" si="163"/>
        <v>1</v>
      </c>
      <c r="D924" s="674"/>
      <c r="E924" s="24">
        <f t="shared" si="164"/>
        <v>1</v>
      </c>
      <c r="F924" s="674"/>
      <c r="G924" s="24">
        <f t="shared" si="165"/>
        <v>1</v>
      </c>
      <c r="H924" s="674"/>
      <c r="I924" s="24">
        <f t="shared" si="166"/>
        <v>1</v>
      </c>
      <c r="J924" s="674"/>
      <c r="K924" s="24">
        <f t="shared" si="167"/>
        <v>1</v>
      </c>
      <c r="L924" s="674"/>
      <c r="M924" s="24">
        <f t="shared" si="168"/>
        <v>1</v>
      </c>
      <c r="N924" s="674"/>
      <c r="O924" s="24">
        <f t="shared" si="169"/>
        <v>1</v>
      </c>
      <c r="P924" s="674"/>
      <c r="Q924" s="24">
        <f t="shared" si="170"/>
        <v>0</v>
      </c>
      <c r="R924" s="670">
        <f t="shared" si="171"/>
        <v>0</v>
      </c>
      <c r="S924" s="322">
        <f t="shared" si="172"/>
        <v>0</v>
      </c>
    </row>
    <row r="925" spans="1:19">
      <c r="A925" s="155"/>
      <c r="B925" s="57"/>
      <c r="C925" s="24">
        <f t="shared" si="163"/>
        <v>1</v>
      </c>
      <c r="D925" s="674"/>
      <c r="E925" s="24">
        <f t="shared" si="164"/>
        <v>1</v>
      </c>
      <c r="F925" s="674"/>
      <c r="G925" s="24">
        <f t="shared" si="165"/>
        <v>1</v>
      </c>
      <c r="H925" s="674"/>
      <c r="I925" s="24">
        <f t="shared" si="166"/>
        <v>1</v>
      </c>
      <c r="J925" s="674"/>
      <c r="K925" s="24">
        <f t="shared" si="167"/>
        <v>1</v>
      </c>
      <c r="L925" s="674"/>
      <c r="M925" s="24">
        <f t="shared" si="168"/>
        <v>1</v>
      </c>
      <c r="N925" s="674"/>
      <c r="O925" s="24">
        <f t="shared" si="169"/>
        <v>1</v>
      </c>
      <c r="P925" s="674"/>
      <c r="Q925" s="24">
        <f t="shared" si="170"/>
        <v>0</v>
      </c>
      <c r="R925" s="670">
        <f t="shared" si="171"/>
        <v>0</v>
      </c>
      <c r="S925" s="322">
        <f t="shared" si="172"/>
        <v>0</v>
      </c>
    </row>
    <row r="926" spans="1:19">
      <c r="A926" s="155"/>
      <c r="B926" s="57"/>
      <c r="C926" s="24">
        <f t="shared" si="163"/>
        <v>1</v>
      </c>
      <c r="D926" s="674"/>
      <c r="E926" s="24">
        <f t="shared" si="164"/>
        <v>1</v>
      </c>
      <c r="F926" s="674"/>
      <c r="G926" s="24">
        <f t="shared" si="165"/>
        <v>1</v>
      </c>
      <c r="H926" s="674"/>
      <c r="I926" s="24">
        <f t="shared" si="166"/>
        <v>1</v>
      </c>
      <c r="J926" s="674"/>
      <c r="K926" s="24">
        <f t="shared" si="167"/>
        <v>1</v>
      </c>
      <c r="L926" s="674"/>
      <c r="M926" s="24">
        <f t="shared" si="168"/>
        <v>1</v>
      </c>
      <c r="N926" s="674"/>
      <c r="O926" s="24">
        <f t="shared" si="169"/>
        <v>1</v>
      </c>
      <c r="P926" s="674"/>
      <c r="Q926" s="24">
        <f t="shared" si="170"/>
        <v>0</v>
      </c>
      <c r="R926" s="670">
        <f t="shared" si="171"/>
        <v>0</v>
      </c>
      <c r="S926" s="322">
        <f t="shared" si="172"/>
        <v>0</v>
      </c>
    </row>
    <row r="927" spans="1:19">
      <c r="A927" s="155"/>
      <c r="B927" s="57"/>
      <c r="C927" s="24">
        <f t="shared" si="163"/>
        <v>1</v>
      </c>
      <c r="D927" s="674"/>
      <c r="E927" s="24">
        <f t="shared" si="164"/>
        <v>1</v>
      </c>
      <c r="F927" s="674"/>
      <c r="G927" s="24">
        <f t="shared" si="165"/>
        <v>1</v>
      </c>
      <c r="H927" s="674"/>
      <c r="I927" s="24">
        <f t="shared" si="166"/>
        <v>1</v>
      </c>
      <c r="J927" s="674"/>
      <c r="K927" s="24">
        <f t="shared" si="167"/>
        <v>1</v>
      </c>
      <c r="L927" s="674"/>
      <c r="M927" s="24">
        <f t="shared" si="168"/>
        <v>1</v>
      </c>
      <c r="N927" s="674"/>
      <c r="O927" s="24">
        <f t="shared" si="169"/>
        <v>1</v>
      </c>
      <c r="P927" s="674"/>
      <c r="Q927" s="24">
        <f t="shared" si="170"/>
        <v>0</v>
      </c>
      <c r="R927" s="670">
        <f t="shared" si="171"/>
        <v>0</v>
      </c>
      <c r="S927" s="322">
        <f t="shared" si="172"/>
        <v>0</v>
      </c>
    </row>
    <row r="928" spans="1:19">
      <c r="A928" s="155"/>
      <c r="B928" s="57"/>
      <c r="C928" s="24">
        <f t="shared" si="163"/>
        <v>1</v>
      </c>
      <c r="D928" s="674"/>
      <c r="E928" s="24">
        <f t="shared" si="164"/>
        <v>1</v>
      </c>
      <c r="F928" s="674"/>
      <c r="G928" s="24">
        <f t="shared" si="165"/>
        <v>1</v>
      </c>
      <c r="H928" s="674"/>
      <c r="I928" s="24">
        <f t="shared" si="166"/>
        <v>1</v>
      </c>
      <c r="J928" s="674"/>
      <c r="K928" s="24">
        <f t="shared" si="167"/>
        <v>1</v>
      </c>
      <c r="L928" s="674"/>
      <c r="M928" s="24">
        <f t="shared" si="168"/>
        <v>1</v>
      </c>
      <c r="N928" s="674"/>
      <c r="O928" s="24">
        <f t="shared" si="169"/>
        <v>1</v>
      </c>
      <c r="P928" s="674"/>
      <c r="Q928" s="24">
        <f t="shared" si="170"/>
        <v>0</v>
      </c>
      <c r="R928" s="670">
        <f t="shared" si="171"/>
        <v>0</v>
      </c>
      <c r="S928" s="322">
        <f t="shared" si="172"/>
        <v>0</v>
      </c>
    </row>
    <row r="929" spans="1:19">
      <c r="A929" s="155"/>
      <c r="B929" s="57"/>
      <c r="C929" s="24">
        <f t="shared" si="163"/>
        <v>1</v>
      </c>
      <c r="D929" s="674"/>
      <c r="E929" s="24">
        <f t="shared" si="164"/>
        <v>1</v>
      </c>
      <c r="F929" s="674"/>
      <c r="G929" s="24">
        <f t="shared" si="165"/>
        <v>1</v>
      </c>
      <c r="H929" s="674"/>
      <c r="I929" s="24">
        <f t="shared" si="166"/>
        <v>1</v>
      </c>
      <c r="J929" s="674"/>
      <c r="K929" s="24">
        <f t="shared" si="167"/>
        <v>1</v>
      </c>
      <c r="L929" s="674"/>
      <c r="M929" s="24">
        <f t="shared" si="168"/>
        <v>1</v>
      </c>
      <c r="N929" s="674"/>
      <c r="O929" s="24">
        <f t="shared" si="169"/>
        <v>1</v>
      </c>
      <c r="P929" s="674"/>
      <c r="Q929" s="24">
        <f t="shared" si="170"/>
        <v>0</v>
      </c>
      <c r="R929" s="670">
        <f t="shared" si="171"/>
        <v>0</v>
      </c>
      <c r="S929" s="322">
        <f t="shared" si="172"/>
        <v>0</v>
      </c>
    </row>
    <row r="930" spans="1:19">
      <c r="A930" s="155"/>
      <c r="B930" s="57"/>
      <c r="C930" s="24">
        <f t="shared" si="163"/>
        <v>1</v>
      </c>
      <c r="D930" s="674"/>
      <c r="E930" s="24">
        <f t="shared" si="164"/>
        <v>1</v>
      </c>
      <c r="F930" s="674"/>
      <c r="G930" s="24">
        <f t="shared" si="165"/>
        <v>1</v>
      </c>
      <c r="H930" s="674"/>
      <c r="I930" s="24">
        <f t="shared" si="166"/>
        <v>1</v>
      </c>
      <c r="J930" s="674"/>
      <c r="K930" s="24">
        <f t="shared" si="167"/>
        <v>1</v>
      </c>
      <c r="L930" s="674"/>
      <c r="M930" s="24">
        <f t="shared" si="168"/>
        <v>1</v>
      </c>
      <c r="N930" s="674"/>
      <c r="O930" s="24">
        <f t="shared" si="169"/>
        <v>1</v>
      </c>
      <c r="P930" s="674"/>
      <c r="Q930" s="24">
        <f t="shared" si="170"/>
        <v>0</v>
      </c>
      <c r="R930" s="670">
        <f t="shared" si="171"/>
        <v>0</v>
      </c>
      <c r="S930" s="322">
        <f t="shared" si="172"/>
        <v>0</v>
      </c>
    </row>
    <row r="931" spans="1:19">
      <c r="A931" s="155"/>
      <c r="B931" s="57"/>
      <c r="C931" s="24">
        <f t="shared" si="163"/>
        <v>1</v>
      </c>
      <c r="D931" s="674"/>
      <c r="E931" s="24">
        <f t="shared" si="164"/>
        <v>1</v>
      </c>
      <c r="F931" s="674"/>
      <c r="G931" s="24">
        <f t="shared" si="165"/>
        <v>1</v>
      </c>
      <c r="H931" s="674"/>
      <c r="I931" s="24">
        <f t="shared" si="166"/>
        <v>1</v>
      </c>
      <c r="J931" s="674"/>
      <c r="K931" s="24">
        <f t="shared" si="167"/>
        <v>1</v>
      </c>
      <c r="L931" s="674"/>
      <c r="M931" s="24">
        <f t="shared" si="168"/>
        <v>1</v>
      </c>
      <c r="N931" s="674"/>
      <c r="O931" s="24">
        <f t="shared" si="169"/>
        <v>1</v>
      </c>
      <c r="P931" s="674"/>
      <c r="Q931" s="24">
        <f t="shared" si="170"/>
        <v>0</v>
      </c>
      <c r="R931" s="670">
        <f t="shared" si="171"/>
        <v>0</v>
      </c>
      <c r="S931" s="322">
        <f t="shared" si="172"/>
        <v>0</v>
      </c>
    </row>
    <row r="932" spans="1:19">
      <c r="A932" s="155"/>
      <c r="B932" s="57"/>
      <c r="C932" s="24">
        <f t="shared" si="163"/>
        <v>1</v>
      </c>
      <c r="D932" s="674"/>
      <c r="E932" s="24">
        <f t="shared" si="164"/>
        <v>1</v>
      </c>
      <c r="F932" s="674"/>
      <c r="G932" s="24">
        <f t="shared" si="165"/>
        <v>1</v>
      </c>
      <c r="H932" s="674"/>
      <c r="I932" s="24">
        <f t="shared" si="166"/>
        <v>1</v>
      </c>
      <c r="J932" s="674"/>
      <c r="K932" s="24">
        <f t="shared" si="167"/>
        <v>1</v>
      </c>
      <c r="L932" s="674"/>
      <c r="M932" s="24">
        <f t="shared" si="168"/>
        <v>1</v>
      </c>
      <c r="N932" s="674"/>
      <c r="O932" s="24">
        <f t="shared" si="169"/>
        <v>1</v>
      </c>
      <c r="P932" s="674"/>
      <c r="Q932" s="24">
        <f t="shared" si="170"/>
        <v>0</v>
      </c>
      <c r="R932" s="670">
        <f t="shared" si="171"/>
        <v>0</v>
      </c>
      <c r="S932" s="322">
        <f t="shared" si="172"/>
        <v>0</v>
      </c>
    </row>
    <row r="933" spans="1:19">
      <c r="A933" s="155"/>
      <c r="B933" s="57"/>
      <c r="C933" s="24">
        <f t="shared" si="163"/>
        <v>1</v>
      </c>
      <c r="D933" s="674"/>
      <c r="E933" s="24">
        <f t="shared" si="164"/>
        <v>1</v>
      </c>
      <c r="F933" s="674"/>
      <c r="G933" s="24">
        <f t="shared" si="165"/>
        <v>1</v>
      </c>
      <c r="H933" s="674"/>
      <c r="I933" s="24">
        <f t="shared" si="166"/>
        <v>1</v>
      </c>
      <c r="J933" s="674"/>
      <c r="K933" s="24">
        <f t="shared" si="167"/>
        <v>1</v>
      </c>
      <c r="L933" s="674"/>
      <c r="M933" s="24">
        <f t="shared" si="168"/>
        <v>1</v>
      </c>
      <c r="N933" s="674"/>
      <c r="O933" s="24">
        <f t="shared" si="169"/>
        <v>1</v>
      </c>
      <c r="P933" s="674"/>
      <c r="Q933" s="24">
        <f t="shared" si="170"/>
        <v>0</v>
      </c>
      <c r="R933" s="670">
        <f t="shared" si="171"/>
        <v>0</v>
      </c>
      <c r="S933" s="322">
        <f t="shared" si="172"/>
        <v>0</v>
      </c>
    </row>
    <row r="934" spans="1:19">
      <c r="A934" s="155"/>
      <c r="B934" s="57"/>
      <c r="C934" s="24">
        <f t="shared" si="163"/>
        <v>1</v>
      </c>
      <c r="D934" s="674"/>
      <c r="E934" s="24">
        <f t="shared" si="164"/>
        <v>1</v>
      </c>
      <c r="F934" s="674"/>
      <c r="G934" s="24">
        <f t="shared" si="165"/>
        <v>1</v>
      </c>
      <c r="H934" s="674"/>
      <c r="I934" s="24">
        <f t="shared" si="166"/>
        <v>1</v>
      </c>
      <c r="J934" s="674"/>
      <c r="K934" s="24">
        <f t="shared" si="167"/>
        <v>1</v>
      </c>
      <c r="L934" s="674"/>
      <c r="M934" s="24">
        <f t="shared" si="168"/>
        <v>1</v>
      </c>
      <c r="N934" s="674"/>
      <c r="O934" s="24">
        <f t="shared" si="169"/>
        <v>1</v>
      </c>
      <c r="P934" s="674"/>
      <c r="Q934" s="24">
        <f t="shared" si="170"/>
        <v>0</v>
      </c>
      <c r="R934" s="670">
        <f t="shared" si="171"/>
        <v>0</v>
      </c>
      <c r="S934" s="322">
        <f t="shared" si="172"/>
        <v>0</v>
      </c>
    </row>
    <row r="935" spans="1:19">
      <c r="A935" s="155"/>
      <c r="B935" s="57"/>
      <c r="C935" s="24">
        <f t="shared" si="163"/>
        <v>1</v>
      </c>
      <c r="D935" s="674"/>
      <c r="E935" s="24">
        <f t="shared" si="164"/>
        <v>1</v>
      </c>
      <c r="F935" s="674"/>
      <c r="G935" s="24">
        <f t="shared" si="165"/>
        <v>1</v>
      </c>
      <c r="H935" s="674"/>
      <c r="I935" s="24">
        <f t="shared" si="166"/>
        <v>1</v>
      </c>
      <c r="J935" s="674"/>
      <c r="K935" s="24">
        <f t="shared" si="167"/>
        <v>1</v>
      </c>
      <c r="L935" s="674"/>
      <c r="M935" s="24">
        <f t="shared" si="168"/>
        <v>1</v>
      </c>
      <c r="N935" s="674"/>
      <c r="O935" s="24">
        <f t="shared" si="169"/>
        <v>1</v>
      </c>
      <c r="P935" s="674"/>
      <c r="Q935" s="24">
        <f t="shared" si="170"/>
        <v>0</v>
      </c>
      <c r="R935" s="670">
        <f t="shared" si="171"/>
        <v>0</v>
      </c>
      <c r="S935" s="322">
        <f t="shared" si="172"/>
        <v>0</v>
      </c>
    </row>
    <row r="936" spans="1:19">
      <c r="A936" s="155"/>
      <c r="B936" s="57"/>
      <c r="C936" s="24">
        <f t="shared" si="163"/>
        <v>1</v>
      </c>
      <c r="D936" s="674"/>
      <c r="E936" s="24">
        <f t="shared" si="164"/>
        <v>1</v>
      </c>
      <c r="F936" s="674"/>
      <c r="G936" s="24">
        <f t="shared" si="165"/>
        <v>1</v>
      </c>
      <c r="H936" s="674"/>
      <c r="I936" s="24">
        <f t="shared" si="166"/>
        <v>1</v>
      </c>
      <c r="J936" s="674"/>
      <c r="K936" s="24">
        <f t="shared" si="167"/>
        <v>1</v>
      </c>
      <c r="L936" s="674"/>
      <c r="M936" s="24">
        <f t="shared" si="168"/>
        <v>1</v>
      </c>
      <c r="N936" s="674"/>
      <c r="O936" s="24">
        <f t="shared" si="169"/>
        <v>1</v>
      </c>
      <c r="P936" s="674"/>
      <c r="Q936" s="24">
        <f t="shared" si="170"/>
        <v>0</v>
      </c>
      <c r="R936" s="670">
        <f t="shared" si="171"/>
        <v>0</v>
      </c>
      <c r="S936" s="322">
        <f t="shared" si="172"/>
        <v>0</v>
      </c>
    </row>
    <row r="937" spans="1:19">
      <c r="A937" s="155"/>
      <c r="B937" s="57"/>
      <c r="C937" s="24">
        <f t="shared" si="163"/>
        <v>1</v>
      </c>
      <c r="D937" s="674"/>
      <c r="E937" s="24">
        <f t="shared" si="164"/>
        <v>1</v>
      </c>
      <c r="F937" s="674"/>
      <c r="G937" s="24">
        <f t="shared" si="165"/>
        <v>1</v>
      </c>
      <c r="H937" s="674"/>
      <c r="I937" s="24">
        <f t="shared" si="166"/>
        <v>1</v>
      </c>
      <c r="J937" s="674"/>
      <c r="K937" s="24">
        <f t="shared" si="167"/>
        <v>1</v>
      </c>
      <c r="L937" s="674"/>
      <c r="M937" s="24">
        <f t="shared" si="168"/>
        <v>1</v>
      </c>
      <c r="N937" s="674"/>
      <c r="O937" s="24">
        <f t="shared" si="169"/>
        <v>1</v>
      </c>
      <c r="P937" s="674"/>
      <c r="Q937" s="24">
        <f t="shared" si="170"/>
        <v>0</v>
      </c>
      <c r="R937" s="670">
        <f t="shared" si="171"/>
        <v>0</v>
      </c>
      <c r="S937" s="322">
        <f t="shared" si="172"/>
        <v>0</v>
      </c>
    </row>
    <row r="938" spans="1:19">
      <c r="A938" s="155"/>
      <c r="B938" s="57"/>
      <c r="C938" s="24">
        <f t="shared" si="163"/>
        <v>1</v>
      </c>
      <c r="D938" s="674"/>
      <c r="E938" s="24">
        <f t="shared" si="164"/>
        <v>1</v>
      </c>
      <c r="F938" s="674"/>
      <c r="G938" s="24">
        <f t="shared" si="165"/>
        <v>1</v>
      </c>
      <c r="H938" s="674"/>
      <c r="I938" s="24">
        <f t="shared" si="166"/>
        <v>1</v>
      </c>
      <c r="J938" s="674"/>
      <c r="K938" s="24">
        <f t="shared" si="167"/>
        <v>1</v>
      </c>
      <c r="L938" s="674"/>
      <c r="M938" s="24">
        <f t="shared" si="168"/>
        <v>1</v>
      </c>
      <c r="N938" s="674"/>
      <c r="O938" s="24">
        <f t="shared" si="169"/>
        <v>1</v>
      </c>
      <c r="P938" s="674"/>
      <c r="Q938" s="24">
        <f t="shared" si="170"/>
        <v>0</v>
      </c>
      <c r="R938" s="670">
        <f t="shared" si="171"/>
        <v>0</v>
      </c>
      <c r="S938" s="322">
        <f t="shared" si="172"/>
        <v>0</v>
      </c>
    </row>
    <row r="939" spans="1:19">
      <c r="A939" s="155"/>
      <c r="B939" s="57"/>
      <c r="C939" s="24">
        <f t="shared" si="163"/>
        <v>1</v>
      </c>
      <c r="D939" s="674"/>
      <c r="E939" s="24">
        <f t="shared" si="164"/>
        <v>1</v>
      </c>
      <c r="F939" s="674"/>
      <c r="G939" s="24">
        <f t="shared" si="165"/>
        <v>1</v>
      </c>
      <c r="H939" s="674"/>
      <c r="I939" s="24">
        <f t="shared" si="166"/>
        <v>1</v>
      </c>
      <c r="J939" s="674"/>
      <c r="K939" s="24">
        <f t="shared" si="167"/>
        <v>1</v>
      </c>
      <c r="L939" s="674"/>
      <c r="M939" s="24">
        <f t="shared" si="168"/>
        <v>1</v>
      </c>
      <c r="N939" s="674"/>
      <c r="O939" s="24">
        <f t="shared" si="169"/>
        <v>1</v>
      </c>
      <c r="P939" s="674"/>
      <c r="Q939" s="24">
        <f t="shared" si="170"/>
        <v>0</v>
      </c>
      <c r="R939" s="670">
        <f t="shared" si="171"/>
        <v>0</v>
      </c>
      <c r="S939" s="322">
        <f t="shared" si="172"/>
        <v>0</v>
      </c>
    </row>
    <row r="940" spans="1:19">
      <c r="A940" s="155"/>
      <c r="B940" s="57"/>
      <c r="C940" s="24">
        <f t="shared" si="163"/>
        <v>1</v>
      </c>
      <c r="D940" s="674"/>
      <c r="E940" s="24">
        <f t="shared" si="164"/>
        <v>1</v>
      </c>
      <c r="F940" s="674"/>
      <c r="G940" s="24">
        <f t="shared" si="165"/>
        <v>1</v>
      </c>
      <c r="H940" s="674"/>
      <c r="I940" s="24">
        <f t="shared" si="166"/>
        <v>1</v>
      </c>
      <c r="J940" s="674"/>
      <c r="K940" s="24">
        <f t="shared" si="167"/>
        <v>1</v>
      </c>
      <c r="L940" s="674"/>
      <c r="M940" s="24">
        <f t="shared" si="168"/>
        <v>1</v>
      </c>
      <c r="N940" s="674"/>
      <c r="O940" s="24">
        <f t="shared" si="169"/>
        <v>1</v>
      </c>
      <c r="P940" s="674"/>
      <c r="Q940" s="24">
        <f t="shared" si="170"/>
        <v>0</v>
      </c>
      <c r="R940" s="670">
        <f t="shared" si="171"/>
        <v>0</v>
      </c>
      <c r="S940" s="322">
        <f t="shared" si="172"/>
        <v>0</v>
      </c>
    </row>
    <row r="941" spans="1:19">
      <c r="A941" s="155"/>
      <c r="B941" s="57"/>
      <c r="C941" s="24">
        <f t="shared" si="163"/>
        <v>1</v>
      </c>
      <c r="D941" s="674"/>
      <c r="E941" s="24">
        <f t="shared" si="164"/>
        <v>1</v>
      </c>
      <c r="F941" s="674"/>
      <c r="G941" s="24">
        <f t="shared" si="165"/>
        <v>1</v>
      </c>
      <c r="H941" s="674"/>
      <c r="I941" s="24">
        <f t="shared" si="166"/>
        <v>1</v>
      </c>
      <c r="J941" s="674"/>
      <c r="K941" s="24">
        <f t="shared" si="167"/>
        <v>1</v>
      </c>
      <c r="L941" s="674"/>
      <c r="M941" s="24">
        <f t="shared" si="168"/>
        <v>1</v>
      </c>
      <c r="N941" s="674"/>
      <c r="O941" s="24">
        <f t="shared" si="169"/>
        <v>1</v>
      </c>
      <c r="P941" s="674"/>
      <c r="Q941" s="24">
        <f t="shared" si="170"/>
        <v>0</v>
      </c>
      <c r="R941" s="670">
        <f t="shared" si="171"/>
        <v>0</v>
      </c>
      <c r="S941" s="322">
        <f t="shared" si="172"/>
        <v>0</v>
      </c>
    </row>
    <row r="942" spans="1:19">
      <c r="A942" s="155"/>
      <c r="B942" s="57"/>
      <c r="C942" s="24">
        <f t="shared" si="163"/>
        <v>1</v>
      </c>
      <c r="D942" s="674"/>
      <c r="E942" s="24">
        <f t="shared" si="164"/>
        <v>1</v>
      </c>
      <c r="F942" s="674"/>
      <c r="G942" s="24">
        <f t="shared" si="165"/>
        <v>1</v>
      </c>
      <c r="H942" s="674"/>
      <c r="I942" s="24">
        <f t="shared" si="166"/>
        <v>1</v>
      </c>
      <c r="J942" s="674"/>
      <c r="K942" s="24">
        <f t="shared" si="167"/>
        <v>1</v>
      </c>
      <c r="L942" s="674"/>
      <c r="M942" s="24">
        <f t="shared" si="168"/>
        <v>1</v>
      </c>
      <c r="N942" s="674"/>
      <c r="O942" s="24">
        <f t="shared" si="169"/>
        <v>1</v>
      </c>
      <c r="P942" s="674"/>
      <c r="Q942" s="24">
        <f t="shared" si="170"/>
        <v>0</v>
      </c>
      <c r="R942" s="670">
        <f t="shared" si="171"/>
        <v>0</v>
      </c>
      <c r="S942" s="322">
        <f t="shared" si="172"/>
        <v>0</v>
      </c>
    </row>
    <row r="943" spans="1:19">
      <c r="A943" s="155"/>
      <c r="B943" s="57"/>
      <c r="C943" s="24">
        <f t="shared" si="163"/>
        <v>1</v>
      </c>
      <c r="D943" s="674"/>
      <c r="E943" s="24">
        <f t="shared" si="164"/>
        <v>1</v>
      </c>
      <c r="F943" s="674"/>
      <c r="G943" s="24">
        <f t="shared" si="165"/>
        <v>1</v>
      </c>
      <c r="H943" s="674"/>
      <c r="I943" s="24">
        <f t="shared" si="166"/>
        <v>1</v>
      </c>
      <c r="J943" s="674"/>
      <c r="K943" s="24">
        <f t="shared" si="167"/>
        <v>1</v>
      </c>
      <c r="L943" s="674"/>
      <c r="M943" s="24">
        <f t="shared" si="168"/>
        <v>1</v>
      </c>
      <c r="N943" s="674"/>
      <c r="O943" s="24">
        <f t="shared" si="169"/>
        <v>1</v>
      </c>
      <c r="P943" s="674"/>
      <c r="Q943" s="24">
        <f t="shared" si="170"/>
        <v>0</v>
      </c>
      <c r="R943" s="670">
        <f t="shared" si="171"/>
        <v>0</v>
      </c>
      <c r="S943" s="322">
        <f t="shared" si="172"/>
        <v>0</v>
      </c>
    </row>
    <row r="944" spans="1:19">
      <c r="A944" s="155"/>
      <c r="B944" s="57"/>
      <c r="C944" s="24">
        <f t="shared" si="163"/>
        <v>1</v>
      </c>
      <c r="D944" s="674"/>
      <c r="E944" s="24">
        <f t="shared" si="164"/>
        <v>1</v>
      </c>
      <c r="F944" s="674"/>
      <c r="G944" s="24">
        <f t="shared" si="165"/>
        <v>1</v>
      </c>
      <c r="H944" s="674"/>
      <c r="I944" s="24">
        <f t="shared" si="166"/>
        <v>1</v>
      </c>
      <c r="J944" s="674"/>
      <c r="K944" s="24">
        <f t="shared" si="167"/>
        <v>1</v>
      </c>
      <c r="L944" s="674"/>
      <c r="M944" s="24">
        <f t="shared" si="168"/>
        <v>1</v>
      </c>
      <c r="N944" s="674"/>
      <c r="O944" s="24">
        <f t="shared" si="169"/>
        <v>1</v>
      </c>
      <c r="P944" s="674"/>
      <c r="Q944" s="24">
        <f t="shared" si="170"/>
        <v>0</v>
      </c>
      <c r="R944" s="670">
        <f t="shared" si="171"/>
        <v>0</v>
      </c>
      <c r="S944" s="322">
        <f t="shared" si="172"/>
        <v>0</v>
      </c>
    </row>
    <row r="945" spans="1:19">
      <c r="A945" s="155"/>
      <c r="B945" s="57"/>
      <c r="C945" s="24">
        <f t="shared" si="163"/>
        <v>1</v>
      </c>
      <c r="D945" s="674"/>
      <c r="E945" s="24">
        <f t="shared" si="164"/>
        <v>1</v>
      </c>
      <c r="F945" s="674"/>
      <c r="G945" s="24">
        <f t="shared" si="165"/>
        <v>1</v>
      </c>
      <c r="H945" s="674"/>
      <c r="I945" s="24">
        <f t="shared" si="166"/>
        <v>1</v>
      </c>
      <c r="J945" s="674"/>
      <c r="K945" s="24">
        <f t="shared" si="167"/>
        <v>1</v>
      </c>
      <c r="L945" s="674"/>
      <c r="M945" s="24">
        <f t="shared" si="168"/>
        <v>1</v>
      </c>
      <c r="N945" s="674"/>
      <c r="O945" s="24">
        <f t="shared" si="169"/>
        <v>1</v>
      </c>
      <c r="P945" s="674"/>
      <c r="Q945" s="24">
        <f t="shared" si="170"/>
        <v>0</v>
      </c>
      <c r="R945" s="670">
        <f t="shared" si="171"/>
        <v>0</v>
      </c>
      <c r="S945" s="322">
        <f t="shared" si="172"/>
        <v>0</v>
      </c>
    </row>
    <row r="946" spans="1:19">
      <c r="A946" s="155"/>
      <c r="B946" s="57"/>
      <c r="C946" s="24">
        <f t="shared" si="163"/>
        <v>1</v>
      </c>
      <c r="D946" s="674"/>
      <c r="E946" s="24">
        <f t="shared" si="164"/>
        <v>1</v>
      </c>
      <c r="F946" s="674"/>
      <c r="G946" s="24">
        <f t="shared" si="165"/>
        <v>1</v>
      </c>
      <c r="H946" s="674"/>
      <c r="I946" s="24">
        <f t="shared" si="166"/>
        <v>1</v>
      </c>
      <c r="J946" s="674"/>
      <c r="K946" s="24">
        <f t="shared" si="167"/>
        <v>1</v>
      </c>
      <c r="L946" s="674"/>
      <c r="M946" s="24">
        <f t="shared" si="168"/>
        <v>1</v>
      </c>
      <c r="N946" s="674"/>
      <c r="O946" s="24">
        <f t="shared" si="169"/>
        <v>1</v>
      </c>
      <c r="P946" s="674"/>
      <c r="Q946" s="24">
        <f t="shared" si="170"/>
        <v>0</v>
      </c>
      <c r="R946" s="670">
        <f t="shared" si="171"/>
        <v>0</v>
      </c>
      <c r="S946" s="322">
        <f t="shared" si="172"/>
        <v>0</v>
      </c>
    </row>
    <row r="947" spans="1:19">
      <c r="A947" s="155"/>
      <c r="B947" s="57"/>
      <c r="C947" s="24">
        <f t="shared" si="163"/>
        <v>1</v>
      </c>
      <c r="D947" s="674"/>
      <c r="E947" s="24">
        <f t="shared" si="164"/>
        <v>1</v>
      </c>
      <c r="F947" s="674"/>
      <c r="G947" s="24">
        <f t="shared" si="165"/>
        <v>1</v>
      </c>
      <c r="H947" s="674"/>
      <c r="I947" s="24">
        <f t="shared" si="166"/>
        <v>1</v>
      </c>
      <c r="J947" s="674"/>
      <c r="K947" s="24">
        <f t="shared" si="167"/>
        <v>1</v>
      </c>
      <c r="L947" s="674"/>
      <c r="M947" s="24">
        <f t="shared" si="168"/>
        <v>1</v>
      </c>
      <c r="N947" s="674"/>
      <c r="O947" s="24">
        <f t="shared" si="169"/>
        <v>1</v>
      </c>
      <c r="P947" s="674"/>
      <c r="Q947" s="24">
        <f t="shared" si="170"/>
        <v>0</v>
      </c>
      <c r="R947" s="670">
        <f t="shared" si="171"/>
        <v>0</v>
      </c>
      <c r="S947" s="322">
        <f t="shared" si="172"/>
        <v>0</v>
      </c>
    </row>
    <row r="948" spans="1:19">
      <c r="A948" s="155"/>
      <c r="B948" s="57"/>
      <c r="C948" s="24">
        <f t="shared" si="163"/>
        <v>1</v>
      </c>
      <c r="D948" s="674"/>
      <c r="E948" s="24">
        <f t="shared" si="164"/>
        <v>1</v>
      </c>
      <c r="F948" s="674"/>
      <c r="G948" s="24">
        <f t="shared" si="165"/>
        <v>1</v>
      </c>
      <c r="H948" s="674"/>
      <c r="I948" s="24">
        <f t="shared" si="166"/>
        <v>1</v>
      </c>
      <c r="J948" s="674"/>
      <c r="K948" s="24">
        <f t="shared" si="167"/>
        <v>1</v>
      </c>
      <c r="L948" s="674"/>
      <c r="M948" s="24">
        <f t="shared" si="168"/>
        <v>1</v>
      </c>
      <c r="N948" s="674"/>
      <c r="O948" s="24">
        <f t="shared" si="169"/>
        <v>1</v>
      </c>
      <c r="P948" s="674"/>
      <c r="Q948" s="24">
        <f t="shared" si="170"/>
        <v>0</v>
      </c>
      <c r="R948" s="670">
        <f t="shared" si="171"/>
        <v>0</v>
      </c>
      <c r="S948" s="322">
        <f t="shared" si="172"/>
        <v>0</v>
      </c>
    </row>
    <row r="949" spans="1:19">
      <c r="A949" s="155"/>
      <c r="B949" s="57"/>
      <c r="C949" s="24">
        <f t="shared" si="163"/>
        <v>1</v>
      </c>
      <c r="D949" s="674"/>
      <c r="E949" s="24">
        <f t="shared" si="164"/>
        <v>1</v>
      </c>
      <c r="F949" s="674"/>
      <c r="G949" s="24">
        <f t="shared" si="165"/>
        <v>1</v>
      </c>
      <c r="H949" s="674"/>
      <c r="I949" s="24">
        <f t="shared" si="166"/>
        <v>1</v>
      </c>
      <c r="J949" s="674"/>
      <c r="K949" s="24">
        <f t="shared" si="167"/>
        <v>1</v>
      </c>
      <c r="L949" s="674"/>
      <c r="M949" s="24">
        <f t="shared" si="168"/>
        <v>1</v>
      </c>
      <c r="N949" s="674"/>
      <c r="O949" s="24">
        <f t="shared" si="169"/>
        <v>1</v>
      </c>
      <c r="P949" s="674"/>
      <c r="Q949" s="24">
        <f t="shared" si="170"/>
        <v>0</v>
      </c>
      <c r="R949" s="670">
        <f t="shared" si="171"/>
        <v>0</v>
      </c>
      <c r="S949" s="322">
        <f t="shared" si="172"/>
        <v>0</v>
      </c>
    </row>
    <row r="950" spans="1:19">
      <c r="A950" s="155"/>
      <c r="B950" s="57"/>
      <c r="C950" s="24">
        <f t="shared" si="163"/>
        <v>1</v>
      </c>
      <c r="D950" s="674"/>
      <c r="E950" s="24">
        <f t="shared" si="164"/>
        <v>1</v>
      </c>
      <c r="F950" s="674"/>
      <c r="G950" s="24">
        <f t="shared" si="165"/>
        <v>1</v>
      </c>
      <c r="H950" s="674"/>
      <c r="I950" s="24">
        <f t="shared" si="166"/>
        <v>1</v>
      </c>
      <c r="J950" s="674"/>
      <c r="K950" s="24">
        <f t="shared" si="167"/>
        <v>1</v>
      </c>
      <c r="L950" s="674"/>
      <c r="M950" s="24">
        <f t="shared" si="168"/>
        <v>1</v>
      </c>
      <c r="N950" s="674"/>
      <c r="O950" s="24">
        <f t="shared" si="169"/>
        <v>1</v>
      </c>
      <c r="P950" s="674"/>
      <c r="Q950" s="24">
        <f t="shared" si="170"/>
        <v>0</v>
      </c>
      <c r="R950" s="670">
        <f t="shared" si="171"/>
        <v>0</v>
      </c>
      <c r="S950" s="322">
        <f t="shared" si="172"/>
        <v>0</v>
      </c>
    </row>
    <row r="951" spans="1:19">
      <c r="A951" s="155"/>
      <c r="B951" s="57"/>
      <c r="C951" s="24">
        <f t="shared" si="163"/>
        <v>1</v>
      </c>
      <c r="D951" s="674"/>
      <c r="E951" s="24">
        <f t="shared" si="164"/>
        <v>1</v>
      </c>
      <c r="F951" s="674"/>
      <c r="G951" s="24">
        <f t="shared" si="165"/>
        <v>1</v>
      </c>
      <c r="H951" s="674"/>
      <c r="I951" s="24">
        <f t="shared" si="166"/>
        <v>1</v>
      </c>
      <c r="J951" s="674"/>
      <c r="K951" s="24">
        <f t="shared" si="167"/>
        <v>1</v>
      </c>
      <c r="L951" s="674"/>
      <c r="M951" s="24">
        <f t="shared" si="168"/>
        <v>1</v>
      </c>
      <c r="N951" s="674"/>
      <c r="O951" s="24">
        <f t="shared" si="169"/>
        <v>1</v>
      </c>
      <c r="P951" s="674"/>
      <c r="Q951" s="24">
        <f t="shared" si="170"/>
        <v>0</v>
      </c>
      <c r="R951" s="670">
        <f t="shared" si="171"/>
        <v>0</v>
      </c>
      <c r="S951" s="322">
        <f t="shared" si="172"/>
        <v>0</v>
      </c>
    </row>
    <row r="952" spans="1:19">
      <c r="A952" s="155"/>
      <c r="B952" s="57"/>
      <c r="C952" s="24">
        <f t="shared" si="163"/>
        <v>1</v>
      </c>
      <c r="D952" s="674"/>
      <c r="E952" s="24">
        <f t="shared" si="164"/>
        <v>1</v>
      </c>
      <c r="F952" s="674"/>
      <c r="G952" s="24">
        <f t="shared" si="165"/>
        <v>1</v>
      </c>
      <c r="H952" s="674"/>
      <c r="I952" s="24">
        <f t="shared" si="166"/>
        <v>1</v>
      </c>
      <c r="J952" s="674"/>
      <c r="K952" s="24">
        <f t="shared" si="167"/>
        <v>1</v>
      </c>
      <c r="L952" s="674"/>
      <c r="M952" s="24">
        <f t="shared" si="168"/>
        <v>1</v>
      </c>
      <c r="N952" s="674"/>
      <c r="O952" s="24">
        <f t="shared" si="169"/>
        <v>1</v>
      </c>
      <c r="P952" s="674"/>
      <c r="Q952" s="24">
        <f t="shared" si="170"/>
        <v>0</v>
      </c>
      <c r="R952" s="670">
        <f t="shared" si="171"/>
        <v>0</v>
      </c>
      <c r="S952" s="322">
        <f t="shared" si="172"/>
        <v>0</v>
      </c>
    </row>
    <row r="953" spans="1:19">
      <c r="A953" s="155"/>
      <c r="B953" s="57"/>
      <c r="C953" s="24">
        <f t="shared" si="163"/>
        <v>1</v>
      </c>
      <c r="D953" s="674"/>
      <c r="E953" s="24">
        <f t="shared" si="164"/>
        <v>1</v>
      </c>
      <c r="F953" s="674"/>
      <c r="G953" s="24">
        <f t="shared" si="165"/>
        <v>1</v>
      </c>
      <c r="H953" s="674"/>
      <c r="I953" s="24">
        <f t="shared" si="166"/>
        <v>1</v>
      </c>
      <c r="J953" s="674"/>
      <c r="K953" s="24">
        <f t="shared" si="167"/>
        <v>1</v>
      </c>
      <c r="L953" s="674"/>
      <c r="M953" s="24">
        <f t="shared" si="168"/>
        <v>1</v>
      </c>
      <c r="N953" s="674"/>
      <c r="O953" s="24">
        <f t="shared" si="169"/>
        <v>1</v>
      </c>
      <c r="P953" s="674"/>
      <c r="Q953" s="24">
        <f t="shared" si="170"/>
        <v>0</v>
      </c>
      <c r="R953" s="670">
        <f t="shared" si="171"/>
        <v>0</v>
      </c>
      <c r="S953" s="322">
        <f t="shared" si="172"/>
        <v>0</v>
      </c>
    </row>
    <row r="954" spans="1:19">
      <c r="A954" s="155"/>
      <c r="B954" s="57"/>
      <c r="C954" s="24">
        <f t="shared" si="163"/>
        <v>1</v>
      </c>
      <c r="D954" s="674"/>
      <c r="E954" s="24">
        <f t="shared" si="164"/>
        <v>1</v>
      </c>
      <c r="F954" s="674"/>
      <c r="G954" s="24">
        <f t="shared" si="165"/>
        <v>1</v>
      </c>
      <c r="H954" s="674"/>
      <c r="I954" s="24">
        <f t="shared" si="166"/>
        <v>1</v>
      </c>
      <c r="J954" s="674"/>
      <c r="K954" s="24">
        <f t="shared" si="167"/>
        <v>1</v>
      </c>
      <c r="L954" s="674"/>
      <c r="M954" s="24">
        <f t="shared" si="168"/>
        <v>1</v>
      </c>
      <c r="N954" s="674"/>
      <c r="O954" s="24">
        <f t="shared" si="169"/>
        <v>1</v>
      </c>
      <c r="P954" s="674"/>
      <c r="Q954" s="24">
        <f t="shared" si="170"/>
        <v>0</v>
      </c>
      <c r="R954" s="670">
        <f t="shared" si="171"/>
        <v>0</v>
      </c>
      <c r="S954" s="322">
        <f t="shared" si="172"/>
        <v>0</v>
      </c>
    </row>
    <row r="955" spans="1:19">
      <c r="A955" s="155"/>
      <c r="B955" s="57"/>
      <c r="C955" s="24">
        <f t="shared" si="163"/>
        <v>1</v>
      </c>
      <c r="D955" s="674"/>
      <c r="E955" s="24">
        <f t="shared" si="164"/>
        <v>1</v>
      </c>
      <c r="F955" s="674"/>
      <c r="G955" s="24">
        <f t="shared" si="165"/>
        <v>1</v>
      </c>
      <c r="H955" s="674"/>
      <c r="I955" s="24">
        <f t="shared" si="166"/>
        <v>1</v>
      </c>
      <c r="J955" s="674"/>
      <c r="K955" s="24">
        <f t="shared" si="167"/>
        <v>1</v>
      </c>
      <c r="L955" s="674"/>
      <c r="M955" s="24">
        <f t="shared" si="168"/>
        <v>1</v>
      </c>
      <c r="N955" s="674"/>
      <c r="O955" s="24">
        <f t="shared" si="169"/>
        <v>1</v>
      </c>
      <c r="P955" s="674"/>
      <c r="Q955" s="24">
        <f t="shared" si="170"/>
        <v>0</v>
      </c>
      <c r="R955" s="670">
        <f t="shared" si="171"/>
        <v>0</v>
      </c>
      <c r="S955" s="322">
        <f t="shared" si="172"/>
        <v>0</v>
      </c>
    </row>
    <row r="956" spans="1:19">
      <c r="A956" s="155"/>
      <c r="B956" s="57"/>
      <c r="C956" s="24">
        <f t="shared" si="163"/>
        <v>1</v>
      </c>
      <c r="D956" s="674"/>
      <c r="E956" s="24">
        <f t="shared" si="164"/>
        <v>1</v>
      </c>
      <c r="F956" s="674"/>
      <c r="G956" s="24">
        <f t="shared" si="165"/>
        <v>1</v>
      </c>
      <c r="H956" s="674"/>
      <c r="I956" s="24">
        <f t="shared" si="166"/>
        <v>1</v>
      </c>
      <c r="J956" s="674"/>
      <c r="K956" s="24">
        <f t="shared" si="167"/>
        <v>1</v>
      </c>
      <c r="L956" s="674"/>
      <c r="M956" s="24">
        <f t="shared" si="168"/>
        <v>1</v>
      </c>
      <c r="N956" s="674"/>
      <c r="O956" s="24">
        <f t="shared" si="169"/>
        <v>1</v>
      </c>
      <c r="P956" s="674"/>
      <c r="Q956" s="24">
        <f t="shared" si="170"/>
        <v>0</v>
      </c>
      <c r="R956" s="670">
        <f t="shared" si="171"/>
        <v>0</v>
      </c>
      <c r="S956" s="322">
        <f t="shared" si="172"/>
        <v>0</v>
      </c>
    </row>
    <row r="957" spans="1:19">
      <c r="A957" s="155"/>
      <c r="B957" s="57"/>
      <c r="C957" s="24">
        <f t="shared" si="163"/>
        <v>1</v>
      </c>
      <c r="D957" s="674"/>
      <c r="E957" s="24">
        <f t="shared" si="164"/>
        <v>1</v>
      </c>
      <c r="F957" s="674"/>
      <c r="G957" s="24">
        <f t="shared" si="165"/>
        <v>1</v>
      </c>
      <c r="H957" s="674"/>
      <c r="I957" s="24">
        <f t="shared" si="166"/>
        <v>1</v>
      </c>
      <c r="J957" s="674"/>
      <c r="K957" s="24">
        <f t="shared" si="167"/>
        <v>1</v>
      </c>
      <c r="L957" s="674"/>
      <c r="M957" s="24">
        <f t="shared" si="168"/>
        <v>1</v>
      </c>
      <c r="N957" s="674"/>
      <c r="O957" s="24">
        <f t="shared" si="169"/>
        <v>1</v>
      </c>
      <c r="P957" s="674"/>
      <c r="Q957" s="24">
        <f t="shared" si="170"/>
        <v>0</v>
      </c>
      <c r="R957" s="670">
        <f t="shared" si="171"/>
        <v>0</v>
      </c>
      <c r="S957" s="322">
        <f t="shared" si="172"/>
        <v>0</v>
      </c>
    </row>
    <row r="958" spans="1:19">
      <c r="A958" s="155"/>
      <c r="B958" s="57"/>
      <c r="C958" s="24">
        <f t="shared" si="163"/>
        <v>1</v>
      </c>
      <c r="D958" s="674"/>
      <c r="E958" s="24">
        <f t="shared" si="164"/>
        <v>1</v>
      </c>
      <c r="F958" s="674"/>
      <c r="G958" s="24">
        <f t="shared" si="165"/>
        <v>1</v>
      </c>
      <c r="H958" s="674"/>
      <c r="I958" s="24">
        <f t="shared" si="166"/>
        <v>1</v>
      </c>
      <c r="J958" s="674"/>
      <c r="K958" s="24">
        <f t="shared" si="167"/>
        <v>1</v>
      </c>
      <c r="L958" s="674"/>
      <c r="M958" s="24">
        <f t="shared" si="168"/>
        <v>1</v>
      </c>
      <c r="N958" s="674"/>
      <c r="O958" s="24">
        <f t="shared" si="169"/>
        <v>1</v>
      </c>
      <c r="P958" s="674"/>
      <c r="Q958" s="24">
        <f t="shared" si="170"/>
        <v>0</v>
      </c>
      <c r="R958" s="670">
        <f t="shared" si="171"/>
        <v>0</v>
      </c>
      <c r="S958" s="322">
        <f t="shared" si="172"/>
        <v>0</v>
      </c>
    </row>
    <row r="959" spans="1:19">
      <c r="A959" s="155"/>
      <c r="B959" s="57"/>
      <c r="C959" s="24">
        <f t="shared" si="163"/>
        <v>1</v>
      </c>
      <c r="D959" s="674"/>
      <c r="E959" s="24">
        <f t="shared" si="164"/>
        <v>1</v>
      </c>
      <c r="F959" s="674"/>
      <c r="G959" s="24">
        <f t="shared" si="165"/>
        <v>1</v>
      </c>
      <c r="H959" s="674"/>
      <c r="I959" s="24">
        <f t="shared" si="166"/>
        <v>1</v>
      </c>
      <c r="J959" s="674"/>
      <c r="K959" s="24">
        <f t="shared" si="167"/>
        <v>1</v>
      </c>
      <c r="L959" s="674"/>
      <c r="M959" s="24">
        <f t="shared" si="168"/>
        <v>1</v>
      </c>
      <c r="N959" s="674"/>
      <c r="O959" s="24">
        <f t="shared" si="169"/>
        <v>1</v>
      </c>
      <c r="P959" s="674"/>
      <c r="Q959" s="24">
        <f t="shared" si="170"/>
        <v>0</v>
      </c>
      <c r="R959" s="670">
        <f t="shared" si="171"/>
        <v>0</v>
      </c>
      <c r="S959" s="322">
        <f t="shared" si="172"/>
        <v>0</v>
      </c>
    </row>
    <row r="960" spans="1:19">
      <c r="A960" s="155"/>
      <c r="B960" s="57"/>
      <c r="C960" s="24">
        <f t="shared" si="163"/>
        <v>1</v>
      </c>
      <c r="D960" s="674"/>
      <c r="E960" s="24">
        <f t="shared" si="164"/>
        <v>1</v>
      </c>
      <c r="F960" s="674"/>
      <c r="G960" s="24">
        <f t="shared" si="165"/>
        <v>1</v>
      </c>
      <c r="H960" s="674"/>
      <c r="I960" s="24">
        <f t="shared" si="166"/>
        <v>1</v>
      </c>
      <c r="J960" s="674"/>
      <c r="K960" s="24">
        <f t="shared" si="167"/>
        <v>1</v>
      </c>
      <c r="L960" s="674"/>
      <c r="M960" s="24">
        <f t="shared" si="168"/>
        <v>1</v>
      </c>
      <c r="N960" s="674"/>
      <c r="O960" s="24">
        <f t="shared" si="169"/>
        <v>1</v>
      </c>
      <c r="P960" s="674"/>
      <c r="Q960" s="24">
        <f t="shared" si="170"/>
        <v>0</v>
      </c>
      <c r="R960" s="670">
        <f t="shared" si="171"/>
        <v>0</v>
      </c>
      <c r="S960" s="322">
        <f t="shared" si="172"/>
        <v>0</v>
      </c>
    </row>
    <row r="961" spans="1:19">
      <c r="A961" s="155"/>
      <c r="B961" s="57"/>
      <c r="C961" s="24">
        <f t="shared" si="163"/>
        <v>1</v>
      </c>
      <c r="D961" s="674"/>
      <c r="E961" s="24">
        <f t="shared" si="164"/>
        <v>1</v>
      </c>
      <c r="F961" s="674"/>
      <c r="G961" s="24">
        <f t="shared" si="165"/>
        <v>1</v>
      </c>
      <c r="H961" s="674"/>
      <c r="I961" s="24">
        <f t="shared" si="166"/>
        <v>1</v>
      </c>
      <c r="J961" s="674"/>
      <c r="K961" s="24">
        <f t="shared" si="167"/>
        <v>1</v>
      </c>
      <c r="L961" s="674"/>
      <c r="M961" s="24">
        <f t="shared" si="168"/>
        <v>1</v>
      </c>
      <c r="N961" s="674"/>
      <c r="O961" s="24">
        <f t="shared" si="169"/>
        <v>1</v>
      </c>
      <c r="P961" s="674"/>
      <c r="Q961" s="24">
        <f t="shared" si="170"/>
        <v>0</v>
      </c>
      <c r="R961" s="670">
        <f t="shared" si="171"/>
        <v>0</v>
      </c>
      <c r="S961" s="322">
        <f t="shared" si="172"/>
        <v>0</v>
      </c>
    </row>
    <row r="962" spans="1:19">
      <c r="A962" s="155"/>
      <c r="B962" s="57"/>
      <c r="C962" s="24">
        <f t="shared" si="163"/>
        <v>1</v>
      </c>
      <c r="D962" s="674"/>
      <c r="E962" s="24">
        <f t="shared" si="164"/>
        <v>1</v>
      </c>
      <c r="F962" s="674"/>
      <c r="G962" s="24">
        <f t="shared" si="165"/>
        <v>1</v>
      </c>
      <c r="H962" s="674"/>
      <c r="I962" s="24">
        <f t="shared" si="166"/>
        <v>1</v>
      </c>
      <c r="J962" s="674"/>
      <c r="K962" s="24">
        <f t="shared" si="167"/>
        <v>1</v>
      </c>
      <c r="L962" s="674"/>
      <c r="M962" s="24">
        <f t="shared" si="168"/>
        <v>1</v>
      </c>
      <c r="N962" s="674"/>
      <c r="O962" s="24">
        <f t="shared" si="169"/>
        <v>1</v>
      </c>
      <c r="P962" s="674"/>
      <c r="Q962" s="24">
        <f t="shared" si="170"/>
        <v>0</v>
      </c>
      <c r="R962" s="670">
        <f t="shared" si="171"/>
        <v>0</v>
      </c>
      <c r="S962" s="322">
        <f t="shared" si="172"/>
        <v>0</v>
      </c>
    </row>
    <row r="963" spans="1:19">
      <c r="A963" s="155"/>
      <c r="B963" s="57"/>
      <c r="C963" s="24">
        <f t="shared" si="163"/>
        <v>1</v>
      </c>
      <c r="D963" s="674"/>
      <c r="E963" s="24">
        <f t="shared" si="164"/>
        <v>1</v>
      </c>
      <c r="F963" s="674"/>
      <c r="G963" s="24">
        <f t="shared" si="165"/>
        <v>1</v>
      </c>
      <c r="H963" s="674"/>
      <c r="I963" s="24">
        <f t="shared" si="166"/>
        <v>1</v>
      </c>
      <c r="J963" s="674"/>
      <c r="K963" s="24">
        <f t="shared" si="167"/>
        <v>1</v>
      </c>
      <c r="L963" s="674"/>
      <c r="M963" s="24">
        <f t="shared" si="168"/>
        <v>1</v>
      </c>
      <c r="N963" s="674"/>
      <c r="O963" s="24">
        <f t="shared" si="169"/>
        <v>1</v>
      </c>
      <c r="P963" s="674"/>
      <c r="Q963" s="24">
        <f t="shared" si="170"/>
        <v>0</v>
      </c>
      <c r="R963" s="670">
        <f t="shared" si="171"/>
        <v>0</v>
      </c>
      <c r="S963" s="322">
        <f t="shared" si="172"/>
        <v>0</v>
      </c>
    </row>
    <row r="964" spans="1:19">
      <c r="A964" s="155"/>
      <c r="B964" s="57"/>
      <c r="C964" s="24">
        <f t="shared" si="163"/>
        <v>1</v>
      </c>
      <c r="D964" s="674"/>
      <c r="E964" s="24">
        <f t="shared" si="164"/>
        <v>1</v>
      </c>
      <c r="F964" s="674"/>
      <c r="G964" s="24">
        <f t="shared" si="165"/>
        <v>1</v>
      </c>
      <c r="H964" s="674"/>
      <c r="I964" s="24">
        <f t="shared" si="166"/>
        <v>1</v>
      </c>
      <c r="J964" s="674"/>
      <c r="K964" s="24">
        <f t="shared" si="167"/>
        <v>1</v>
      </c>
      <c r="L964" s="674"/>
      <c r="M964" s="24">
        <f t="shared" si="168"/>
        <v>1</v>
      </c>
      <c r="N964" s="674"/>
      <c r="O964" s="24">
        <f t="shared" si="169"/>
        <v>1</v>
      </c>
      <c r="P964" s="674"/>
      <c r="Q964" s="24">
        <f t="shared" si="170"/>
        <v>0</v>
      </c>
      <c r="R964" s="670">
        <f t="shared" si="171"/>
        <v>0</v>
      </c>
      <c r="S964" s="322">
        <f t="shared" si="172"/>
        <v>0</v>
      </c>
    </row>
    <row r="965" spans="1:19">
      <c r="A965" s="155"/>
      <c r="B965" s="57"/>
      <c r="C965" s="24">
        <f t="shared" si="163"/>
        <v>1</v>
      </c>
      <c r="D965" s="674"/>
      <c r="E965" s="24">
        <f t="shared" si="164"/>
        <v>1</v>
      </c>
      <c r="F965" s="674"/>
      <c r="G965" s="24">
        <f t="shared" si="165"/>
        <v>1</v>
      </c>
      <c r="H965" s="674"/>
      <c r="I965" s="24">
        <f t="shared" si="166"/>
        <v>1</v>
      </c>
      <c r="J965" s="674"/>
      <c r="K965" s="24">
        <f t="shared" si="167"/>
        <v>1</v>
      </c>
      <c r="L965" s="674"/>
      <c r="M965" s="24">
        <f t="shared" si="168"/>
        <v>1</v>
      </c>
      <c r="N965" s="674"/>
      <c r="O965" s="24">
        <f t="shared" si="169"/>
        <v>1</v>
      </c>
      <c r="P965" s="674"/>
      <c r="Q965" s="24">
        <f t="shared" si="170"/>
        <v>0</v>
      </c>
      <c r="R965" s="670">
        <f t="shared" si="171"/>
        <v>0</v>
      </c>
      <c r="S965" s="322">
        <f t="shared" si="172"/>
        <v>0</v>
      </c>
    </row>
    <row r="966" spans="1:19">
      <c r="A966" s="155"/>
      <c r="B966" s="57"/>
      <c r="C966" s="24">
        <f t="shared" si="163"/>
        <v>1</v>
      </c>
      <c r="D966" s="674"/>
      <c r="E966" s="24">
        <f t="shared" si="164"/>
        <v>1</v>
      </c>
      <c r="F966" s="674"/>
      <c r="G966" s="24">
        <f t="shared" si="165"/>
        <v>1</v>
      </c>
      <c r="H966" s="674"/>
      <c r="I966" s="24">
        <f t="shared" si="166"/>
        <v>1</v>
      </c>
      <c r="J966" s="674"/>
      <c r="K966" s="24">
        <f t="shared" si="167"/>
        <v>1</v>
      </c>
      <c r="L966" s="674"/>
      <c r="M966" s="24">
        <f t="shared" si="168"/>
        <v>1</v>
      </c>
      <c r="N966" s="674"/>
      <c r="O966" s="24">
        <f t="shared" si="169"/>
        <v>1</v>
      </c>
      <c r="P966" s="674"/>
      <c r="Q966" s="24">
        <f t="shared" si="170"/>
        <v>0</v>
      </c>
      <c r="R966" s="670">
        <f t="shared" si="171"/>
        <v>0</v>
      </c>
      <c r="S966" s="322">
        <f t="shared" si="172"/>
        <v>0</v>
      </c>
    </row>
    <row r="967" spans="1:19">
      <c r="A967" s="155"/>
      <c r="B967" s="57"/>
      <c r="C967" s="24">
        <f t="shared" si="163"/>
        <v>1</v>
      </c>
      <c r="D967" s="674"/>
      <c r="E967" s="24">
        <f t="shared" si="164"/>
        <v>1</v>
      </c>
      <c r="F967" s="674"/>
      <c r="G967" s="24">
        <f t="shared" si="165"/>
        <v>1</v>
      </c>
      <c r="H967" s="674"/>
      <c r="I967" s="24">
        <f t="shared" si="166"/>
        <v>1</v>
      </c>
      <c r="J967" s="674"/>
      <c r="K967" s="24">
        <f t="shared" si="167"/>
        <v>1</v>
      </c>
      <c r="L967" s="674"/>
      <c r="M967" s="24">
        <f t="shared" si="168"/>
        <v>1</v>
      </c>
      <c r="N967" s="674"/>
      <c r="O967" s="24">
        <f t="shared" si="169"/>
        <v>1</v>
      </c>
      <c r="P967" s="674"/>
      <c r="Q967" s="24">
        <f t="shared" si="170"/>
        <v>0</v>
      </c>
      <c r="R967" s="670">
        <f t="shared" si="171"/>
        <v>0</v>
      </c>
      <c r="S967" s="322">
        <f t="shared" si="172"/>
        <v>0</v>
      </c>
    </row>
    <row r="968" spans="1:19">
      <c r="A968" s="155"/>
      <c r="B968" s="57"/>
      <c r="C968" s="24">
        <f t="shared" si="163"/>
        <v>1</v>
      </c>
      <c r="D968" s="674"/>
      <c r="E968" s="24">
        <f t="shared" si="164"/>
        <v>1</v>
      </c>
      <c r="F968" s="674"/>
      <c r="G968" s="24">
        <f t="shared" si="165"/>
        <v>1</v>
      </c>
      <c r="H968" s="674"/>
      <c r="I968" s="24">
        <f t="shared" si="166"/>
        <v>1</v>
      </c>
      <c r="J968" s="674"/>
      <c r="K968" s="24">
        <f t="shared" si="167"/>
        <v>1</v>
      </c>
      <c r="L968" s="674"/>
      <c r="M968" s="24">
        <f t="shared" si="168"/>
        <v>1</v>
      </c>
      <c r="N968" s="674"/>
      <c r="O968" s="24">
        <f t="shared" si="169"/>
        <v>1</v>
      </c>
      <c r="P968" s="674"/>
      <c r="Q968" s="24">
        <f t="shared" si="170"/>
        <v>0</v>
      </c>
      <c r="R968" s="670">
        <f t="shared" si="171"/>
        <v>0</v>
      </c>
      <c r="S968" s="322">
        <f t="shared" si="172"/>
        <v>0</v>
      </c>
    </row>
    <row r="969" spans="1:19">
      <c r="A969" s="155"/>
      <c r="B969" s="57"/>
      <c r="C969" s="24">
        <f t="shared" si="163"/>
        <v>1</v>
      </c>
      <c r="D969" s="674"/>
      <c r="E969" s="24">
        <f t="shared" si="164"/>
        <v>1</v>
      </c>
      <c r="F969" s="674"/>
      <c r="G969" s="24">
        <f t="shared" si="165"/>
        <v>1</v>
      </c>
      <c r="H969" s="674"/>
      <c r="I969" s="24">
        <f t="shared" si="166"/>
        <v>1</v>
      </c>
      <c r="J969" s="674"/>
      <c r="K969" s="24">
        <f t="shared" si="167"/>
        <v>1</v>
      </c>
      <c r="L969" s="674"/>
      <c r="M969" s="24">
        <f t="shared" si="168"/>
        <v>1</v>
      </c>
      <c r="N969" s="674"/>
      <c r="O969" s="24">
        <f t="shared" si="169"/>
        <v>1</v>
      </c>
      <c r="P969" s="674"/>
      <c r="Q969" s="24">
        <f t="shared" si="170"/>
        <v>0</v>
      </c>
      <c r="R969" s="670">
        <f t="shared" si="171"/>
        <v>0</v>
      </c>
      <c r="S969" s="322">
        <f t="shared" si="172"/>
        <v>0</v>
      </c>
    </row>
    <row r="970" spans="1:19">
      <c r="A970" s="155"/>
      <c r="B970" s="57"/>
      <c r="C970" s="24">
        <f t="shared" si="163"/>
        <v>1</v>
      </c>
      <c r="D970" s="674"/>
      <c r="E970" s="24">
        <f t="shared" si="164"/>
        <v>1</v>
      </c>
      <c r="F970" s="674"/>
      <c r="G970" s="24">
        <f t="shared" si="165"/>
        <v>1</v>
      </c>
      <c r="H970" s="674"/>
      <c r="I970" s="24">
        <f t="shared" si="166"/>
        <v>1</v>
      </c>
      <c r="J970" s="674"/>
      <c r="K970" s="24">
        <f t="shared" si="167"/>
        <v>1</v>
      </c>
      <c r="L970" s="674"/>
      <c r="M970" s="24">
        <f t="shared" si="168"/>
        <v>1</v>
      </c>
      <c r="N970" s="674"/>
      <c r="O970" s="24">
        <f t="shared" si="169"/>
        <v>1</v>
      </c>
      <c r="P970" s="674"/>
      <c r="Q970" s="24">
        <f t="shared" si="170"/>
        <v>0</v>
      </c>
      <c r="R970" s="670">
        <f t="shared" si="171"/>
        <v>0</v>
      </c>
      <c r="S970" s="322">
        <f t="shared" si="172"/>
        <v>0</v>
      </c>
    </row>
    <row r="971" spans="1:19">
      <c r="A971" s="155"/>
      <c r="B971" s="57"/>
      <c r="C971" s="24">
        <f t="shared" si="163"/>
        <v>1</v>
      </c>
      <c r="D971" s="674"/>
      <c r="E971" s="24">
        <f t="shared" si="164"/>
        <v>1</v>
      </c>
      <c r="F971" s="674"/>
      <c r="G971" s="24">
        <f t="shared" si="165"/>
        <v>1</v>
      </c>
      <c r="H971" s="674"/>
      <c r="I971" s="24">
        <f t="shared" si="166"/>
        <v>1</v>
      </c>
      <c r="J971" s="674"/>
      <c r="K971" s="24">
        <f t="shared" si="167"/>
        <v>1</v>
      </c>
      <c r="L971" s="674"/>
      <c r="M971" s="24">
        <f t="shared" si="168"/>
        <v>1</v>
      </c>
      <c r="N971" s="674"/>
      <c r="O971" s="24">
        <f t="shared" si="169"/>
        <v>1</v>
      </c>
      <c r="P971" s="674"/>
      <c r="Q971" s="24">
        <f t="shared" si="170"/>
        <v>0</v>
      </c>
      <c r="R971" s="670">
        <f t="shared" si="171"/>
        <v>0</v>
      </c>
      <c r="S971" s="322">
        <f t="shared" si="172"/>
        <v>0</v>
      </c>
    </row>
    <row r="972" spans="1:19">
      <c r="A972" s="155"/>
      <c r="B972" s="57"/>
      <c r="C972" s="24">
        <f t="shared" si="163"/>
        <v>1</v>
      </c>
      <c r="D972" s="674"/>
      <c r="E972" s="24">
        <f t="shared" si="164"/>
        <v>1</v>
      </c>
      <c r="F972" s="674"/>
      <c r="G972" s="24">
        <f t="shared" si="165"/>
        <v>1</v>
      </c>
      <c r="H972" s="674"/>
      <c r="I972" s="24">
        <f t="shared" si="166"/>
        <v>1</v>
      </c>
      <c r="J972" s="674"/>
      <c r="K972" s="24">
        <f t="shared" si="167"/>
        <v>1</v>
      </c>
      <c r="L972" s="674"/>
      <c r="M972" s="24">
        <f t="shared" si="168"/>
        <v>1</v>
      </c>
      <c r="N972" s="674"/>
      <c r="O972" s="24">
        <f t="shared" si="169"/>
        <v>1</v>
      </c>
      <c r="P972" s="674"/>
      <c r="Q972" s="24">
        <f t="shared" si="170"/>
        <v>0</v>
      </c>
      <c r="R972" s="670">
        <f t="shared" si="171"/>
        <v>0</v>
      </c>
      <c r="S972" s="322">
        <f t="shared" si="172"/>
        <v>0</v>
      </c>
    </row>
    <row r="973" spans="1:19">
      <c r="A973" s="155"/>
      <c r="B973" s="57"/>
      <c r="C973" s="24">
        <f t="shared" si="163"/>
        <v>1</v>
      </c>
      <c r="D973" s="674"/>
      <c r="E973" s="24">
        <f t="shared" si="164"/>
        <v>1</v>
      </c>
      <c r="F973" s="674"/>
      <c r="G973" s="24">
        <f t="shared" si="165"/>
        <v>1</v>
      </c>
      <c r="H973" s="674"/>
      <c r="I973" s="24">
        <f t="shared" si="166"/>
        <v>1</v>
      </c>
      <c r="J973" s="674"/>
      <c r="K973" s="24">
        <f t="shared" si="167"/>
        <v>1</v>
      </c>
      <c r="L973" s="674"/>
      <c r="M973" s="24">
        <f t="shared" si="168"/>
        <v>1</v>
      </c>
      <c r="N973" s="674"/>
      <c r="O973" s="24">
        <f t="shared" si="169"/>
        <v>1</v>
      </c>
      <c r="P973" s="674"/>
      <c r="Q973" s="24">
        <f t="shared" si="170"/>
        <v>0</v>
      </c>
      <c r="R973" s="670">
        <f t="shared" si="171"/>
        <v>0</v>
      </c>
      <c r="S973" s="322">
        <f t="shared" si="172"/>
        <v>0</v>
      </c>
    </row>
    <row r="974" spans="1:19">
      <c r="A974" s="155"/>
      <c r="B974" s="57"/>
      <c r="C974" s="24">
        <f t="shared" ref="C974:C1037" si="173">IF(B974="",1,(LOOKUP(B974,$3:$3,$4:$4)-LOOKUP($B$24,$3:$3,$4:$4)+100)/100)</f>
        <v>1</v>
      </c>
      <c r="D974" s="674"/>
      <c r="E974" s="24">
        <f t="shared" ref="E974:E1037" si="174">(SUMIF($5:$5,D974,$6:$6)-SUMIF($5:$5,$D$24,$6:$6)+100)/100</f>
        <v>1</v>
      </c>
      <c r="F974" s="674"/>
      <c r="G974" s="24">
        <f t="shared" ref="G974:G1037" si="175">(SUMIF($7:$7,F974,$8:$8)-SUMIF($7:$7,$F$24,$8:$8)+100)/100</f>
        <v>1</v>
      </c>
      <c r="H974" s="674"/>
      <c r="I974" s="24">
        <f t="shared" ref="I974:I1037" si="176">(SUMIF($9:$9,H974,$10:$10)-SUMIF($9:$9,$H$24,$10:$10)+100)/100</f>
        <v>1</v>
      </c>
      <c r="J974" s="674"/>
      <c r="K974" s="24">
        <f t="shared" ref="K974:K1037" si="177">(SUMIF($11:$11,J974,$12:$12)-SUMIF($11:$11,$J$24,$12:$12)+100)/100</f>
        <v>1</v>
      </c>
      <c r="L974" s="674"/>
      <c r="M974" s="24">
        <f t="shared" ref="M974:M1037" si="178">(SUMIF($13:$13,L974,$14:$14)-SUMIF($13:$13,$L$24,$14:$14)+100)/100</f>
        <v>1</v>
      </c>
      <c r="N974" s="674"/>
      <c r="O974" s="24">
        <f t="shared" ref="O974:O1037" si="179">(SUMIF($15:$15,N974,$16:$16)-SUMIF($15:$15,$N$24,$16:$16)+100)/100</f>
        <v>1</v>
      </c>
      <c r="P974" s="674"/>
      <c r="Q974" s="24">
        <f t="shared" ref="Q974:Q1037" si="180">(SUMIF($17:$17,P974,$18:$18)-SUMIF($17:$17,$P$24,$18:$18)+100)/100</f>
        <v>0</v>
      </c>
      <c r="R974" s="670">
        <f t="shared" ref="R974:R1037" si="181">IF(B974="",0,ROUND($R$24*C974*E974*G974*I974*K974*M974*O974*Q974,0))</f>
        <v>0</v>
      </c>
      <c r="S974" s="322">
        <f t="shared" ref="S974:S1037" si="182">ROUND(R974*B974/10000,0)</f>
        <v>0</v>
      </c>
    </row>
    <row r="975" spans="1:19">
      <c r="A975" s="155"/>
      <c r="B975" s="57"/>
      <c r="C975" s="24">
        <f t="shared" si="173"/>
        <v>1</v>
      </c>
      <c r="D975" s="674"/>
      <c r="E975" s="24">
        <f t="shared" si="174"/>
        <v>1</v>
      </c>
      <c r="F975" s="674"/>
      <c r="G975" s="24">
        <f t="shared" si="175"/>
        <v>1</v>
      </c>
      <c r="H975" s="674"/>
      <c r="I975" s="24">
        <f t="shared" si="176"/>
        <v>1</v>
      </c>
      <c r="J975" s="674"/>
      <c r="K975" s="24">
        <f t="shared" si="177"/>
        <v>1</v>
      </c>
      <c r="L975" s="674"/>
      <c r="M975" s="24">
        <f t="shared" si="178"/>
        <v>1</v>
      </c>
      <c r="N975" s="674"/>
      <c r="O975" s="24">
        <f t="shared" si="179"/>
        <v>1</v>
      </c>
      <c r="P975" s="674"/>
      <c r="Q975" s="24">
        <f t="shared" si="180"/>
        <v>0</v>
      </c>
      <c r="R975" s="670">
        <f t="shared" si="181"/>
        <v>0</v>
      </c>
      <c r="S975" s="322">
        <f t="shared" si="182"/>
        <v>0</v>
      </c>
    </row>
    <row r="976" spans="1:19">
      <c r="A976" s="155"/>
      <c r="B976" s="57"/>
      <c r="C976" s="24">
        <f t="shared" si="173"/>
        <v>1</v>
      </c>
      <c r="D976" s="674"/>
      <c r="E976" s="24">
        <f t="shared" si="174"/>
        <v>1</v>
      </c>
      <c r="F976" s="674"/>
      <c r="G976" s="24">
        <f t="shared" si="175"/>
        <v>1</v>
      </c>
      <c r="H976" s="674"/>
      <c r="I976" s="24">
        <f t="shared" si="176"/>
        <v>1</v>
      </c>
      <c r="J976" s="674"/>
      <c r="K976" s="24">
        <f t="shared" si="177"/>
        <v>1</v>
      </c>
      <c r="L976" s="674"/>
      <c r="M976" s="24">
        <f t="shared" si="178"/>
        <v>1</v>
      </c>
      <c r="N976" s="674"/>
      <c r="O976" s="24">
        <f t="shared" si="179"/>
        <v>1</v>
      </c>
      <c r="P976" s="674"/>
      <c r="Q976" s="24">
        <f t="shared" si="180"/>
        <v>0</v>
      </c>
      <c r="R976" s="670">
        <f t="shared" si="181"/>
        <v>0</v>
      </c>
      <c r="S976" s="322">
        <f t="shared" si="182"/>
        <v>0</v>
      </c>
    </row>
    <row r="977" spans="1:19">
      <c r="A977" s="155"/>
      <c r="B977" s="57"/>
      <c r="C977" s="24">
        <f t="shared" si="173"/>
        <v>1</v>
      </c>
      <c r="D977" s="674"/>
      <c r="E977" s="24">
        <f t="shared" si="174"/>
        <v>1</v>
      </c>
      <c r="F977" s="674"/>
      <c r="G977" s="24">
        <f t="shared" si="175"/>
        <v>1</v>
      </c>
      <c r="H977" s="674"/>
      <c r="I977" s="24">
        <f t="shared" si="176"/>
        <v>1</v>
      </c>
      <c r="J977" s="674"/>
      <c r="K977" s="24">
        <f t="shared" si="177"/>
        <v>1</v>
      </c>
      <c r="L977" s="674"/>
      <c r="M977" s="24">
        <f t="shared" si="178"/>
        <v>1</v>
      </c>
      <c r="N977" s="674"/>
      <c r="O977" s="24">
        <f t="shared" si="179"/>
        <v>1</v>
      </c>
      <c r="P977" s="674"/>
      <c r="Q977" s="24">
        <f t="shared" si="180"/>
        <v>0</v>
      </c>
      <c r="R977" s="670">
        <f t="shared" si="181"/>
        <v>0</v>
      </c>
      <c r="S977" s="322">
        <f t="shared" si="182"/>
        <v>0</v>
      </c>
    </row>
    <row r="978" spans="1:19">
      <c r="A978" s="155"/>
      <c r="B978" s="57"/>
      <c r="C978" s="24">
        <f t="shared" si="173"/>
        <v>1</v>
      </c>
      <c r="D978" s="674"/>
      <c r="E978" s="24">
        <f t="shared" si="174"/>
        <v>1</v>
      </c>
      <c r="F978" s="674"/>
      <c r="G978" s="24">
        <f t="shared" si="175"/>
        <v>1</v>
      </c>
      <c r="H978" s="674"/>
      <c r="I978" s="24">
        <f t="shared" si="176"/>
        <v>1</v>
      </c>
      <c r="J978" s="674"/>
      <c r="K978" s="24">
        <f t="shared" si="177"/>
        <v>1</v>
      </c>
      <c r="L978" s="674"/>
      <c r="M978" s="24">
        <f t="shared" si="178"/>
        <v>1</v>
      </c>
      <c r="N978" s="674"/>
      <c r="O978" s="24">
        <f t="shared" si="179"/>
        <v>1</v>
      </c>
      <c r="P978" s="674"/>
      <c r="Q978" s="24">
        <f t="shared" si="180"/>
        <v>0</v>
      </c>
      <c r="R978" s="670">
        <f t="shared" si="181"/>
        <v>0</v>
      </c>
      <c r="S978" s="322">
        <f t="shared" si="182"/>
        <v>0</v>
      </c>
    </row>
    <row r="979" spans="1:19">
      <c r="A979" s="155"/>
      <c r="B979" s="57"/>
      <c r="C979" s="24">
        <f t="shared" si="173"/>
        <v>1</v>
      </c>
      <c r="D979" s="674"/>
      <c r="E979" s="24">
        <f t="shared" si="174"/>
        <v>1</v>
      </c>
      <c r="F979" s="674"/>
      <c r="G979" s="24">
        <f t="shared" si="175"/>
        <v>1</v>
      </c>
      <c r="H979" s="674"/>
      <c r="I979" s="24">
        <f t="shared" si="176"/>
        <v>1</v>
      </c>
      <c r="J979" s="674"/>
      <c r="K979" s="24">
        <f t="shared" si="177"/>
        <v>1</v>
      </c>
      <c r="L979" s="674"/>
      <c r="M979" s="24">
        <f t="shared" si="178"/>
        <v>1</v>
      </c>
      <c r="N979" s="674"/>
      <c r="O979" s="24">
        <f t="shared" si="179"/>
        <v>1</v>
      </c>
      <c r="P979" s="674"/>
      <c r="Q979" s="24">
        <f t="shared" si="180"/>
        <v>0</v>
      </c>
      <c r="R979" s="670">
        <f t="shared" si="181"/>
        <v>0</v>
      </c>
      <c r="S979" s="322">
        <f t="shared" si="182"/>
        <v>0</v>
      </c>
    </row>
    <row r="980" spans="1:19">
      <c r="A980" s="155"/>
      <c r="B980" s="57"/>
      <c r="C980" s="24">
        <f t="shared" si="173"/>
        <v>1</v>
      </c>
      <c r="D980" s="674"/>
      <c r="E980" s="24">
        <f t="shared" si="174"/>
        <v>1</v>
      </c>
      <c r="F980" s="674"/>
      <c r="G980" s="24">
        <f t="shared" si="175"/>
        <v>1</v>
      </c>
      <c r="H980" s="674"/>
      <c r="I980" s="24">
        <f t="shared" si="176"/>
        <v>1</v>
      </c>
      <c r="J980" s="674"/>
      <c r="K980" s="24">
        <f t="shared" si="177"/>
        <v>1</v>
      </c>
      <c r="L980" s="674"/>
      <c r="M980" s="24">
        <f t="shared" si="178"/>
        <v>1</v>
      </c>
      <c r="N980" s="674"/>
      <c r="O980" s="24">
        <f t="shared" si="179"/>
        <v>1</v>
      </c>
      <c r="P980" s="674"/>
      <c r="Q980" s="24">
        <f t="shared" si="180"/>
        <v>0</v>
      </c>
      <c r="R980" s="670">
        <f t="shared" si="181"/>
        <v>0</v>
      </c>
      <c r="S980" s="322">
        <f t="shared" si="182"/>
        <v>0</v>
      </c>
    </row>
    <row r="981" spans="1:19">
      <c r="A981" s="155"/>
      <c r="B981" s="57"/>
      <c r="C981" s="24">
        <f t="shared" si="173"/>
        <v>1</v>
      </c>
      <c r="D981" s="674"/>
      <c r="E981" s="24">
        <f t="shared" si="174"/>
        <v>1</v>
      </c>
      <c r="F981" s="674"/>
      <c r="G981" s="24">
        <f t="shared" si="175"/>
        <v>1</v>
      </c>
      <c r="H981" s="674"/>
      <c r="I981" s="24">
        <f t="shared" si="176"/>
        <v>1</v>
      </c>
      <c r="J981" s="674"/>
      <c r="K981" s="24">
        <f t="shared" si="177"/>
        <v>1</v>
      </c>
      <c r="L981" s="674"/>
      <c r="M981" s="24">
        <f t="shared" si="178"/>
        <v>1</v>
      </c>
      <c r="N981" s="674"/>
      <c r="O981" s="24">
        <f t="shared" si="179"/>
        <v>1</v>
      </c>
      <c r="P981" s="674"/>
      <c r="Q981" s="24">
        <f t="shared" si="180"/>
        <v>0</v>
      </c>
      <c r="R981" s="670">
        <f t="shared" si="181"/>
        <v>0</v>
      </c>
      <c r="S981" s="322">
        <f t="shared" si="182"/>
        <v>0</v>
      </c>
    </row>
    <row r="982" spans="1:19">
      <c r="A982" s="155"/>
      <c r="B982" s="57"/>
      <c r="C982" s="24">
        <f t="shared" si="173"/>
        <v>1</v>
      </c>
      <c r="D982" s="674"/>
      <c r="E982" s="24">
        <f t="shared" si="174"/>
        <v>1</v>
      </c>
      <c r="F982" s="674"/>
      <c r="G982" s="24">
        <f t="shared" si="175"/>
        <v>1</v>
      </c>
      <c r="H982" s="674"/>
      <c r="I982" s="24">
        <f t="shared" si="176"/>
        <v>1</v>
      </c>
      <c r="J982" s="674"/>
      <c r="K982" s="24">
        <f t="shared" si="177"/>
        <v>1</v>
      </c>
      <c r="L982" s="674"/>
      <c r="M982" s="24">
        <f t="shared" si="178"/>
        <v>1</v>
      </c>
      <c r="N982" s="674"/>
      <c r="O982" s="24">
        <f t="shared" si="179"/>
        <v>1</v>
      </c>
      <c r="P982" s="674"/>
      <c r="Q982" s="24">
        <f t="shared" si="180"/>
        <v>0</v>
      </c>
      <c r="R982" s="670">
        <f t="shared" si="181"/>
        <v>0</v>
      </c>
      <c r="S982" s="322">
        <f t="shared" si="182"/>
        <v>0</v>
      </c>
    </row>
    <row r="983" spans="1:19">
      <c r="A983" s="155"/>
      <c r="B983" s="57"/>
      <c r="C983" s="24">
        <f t="shared" si="173"/>
        <v>1</v>
      </c>
      <c r="D983" s="674"/>
      <c r="E983" s="24">
        <f t="shared" si="174"/>
        <v>1</v>
      </c>
      <c r="F983" s="674"/>
      <c r="G983" s="24">
        <f t="shared" si="175"/>
        <v>1</v>
      </c>
      <c r="H983" s="674"/>
      <c r="I983" s="24">
        <f t="shared" si="176"/>
        <v>1</v>
      </c>
      <c r="J983" s="674"/>
      <c r="K983" s="24">
        <f t="shared" si="177"/>
        <v>1</v>
      </c>
      <c r="L983" s="674"/>
      <c r="M983" s="24">
        <f t="shared" si="178"/>
        <v>1</v>
      </c>
      <c r="N983" s="674"/>
      <c r="O983" s="24">
        <f t="shared" si="179"/>
        <v>1</v>
      </c>
      <c r="P983" s="674"/>
      <c r="Q983" s="24">
        <f t="shared" si="180"/>
        <v>0</v>
      </c>
      <c r="R983" s="670">
        <f t="shared" si="181"/>
        <v>0</v>
      </c>
      <c r="S983" s="322">
        <f t="shared" si="182"/>
        <v>0</v>
      </c>
    </row>
    <row r="984" spans="1:19">
      <c r="A984" s="155"/>
      <c r="B984" s="57"/>
      <c r="C984" s="24">
        <f t="shared" si="173"/>
        <v>1</v>
      </c>
      <c r="D984" s="674"/>
      <c r="E984" s="24">
        <f t="shared" si="174"/>
        <v>1</v>
      </c>
      <c r="F984" s="674"/>
      <c r="G984" s="24">
        <f t="shared" si="175"/>
        <v>1</v>
      </c>
      <c r="H984" s="674"/>
      <c r="I984" s="24">
        <f t="shared" si="176"/>
        <v>1</v>
      </c>
      <c r="J984" s="674"/>
      <c r="K984" s="24">
        <f t="shared" si="177"/>
        <v>1</v>
      </c>
      <c r="L984" s="674"/>
      <c r="M984" s="24">
        <f t="shared" si="178"/>
        <v>1</v>
      </c>
      <c r="N984" s="674"/>
      <c r="O984" s="24">
        <f t="shared" si="179"/>
        <v>1</v>
      </c>
      <c r="P984" s="674"/>
      <c r="Q984" s="24">
        <f t="shared" si="180"/>
        <v>0</v>
      </c>
      <c r="R984" s="670">
        <f t="shared" si="181"/>
        <v>0</v>
      </c>
      <c r="S984" s="322">
        <f t="shared" si="182"/>
        <v>0</v>
      </c>
    </row>
    <row r="985" spans="1:19">
      <c r="A985" s="155"/>
      <c r="B985" s="57"/>
      <c r="C985" s="24">
        <f t="shared" si="173"/>
        <v>1</v>
      </c>
      <c r="D985" s="674"/>
      <c r="E985" s="24">
        <f t="shared" si="174"/>
        <v>1</v>
      </c>
      <c r="F985" s="674"/>
      <c r="G985" s="24">
        <f t="shared" si="175"/>
        <v>1</v>
      </c>
      <c r="H985" s="674"/>
      <c r="I985" s="24">
        <f t="shared" si="176"/>
        <v>1</v>
      </c>
      <c r="J985" s="674"/>
      <c r="K985" s="24">
        <f t="shared" si="177"/>
        <v>1</v>
      </c>
      <c r="L985" s="674"/>
      <c r="M985" s="24">
        <f t="shared" si="178"/>
        <v>1</v>
      </c>
      <c r="N985" s="674"/>
      <c r="O985" s="24">
        <f t="shared" si="179"/>
        <v>1</v>
      </c>
      <c r="P985" s="674"/>
      <c r="Q985" s="24">
        <f t="shared" si="180"/>
        <v>0</v>
      </c>
      <c r="R985" s="670">
        <f t="shared" si="181"/>
        <v>0</v>
      </c>
      <c r="S985" s="322">
        <f t="shared" si="182"/>
        <v>0</v>
      </c>
    </row>
    <row r="986" spans="1:19">
      <c r="A986" s="155"/>
      <c r="B986" s="57"/>
      <c r="C986" s="24">
        <f t="shared" si="173"/>
        <v>1</v>
      </c>
      <c r="D986" s="674"/>
      <c r="E986" s="24">
        <f t="shared" si="174"/>
        <v>1</v>
      </c>
      <c r="F986" s="674"/>
      <c r="G986" s="24">
        <f t="shared" si="175"/>
        <v>1</v>
      </c>
      <c r="H986" s="674"/>
      <c r="I986" s="24">
        <f t="shared" si="176"/>
        <v>1</v>
      </c>
      <c r="J986" s="674"/>
      <c r="K986" s="24">
        <f t="shared" si="177"/>
        <v>1</v>
      </c>
      <c r="L986" s="674"/>
      <c r="M986" s="24">
        <f t="shared" si="178"/>
        <v>1</v>
      </c>
      <c r="N986" s="674"/>
      <c r="O986" s="24">
        <f t="shared" si="179"/>
        <v>1</v>
      </c>
      <c r="P986" s="674"/>
      <c r="Q986" s="24">
        <f t="shared" si="180"/>
        <v>0</v>
      </c>
      <c r="R986" s="670">
        <f t="shared" si="181"/>
        <v>0</v>
      </c>
      <c r="S986" s="322">
        <f t="shared" si="182"/>
        <v>0</v>
      </c>
    </row>
    <row r="987" spans="1:19">
      <c r="A987" s="155"/>
      <c r="B987" s="57"/>
      <c r="C987" s="24">
        <f t="shared" si="173"/>
        <v>1</v>
      </c>
      <c r="D987" s="674"/>
      <c r="E987" s="24">
        <f t="shared" si="174"/>
        <v>1</v>
      </c>
      <c r="F987" s="674"/>
      <c r="G987" s="24">
        <f t="shared" si="175"/>
        <v>1</v>
      </c>
      <c r="H987" s="674"/>
      <c r="I987" s="24">
        <f t="shared" si="176"/>
        <v>1</v>
      </c>
      <c r="J987" s="674"/>
      <c r="K987" s="24">
        <f t="shared" si="177"/>
        <v>1</v>
      </c>
      <c r="L987" s="674"/>
      <c r="M987" s="24">
        <f t="shared" si="178"/>
        <v>1</v>
      </c>
      <c r="N987" s="674"/>
      <c r="O987" s="24">
        <f t="shared" si="179"/>
        <v>1</v>
      </c>
      <c r="P987" s="674"/>
      <c r="Q987" s="24">
        <f t="shared" si="180"/>
        <v>0</v>
      </c>
      <c r="R987" s="670">
        <f t="shared" si="181"/>
        <v>0</v>
      </c>
      <c r="S987" s="322">
        <f t="shared" si="182"/>
        <v>0</v>
      </c>
    </row>
    <row r="988" spans="1:19">
      <c r="A988" s="155"/>
      <c r="B988" s="57"/>
      <c r="C988" s="24">
        <f t="shared" si="173"/>
        <v>1</v>
      </c>
      <c r="D988" s="674"/>
      <c r="E988" s="24">
        <f t="shared" si="174"/>
        <v>1</v>
      </c>
      <c r="F988" s="674"/>
      <c r="G988" s="24">
        <f t="shared" si="175"/>
        <v>1</v>
      </c>
      <c r="H988" s="674"/>
      <c r="I988" s="24">
        <f t="shared" si="176"/>
        <v>1</v>
      </c>
      <c r="J988" s="674"/>
      <c r="K988" s="24">
        <f t="shared" si="177"/>
        <v>1</v>
      </c>
      <c r="L988" s="674"/>
      <c r="M988" s="24">
        <f t="shared" si="178"/>
        <v>1</v>
      </c>
      <c r="N988" s="674"/>
      <c r="O988" s="24">
        <f t="shared" si="179"/>
        <v>1</v>
      </c>
      <c r="P988" s="674"/>
      <c r="Q988" s="24">
        <f t="shared" si="180"/>
        <v>0</v>
      </c>
      <c r="R988" s="670">
        <f t="shared" si="181"/>
        <v>0</v>
      </c>
      <c r="S988" s="322">
        <f t="shared" si="182"/>
        <v>0</v>
      </c>
    </row>
    <row r="989" spans="1:19">
      <c r="A989" s="155"/>
      <c r="B989" s="57"/>
      <c r="C989" s="24">
        <f t="shared" si="173"/>
        <v>1</v>
      </c>
      <c r="D989" s="674"/>
      <c r="E989" s="24">
        <f t="shared" si="174"/>
        <v>1</v>
      </c>
      <c r="F989" s="674"/>
      <c r="G989" s="24">
        <f t="shared" si="175"/>
        <v>1</v>
      </c>
      <c r="H989" s="674"/>
      <c r="I989" s="24">
        <f t="shared" si="176"/>
        <v>1</v>
      </c>
      <c r="J989" s="674"/>
      <c r="K989" s="24">
        <f t="shared" si="177"/>
        <v>1</v>
      </c>
      <c r="L989" s="674"/>
      <c r="M989" s="24">
        <f t="shared" si="178"/>
        <v>1</v>
      </c>
      <c r="N989" s="674"/>
      <c r="O989" s="24">
        <f t="shared" si="179"/>
        <v>1</v>
      </c>
      <c r="P989" s="674"/>
      <c r="Q989" s="24">
        <f t="shared" si="180"/>
        <v>0</v>
      </c>
      <c r="R989" s="670">
        <f t="shared" si="181"/>
        <v>0</v>
      </c>
      <c r="S989" s="322">
        <f t="shared" si="182"/>
        <v>0</v>
      </c>
    </row>
    <row r="990" spans="1:19">
      <c r="A990" s="155"/>
      <c r="B990" s="57"/>
      <c r="C990" s="24">
        <f t="shared" si="173"/>
        <v>1</v>
      </c>
      <c r="D990" s="674"/>
      <c r="E990" s="24">
        <f t="shared" si="174"/>
        <v>1</v>
      </c>
      <c r="F990" s="674"/>
      <c r="G990" s="24">
        <f t="shared" si="175"/>
        <v>1</v>
      </c>
      <c r="H990" s="674"/>
      <c r="I990" s="24">
        <f t="shared" si="176"/>
        <v>1</v>
      </c>
      <c r="J990" s="674"/>
      <c r="K990" s="24">
        <f t="shared" si="177"/>
        <v>1</v>
      </c>
      <c r="L990" s="674"/>
      <c r="M990" s="24">
        <f t="shared" si="178"/>
        <v>1</v>
      </c>
      <c r="N990" s="674"/>
      <c r="O990" s="24">
        <f t="shared" si="179"/>
        <v>1</v>
      </c>
      <c r="P990" s="674"/>
      <c r="Q990" s="24">
        <f t="shared" si="180"/>
        <v>0</v>
      </c>
      <c r="R990" s="670">
        <f t="shared" si="181"/>
        <v>0</v>
      </c>
      <c r="S990" s="322">
        <f t="shared" si="182"/>
        <v>0</v>
      </c>
    </row>
    <row r="991" spans="1:19">
      <c r="A991" s="155"/>
      <c r="B991" s="57"/>
      <c r="C991" s="24">
        <f t="shared" si="173"/>
        <v>1</v>
      </c>
      <c r="D991" s="674"/>
      <c r="E991" s="24">
        <f t="shared" si="174"/>
        <v>1</v>
      </c>
      <c r="F991" s="674"/>
      <c r="G991" s="24">
        <f t="shared" si="175"/>
        <v>1</v>
      </c>
      <c r="H991" s="674"/>
      <c r="I991" s="24">
        <f t="shared" si="176"/>
        <v>1</v>
      </c>
      <c r="J991" s="674"/>
      <c r="K991" s="24">
        <f t="shared" si="177"/>
        <v>1</v>
      </c>
      <c r="L991" s="674"/>
      <c r="M991" s="24">
        <f t="shared" si="178"/>
        <v>1</v>
      </c>
      <c r="N991" s="674"/>
      <c r="O991" s="24">
        <f t="shared" si="179"/>
        <v>1</v>
      </c>
      <c r="P991" s="674"/>
      <c r="Q991" s="24">
        <f t="shared" si="180"/>
        <v>0</v>
      </c>
      <c r="R991" s="670">
        <f t="shared" si="181"/>
        <v>0</v>
      </c>
      <c r="S991" s="322">
        <f t="shared" si="182"/>
        <v>0</v>
      </c>
    </row>
    <row r="992" spans="1:19">
      <c r="A992" s="155"/>
      <c r="B992" s="57"/>
      <c r="C992" s="24">
        <f t="shared" si="173"/>
        <v>1</v>
      </c>
      <c r="D992" s="674"/>
      <c r="E992" s="24">
        <f t="shared" si="174"/>
        <v>1</v>
      </c>
      <c r="F992" s="674"/>
      <c r="G992" s="24">
        <f t="shared" si="175"/>
        <v>1</v>
      </c>
      <c r="H992" s="674"/>
      <c r="I992" s="24">
        <f t="shared" si="176"/>
        <v>1</v>
      </c>
      <c r="J992" s="674"/>
      <c r="K992" s="24">
        <f t="shared" si="177"/>
        <v>1</v>
      </c>
      <c r="L992" s="674"/>
      <c r="M992" s="24">
        <f t="shared" si="178"/>
        <v>1</v>
      </c>
      <c r="N992" s="674"/>
      <c r="O992" s="24">
        <f t="shared" si="179"/>
        <v>1</v>
      </c>
      <c r="P992" s="674"/>
      <c r="Q992" s="24">
        <f t="shared" si="180"/>
        <v>0</v>
      </c>
      <c r="R992" s="670">
        <f t="shared" si="181"/>
        <v>0</v>
      </c>
      <c r="S992" s="322">
        <f t="shared" si="182"/>
        <v>0</v>
      </c>
    </row>
    <row r="993" spans="1:19">
      <c r="A993" s="155"/>
      <c r="B993" s="57"/>
      <c r="C993" s="24">
        <f t="shared" si="173"/>
        <v>1</v>
      </c>
      <c r="D993" s="674"/>
      <c r="E993" s="24">
        <f t="shared" si="174"/>
        <v>1</v>
      </c>
      <c r="F993" s="674"/>
      <c r="G993" s="24">
        <f t="shared" si="175"/>
        <v>1</v>
      </c>
      <c r="H993" s="674"/>
      <c r="I993" s="24">
        <f t="shared" si="176"/>
        <v>1</v>
      </c>
      <c r="J993" s="674"/>
      <c r="K993" s="24">
        <f t="shared" si="177"/>
        <v>1</v>
      </c>
      <c r="L993" s="674"/>
      <c r="M993" s="24">
        <f t="shared" si="178"/>
        <v>1</v>
      </c>
      <c r="N993" s="674"/>
      <c r="O993" s="24">
        <f t="shared" si="179"/>
        <v>1</v>
      </c>
      <c r="P993" s="674"/>
      <c r="Q993" s="24">
        <f t="shared" si="180"/>
        <v>0</v>
      </c>
      <c r="R993" s="670">
        <f t="shared" si="181"/>
        <v>0</v>
      </c>
      <c r="S993" s="322">
        <f t="shared" si="182"/>
        <v>0</v>
      </c>
    </row>
    <row r="994" spans="1:19">
      <c r="A994" s="155"/>
      <c r="B994" s="57"/>
      <c r="C994" s="24">
        <f t="shared" si="173"/>
        <v>1</v>
      </c>
      <c r="D994" s="674"/>
      <c r="E994" s="24">
        <f t="shared" si="174"/>
        <v>1</v>
      </c>
      <c r="F994" s="674"/>
      <c r="G994" s="24">
        <f t="shared" si="175"/>
        <v>1</v>
      </c>
      <c r="H994" s="674"/>
      <c r="I994" s="24">
        <f t="shared" si="176"/>
        <v>1</v>
      </c>
      <c r="J994" s="674"/>
      <c r="K994" s="24">
        <f t="shared" si="177"/>
        <v>1</v>
      </c>
      <c r="L994" s="674"/>
      <c r="M994" s="24">
        <f t="shared" si="178"/>
        <v>1</v>
      </c>
      <c r="N994" s="674"/>
      <c r="O994" s="24">
        <f t="shared" si="179"/>
        <v>1</v>
      </c>
      <c r="P994" s="674"/>
      <c r="Q994" s="24">
        <f t="shared" si="180"/>
        <v>0</v>
      </c>
      <c r="R994" s="670">
        <f t="shared" si="181"/>
        <v>0</v>
      </c>
      <c r="S994" s="322">
        <f t="shared" si="182"/>
        <v>0</v>
      </c>
    </row>
    <row r="995" spans="1:19">
      <c r="A995" s="155"/>
      <c r="B995" s="57"/>
      <c r="C995" s="24">
        <f t="shared" si="173"/>
        <v>1</v>
      </c>
      <c r="D995" s="674"/>
      <c r="E995" s="24">
        <f t="shared" si="174"/>
        <v>1</v>
      </c>
      <c r="F995" s="674"/>
      <c r="G995" s="24">
        <f t="shared" si="175"/>
        <v>1</v>
      </c>
      <c r="H995" s="674"/>
      <c r="I995" s="24">
        <f t="shared" si="176"/>
        <v>1</v>
      </c>
      <c r="J995" s="674"/>
      <c r="K995" s="24">
        <f t="shared" si="177"/>
        <v>1</v>
      </c>
      <c r="L995" s="674"/>
      <c r="M995" s="24">
        <f t="shared" si="178"/>
        <v>1</v>
      </c>
      <c r="N995" s="674"/>
      <c r="O995" s="24">
        <f t="shared" si="179"/>
        <v>1</v>
      </c>
      <c r="P995" s="674"/>
      <c r="Q995" s="24">
        <f t="shared" si="180"/>
        <v>0</v>
      </c>
      <c r="R995" s="670">
        <f t="shared" si="181"/>
        <v>0</v>
      </c>
      <c r="S995" s="322">
        <f t="shared" si="182"/>
        <v>0</v>
      </c>
    </row>
    <row r="996" spans="1:19">
      <c r="A996" s="155"/>
      <c r="B996" s="57"/>
      <c r="C996" s="24">
        <f t="shared" si="173"/>
        <v>1</v>
      </c>
      <c r="D996" s="674"/>
      <c r="E996" s="24">
        <f t="shared" si="174"/>
        <v>1</v>
      </c>
      <c r="F996" s="674"/>
      <c r="G996" s="24">
        <f t="shared" si="175"/>
        <v>1</v>
      </c>
      <c r="H996" s="674"/>
      <c r="I996" s="24">
        <f t="shared" si="176"/>
        <v>1</v>
      </c>
      <c r="J996" s="674"/>
      <c r="K996" s="24">
        <f t="shared" si="177"/>
        <v>1</v>
      </c>
      <c r="L996" s="674"/>
      <c r="M996" s="24">
        <f t="shared" si="178"/>
        <v>1</v>
      </c>
      <c r="N996" s="674"/>
      <c r="O996" s="24">
        <f t="shared" si="179"/>
        <v>1</v>
      </c>
      <c r="P996" s="674"/>
      <c r="Q996" s="24">
        <f t="shared" si="180"/>
        <v>0</v>
      </c>
      <c r="R996" s="670">
        <f t="shared" si="181"/>
        <v>0</v>
      </c>
      <c r="S996" s="322">
        <f t="shared" si="182"/>
        <v>0</v>
      </c>
    </row>
    <row r="997" spans="1:19">
      <c r="A997" s="155"/>
      <c r="B997" s="57"/>
      <c r="C997" s="24">
        <f t="shared" si="173"/>
        <v>1</v>
      </c>
      <c r="D997" s="674"/>
      <c r="E997" s="24">
        <f t="shared" si="174"/>
        <v>1</v>
      </c>
      <c r="F997" s="674"/>
      <c r="G997" s="24">
        <f t="shared" si="175"/>
        <v>1</v>
      </c>
      <c r="H997" s="674"/>
      <c r="I997" s="24">
        <f t="shared" si="176"/>
        <v>1</v>
      </c>
      <c r="J997" s="674"/>
      <c r="K997" s="24">
        <f t="shared" si="177"/>
        <v>1</v>
      </c>
      <c r="L997" s="674"/>
      <c r="M997" s="24">
        <f t="shared" si="178"/>
        <v>1</v>
      </c>
      <c r="N997" s="674"/>
      <c r="O997" s="24">
        <f t="shared" si="179"/>
        <v>1</v>
      </c>
      <c r="P997" s="674"/>
      <c r="Q997" s="24">
        <f t="shared" si="180"/>
        <v>0</v>
      </c>
      <c r="R997" s="670">
        <f t="shared" si="181"/>
        <v>0</v>
      </c>
      <c r="S997" s="322">
        <f t="shared" si="182"/>
        <v>0</v>
      </c>
    </row>
    <row r="998" spans="1:19">
      <c r="A998" s="155"/>
      <c r="B998" s="57"/>
      <c r="C998" s="24">
        <f t="shared" si="173"/>
        <v>1</v>
      </c>
      <c r="D998" s="674"/>
      <c r="E998" s="24">
        <f t="shared" si="174"/>
        <v>1</v>
      </c>
      <c r="F998" s="674"/>
      <c r="G998" s="24">
        <f t="shared" si="175"/>
        <v>1</v>
      </c>
      <c r="H998" s="674"/>
      <c r="I998" s="24">
        <f t="shared" si="176"/>
        <v>1</v>
      </c>
      <c r="J998" s="674"/>
      <c r="K998" s="24">
        <f t="shared" si="177"/>
        <v>1</v>
      </c>
      <c r="L998" s="674"/>
      <c r="M998" s="24">
        <f t="shared" si="178"/>
        <v>1</v>
      </c>
      <c r="N998" s="674"/>
      <c r="O998" s="24">
        <f t="shared" si="179"/>
        <v>1</v>
      </c>
      <c r="P998" s="674"/>
      <c r="Q998" s="24">
        <f t="shared" si="180"/>
        <v>0</v>
      </c>
      <c r="R998" s="670">
        <f t="shared" si="181"/>
        <v>0</v>
      </c>
      <c r="S998" s="322">
        <f t="shared" si="182"/>
        <v>0</v>
      </c>
    </row>
    <row r="999" spans="1:19">
      <c r="A999" s="155"/>
      <c r="B999" s="57"/>
      <c r="C999" s="24">
        <f t="shared" si="173"/>
        <v>1</v>
      </c>
      <c r="D999" s="674"/>
      <c r="E999" s="24">
        <f t="shared" si="174"/>
        <v>1</v>
      </c>
      <c r="F999" s="674"/>
      <c r="G999" s="24">
        <f t="shared" si="175"/>
        <v>1</v>
      </c>
      <c r="H999" s="674"/>
      <c r="I999" s="24">
        <f t="shared" si="176"/>
        <v>1</v>
      </c>
      <c r="J999" s="674"/>
      <c r="K999" s="24">
        <f t="shared" si="177"/>
        <v>1</v>
      </c>
      <c r="L999" s="674"/>
      <c r="M999" s="24">
        <f t="shared" si="178"/>
        <v>1</v>
      </c>
      <c r="N999" s="674"/>
      <c r="O999" s="24">
        <f t="shared" si="179"/>
        <v>1</v>
      </c>
      <c r="P999" s="674"/>
      <c r="Q999" s="24">
        <f t="shared" si="180"/>
        <v>0</v>
      </c>
      <c r="R999" s="670">
        <f t="shared" si="181"/>
        <v>0</v>
      </c>
      <c r="S999" s="322">
        <f t="shared" si="182"/>
        <v>0</v>
      </c>
    </row>
    <row r="1000" spans="1:19">
      <c r="A1000" s="155"/>
      <c r="B1000" s="57"/>
      <c r="C1000" s="24">
        <f t="shared" si="173"/>
        <v>1</v>
      </c>
      <c r="D1000" s="674"/>
      <c r="E1000" s="24">
        <f t="shared" si="174"/>
        <v>1</v>
      </c>
      <c r="F1000" s="674"/>
      <c r="G1000" s="24">
        <f t="shared" si="175"/>
        <v>1</v>
      </c>
      <c r="H1000" s="674"/>
      <c r="I1000" s="24">
        <f t="shared" si="176"/>
        <v>1</v>
      </c>
      <c r="J1000" s="674"/>
      <c r="K1000" s="24">
        <f t="shared" si="177"/>
        <v>1</v>
      </c>
      <c r="L1000" s="674"/>
      <c r="M1000" s="24">
        <f t="shared" si="178"/>
        <v>1</v>
      </c>
      <c r="N1000" s="674"/>
      <c r="O1000" s="24">
        <f t="shared" si="179"/>
        <v>1</v>
      </c>
      <c r="P1000" s="674"/>
      <c r="Q1000" s="24">
        <f t="shared" si="180"/>
        <v>0</v>
      </c>
      <c r="R1000" s="670">
        <f t="shared" si="181"/>
        <v>0</v>
      </c>
      <c r="S1000" s="322">
        <f t="shared" si="182"/>
        <v>0</v>
      </c>
    </row>
    <row r="1001" spans="1:19">
      <c r="A1001" s="155"/>
      <c r="B1001" s="57"/>
      <c r="C1001" s="24">
        <f t="shared" si="173"/>
        <v>1</v>
      </c>
      <c r="D1001" s="674"/>
      <c r="E1001" s="24">
        <f t="shared" si="174"/>
        <v>1</v>
      </c>
      <c r="F1001" s="674"/>
      <c r="G1001" s="24">
        <f t="shared" si="175"/>
        <v>1</v>
      </c>
      <c r="H1001" s="674"/>
      <c r="I1001" s="24">
        <f t="shared" si="176"/>
        <v>1</v>
      </c>
      <c r="J1001" s="674"/>
      <c r="K1001" s="24">
        <f t="shared" si="177"/>
        <v>1</v>
      </c>
      <c r="L1001" s="674"/>
      <c r="M1001" s="24">
        <f t="shared" si="178"/>
        <v>1</v>
      </c>
      <c r="N1001" s="674"/>
      <c r="O1001" s="24">
        <f t="shared" si="179"/>
        <v>1</v>
      </c>
      <c r="P1001" s="674"/>
      <c r="Q1001" s="24">
        <f t="shared" si="180"/>
        <v>0</v>
      </c>
      <c r="R1001" s="670">
        <f t="shared" si="181"/>
        <v>0</v>
      </c>
      <c r="S1001" s="322">
        <f t="shared" si="182"/>
        <v>0</v>
      </c>
    </row>
    <row r="1002" spans="1:19">
      <c r="A1002" s="155"/>
      <c r="B1002" s="57"/>
      <c r="C1002" s="24">
        <f t="shared" si="173"/>
        <v>1</v>
      </c>
      <c r="D1002" s="674"/>
      <c r="E1002" s="24">
        <f t="shared" si="174"/>
        <v>1</v>
      </c>
      <c r="F1002" s="674"/>
      <c r="G1002" s="24">
        <f t="shared" si="175"/>
        <v>1</v>
      </c>
      <c r="H1002" s="674"/>
      <c r="I1002" s="24">
        <f t="shared" si="176"/>
        <v>1</v>
      </c>
      <c r="J1002" s="674"/>
      <c r="K1002" s="24">
        <f t="shared" si="177"/>
        <v>1</v>
      </c>
      <c r="L1002" s="674"/>
      <c r="M1002" s="24">
        <f t="shared" si="178"/>
        <v>1</v>
      </c>
      <c r="N1002" s="674"/>
      <c r="O1002" s="24">
        <f t="shared" si="179"/>
        <v>1</v>
      </c>
      <c r="P1002" s="674"/>
      <c r="Q1002" s="24">
        <f t="shared" si="180"/>
        <v>0</v>
      </c>
      <c r="R1002" s="670">
        <f t="shared" si="181"/>
        <v>0</v>
      </c>
      <c r="S1002" s="322">
        <f t="shared" si="182"/>
        <v>0</v>
      </c>
    </row>
    <row r="1003" spans="1:19">
      <c r="A1003" s="155"/>
      <c r="B1003" s="57"/>
      <c r="C1003" s="24">
        <f t="shared" si="173"/>
        <v>1</v>
      </c>
      <c r="D1003" s="674"/>
      <c r="E1003" s="24">
        <f t="shared" si="174"/>
        <v>1</v>
      </c>
      <c r="F1003" s="674"/>
      <c r="G1003" s="24">
        <f t="shared" si="175"/>
        <v>1</v>
      </c>
      <c r="H1003" s="674"/>
      <c r="I1003" s="24">
        <f t="shared" si="176"/>
        <v>1</v>
      </c>
      <c r="J1003" s="674"/>
      <c r="K1003" s="24">
        <f t="shared" si="177"/>
        <v>1</v>
      </c>
      <c r="L1003" s="674"/>
      <c r="M1003" s="24">
        <f t="shared" si="178"/>
        <v>1</v>
      </c>
      <c r="N1003" s="674"/>
      <c r="O1003" s="24">
        <f t="shared" si="179"/>
        <v>1</v>
      </c>
      <c r="P1003" s="674"/>
      <c r="Q1003" s="24">
        <f t="shared" si="180"/>
        <v>0</v>
      </c>
      <c r="R1003" s="670">
        <f t="shared" si="181"/>
        <v>0</v>
      </c>
      <c r="S1003" s="322">
        <f t="shared" si="182"/>
        <v>0</v>
      </c>
    </row>
    <row r="1004" spans="1:19">
      <c r="A1004" s="155"/>
      <c r="B1004" s="57"/>
      <c r="C1004" s="24">
        <f t="shared" si="173"/>
        <v>1</v>
      </c>
      <c r="D1004" s="674"/>
      <c r="E1004" s="24">
        <f t="shared" si="174"/>
        <v>1</v>
      </c>
      <c r="F1004" s="674"/>
      <c r="G1004" s="24">
        <f t="shared" si="175"/>
        <v>1</v>
      </c>
      <c r="H1004" s="674"/>
      <c r="I1004" s="24">
        <f t="shared" si="176"/>
        <v>1</v>
      </c>
      <c r="J1004" s="674"/>
      <c r="K1004" s="24">
        <f t="shared" si="177"/>
        <v>1</v>
      </c>
      <c r="L1004" s="674"/>
      <c r="M1004" s="24">
        <f t="shared" si="178"/>
        <v>1</v>
      </c>
      <c r="N1004" s="674"/>
      <c r="O1004" s="24">
        <f t="shared" si="179"/>
        <v>1</v>
      </c>
      <c r="P1004" s="674"/>
      <c r="Q1004" s="24">
        <f t="shared" si="180"/>
        <v>0</v>
      </c>
      <c r="R1004" s="670">
        <f t="shared" si="181"/>
        <v>0</v>
      </c>
      <c r="S1004" s="322">
        <f t="shared" si="182"/>
        <v>0</v>
      </c>
    </row>
    <row r="1005" spans="1:19">
      <c r="A1005" s="155"/>
      <c r="B1005" s="57"/>
      <c r="C1005" s="24">
        <f t="shared" si="173"/>
        <v>1</v>
      </c>
      <c r="D1005" s="674"/>
      <c r="E1005" s="24">
        <f t="shared" si="174"/>
        <v>1</v>
      </c>
      <c r="F1005" s="674"/>
      <c r="G1005" s="24">
        <f t="shared" si="175"/>
        <v>1</v>
      </c>
      <c r="H1005" s="674"/>
      <c r="I1005" s="24">
        <f t="shared" si="176"/>
        <v>1</v>
      </c>
      <c r="J1005" s="674"/>
      <c r="K1005" s="24">
        <f t="shared" si="177"/>
        <v>1</v>
      </c>
      <c r="L1005" s="674"/>
      <c r="M1005" s="24">
        <f t="shared" si="178"/>
        <v>1</v>
      </c>
      <c r="N1005" s="674"/>
      <c r="O1005" s="24">
        <f t="shared" si="179"/>
        <v>1</v>
      </c>
      <c r="P1005" s="674"/>
      <c r="Q1005" s="24">
        <f t="shared" si="180"/>
        <v>0</v>
      </c>
      <c r="R1005" s="670">
        <f t="shared" si="181"/>
        <v>0</v>
      </c>
      <c r="S1005" s="322">
        <f t="shared" si="182"/>
        <v>0</v>
      </c>
    </row>
    <row r="1006" spans="1:19">
      <c r="A1006" s="155"/>
      <c r="B1006" s="57"/>
      <c r="C1006" s="24">
        <f t="shared" si="173"/>
        <v>1</v>
      </c>
      <c r="D1006" s="674"/>
      <c r="E1006" s="24">
        <f t="shared" si="174"/>
        <v>1</v>
      </c>
      <c r="F1006" s="674"/>
      <c r="G1006" s="24">
        <f t="shared" si="175"/>
        <v>1</v>
      </c>
      <c r="H1006" s="674"/>
      <c r="I1006" s="24">
        <f t="shared" si="176"/>
        <v>1</v>
      </c>
      <c r="J1006" s="674"/>
      <c r="K1006" s="24">
        <f t="shared" si="177"/>
        <v>1</v>
      </c>
      <c r="L1006" s="674"/>
      <c r="M1006" s="24">
        <f t="shared" si="178"/>
        <v>1</v>
      </c>
      <c r="N1006" s="674"/>
      <c r="O1006" s="24">
        <f t="shared" si="179"/>
        <v>1</v>
      </c>
      <c r="P1006" s="674"/>
      <c r="Q1006" s="24">
        <f t="shared" si="180"/>
        <v>0</v>
      </c>
      <c r="R1006" s="670">
        <f t="shared" si="181"/>
        <v>0</v>
      </c>
      <c r="S1006" s="322">
        <f t="shared" si="182"/>
        <v>0</v>
      </c>
    </row>
    <row r="1007" spans="1:19">
      <c r="A1007" s="155"/>
      <c r="B1007" s="57"/>
      <c r="C1007" s="24">
        <f t="shared" si="173"/>
        <v>1</v>
      </c>
      <c r="D1007" s="674"/>
      <c r="E1007" s="24">
        <f t="shared" si="174"/>
        <v>1</v>
      </c>
      <c r="F1007" s="674"/>
      <c r="G1007" s="24">
        <f t="shared" si="175"/>
        <v>1</v>
      </c>
      <c r="H1007" s="674"/>
      <c r="I1007" s="24">
        <f t="shared" si="176"/>
        <v>1</v>
      </c>
      <c r="J1007" s="674"/>
      <c r="K1007" s="24">
        <f t="shared" si="177"/>
        <v>1</v>
      </c>
      <c r="L1007" s="674"/>
      <c r="M1007" s="24">
        <f t="shared" si="178"/>
        <v>1</v>
      </c>
      <c r="N1007" s="674"/>
      <c r="O1007" s="24">
        <f t="shared" si="179"/>
        <v>1</v>
      </c>
      <c r="P1007" s="674"/>
      <c r="Q1007" s="24">
        <f t="shared" si="180"/>
        <v>0</v>
      </c>
      <c r="R1007" s="670">
        <f t="shared" si="181"/>
        <v>0</v>
      </c>
      <c r="S1007" s="322">
        <f t="shared" si="182"/>
        <v>0</v>
      </c>
    </row>
    <row r="1008" spans="1:19">
      <c r="A1008" s="155"/>
      <c r="B1008" s="57"/>
      <c r="C1008" s="24">
        <f t="shared" si="173"/>
        <v>1</v>
      </c>
      <c r="D1008" s="674"/>
      <c r="E1008" s="24">
        <f t="shared" si="174"/>
        <v>1</v>
      </c>
      <c r="F1008" s="674"/>
      <c r="G1008" s="24">
        <f t="shared" si="175"/>
        <v>1</v>
      </c>
      <c r="H1008" s="674"/>
      <c r="I1008" s="24">
        <f t="shared" si="176"/>
        <v>1</v>
      </c>
      <c r="J1008" s="674"/>
      <c r="K1008" s="24">
        <f t="shared" si="177"/>
        <v>1</v>
      </c>
      <c r="L1008" s="674"/>
      <c r="M1008" s="24">
        <f t="shared" si="178"/>
        <v>1</v>
      </c>
      <c r="N1008" s="674"/>
      <c r="O1008" s="24">
        <f t="shared" si="179"/>
        <v>1</v>
      </c>
      <c r="P1008" s="674"/>
      <c r="Q1008" s="24">
        <f t="shared" si="180"/>
        <v>0</v>
      </c>
      <c r="R1008" s="670">
        <f t="shared" si="181"/>
        <v>0</v>
      </c>
      <c r="S1008" s="322">
        <f t="shared" si="182"/>
        <v>0</v>
      </c>
    </row>
    <row r="1009" spans="1:19">
      <c r="A1009" s="155"/>
      <c r="B1009" s="57"/>
      <c r="C1009" s="24">
        <f t="shared" si="173"/>
        <v>1</v>
      </c>
      <c r="D1009" s="674"/>
      <c r="E1009" s="24">
        <f t="shared" si="174"/>
        <v>1</v>
      </c>
      <c r="F1009" s="674"/>
      <c r="G1009" s="24">
        <f t="shared" si="175"/>
        <v>1</v>
      </c>
      <c r="H1009" s="674"/>
      <c r="I1009" s="24">
        <f t="shared" si="176"/>
        <v>1</v>
      </c>
      <c r="J1009" s="674"/>
      <c r="K1009" s="24">
        <f t="shared" si="177"/>
        <v>1</v>
      </c>
      <c r="L1009" s="674"/>
      <c r="M1009" s="24">
        <f t="shared" si="178"/>
        <v>1</v>
      </c>
      <c r="N1009" s="674"/>
      <c r="O1009" s="24">
        <f t="shared" si="179"/>
        <v>1</v>
      </c>
      <c r="P1009" s="674"/>
      <c r="Q1009" s="24">
        <f t="shared" si="180"/>
        <v>0</v>
      </c>
      <c r="R1009" s="670">
        <f t="shared" si="181"/>
        <v>0</v>
      </c>
      <c r="S1009" s="322">
        <f t="shared" si="182"/>
        <v>0</v>
      </c>
    </row>
    <row r="1010" spans="1:19">
      <c r="A1010" s="155"/>
      <c r="B1010" s="57"/>
      <c r="C1010" s="24">
        <f t="shared" si="173"/>
        <v>1</v>
      </c>
      <c r="D1010" s="674"/>
      <c r="E1010" s="24">
        <f t="shared" si="174"/>
        <v>1</v>
      </c>
      <c r="F1010" s="674"/>
      <c r="G1010" s="24">
        <f t="shared" si="175"/>
        <v>1</v>
      </c>
      <c r="H1010" s="674"/>
      <c r="I1010" s="24">
        <f t="shared" si="176"/>
        <v>1</v>
      </c>
      <c r="J1010" s="674"/>
      <c r="K1010" s="24">
        <f t="shared" si="177"/>
        <v>1</v>
      </c>
      <c r="L1010" s="674"/>
      <c r="M1010" s="24">
        <f t="shared" si="178"/>
        <v>1</v>
      </c>
      <c r="N1010" s="674"/>
      <c r="O1010" s="24">
        <f t="shared" si="179"/>
        <v>1</v>
      </c>
      <c r="P1010" s="674"/>
      <c r="Q1010" s="24">
        <f t="shared" si="180"/>
        <v>0</v>
      </c>
      <c r="R1010" s="670">
        <f t="shared" si="181"/>
        <v>0</v>
      </c>
      <c r="S1010" s="322">
        <f t="shared" si="182"/>
        <v>0</v>
      </c>
    </row>
    <row r="1011" spans="1:19">
      <c r="A1011" s="155"/>
      <c r="B1011" s="57"/>
      <c r="C1011" s="24">
        <f t="shared" si="173"/>
        <v>1</v>
      </c>
      <c r="D1011" s="674"/>
      <c r="E1011" s="24">
        <f t="shared" si="174"/>
        <v>1</v>
      </c>
      <c r="F1011" s="674"/>
      <c r="G1011" s="24">
        <f t="shared" si="175"/>
        <v>1</v>
      </c>
      <c r="H1011" s="674"/>
      <c r="I1011" s="24">
        <f t="shared" si="176"/>
        <v>1</v>
      </c>
      <c r="J1011" s="674"/>
      <c r="K1011" s="24">
        <f t="shared" si="177"/>
        <v>1</v>
      </c>
      <c r="L1011" s="674"/>
      <c r="M1011" s="24">
        <f t="shared" si="178"/>
        <v>1</v>
      </c>
      <c r="N1011" s="674"/>
      <c r="O1011" s="24">
        <f t="shared" si="179"/>
        <v>1</v>
      </c>
      <c r="P1011" s="674"/>
      <c r="Q1011" s="24">
        <f t="shared" si="180"/>
        <v>0</v>
      </c>
      <c r="R1011" s="670">
        <f t="shared" si="181"/>
        <v>0</v>
      </c>
      <c r="S1011" s="322">
        <f t="shared" si="182"/>
        <v>0</v>
      </c>
    </row>
    <row r="1012" spans="1:19">
      <c r="A1012" s="155"/>
      <c r="B1012" s="57"/>
      <c r="C1012" s="24">
        <f t="shared" si="173"/>
        <v>1</v>
      </c>
      <c r="D1012" s="674"/>
      <c r="E1012" s="24">
        <f t="shared" si="174"/>
        <v>1</v>
      </c>
      <c r="F1012" s="674"/>
      <c r="G1012" s="24">
        <f t="shared" si="175"/>
        <v>1</v>
      </c>
      <c r="H1012" s="674"/>
      <c r="I1012" s="24">
        <f t="shared" si="176"/>
        <v>1</v>
      </c>
      <c r="J1012" s="674"/>
      <c r="K1012" s="24">
        <f t="shared" si="177"/>
        <v>1</v>
      </c>
      <c r="L1012" s="674"/>
      <c r="M1012" s="24">
        <f t="shared" si="178"/>
        <v>1</v>
      </c>
      <c r="N1012" s="674"/>
      <c r="O1012" s="24">
        <f t="shared" si="179"/>
        <v>1</v>
      </c>
      <c r="P1012" s="674"/>
      <c r="Q1012" s="24">
        <f t="shared" si="180"/>
        <v>0</v>
      </c>
      <c r="R1012" s="670">
        <f t="shared" si="181"/>
        <v>0</v>
      </c>
      <c r="S1012" s="322">
        <f t="shared" si="182"/>
        <v>0</v>
      </c>
    </row>
    <row r="1013" spans="1:19">
      <c r="A1013" s="155"/>
      <c r="B1013" s="57"/>
      <c r="C1013" s="24">
        <f t="shared" si="173"/>
        <v>1</v>
      </c>
      <c r="D1013" s="674"/>
      <c r="E1013" s="24">
        <f t="shared" si="174"/>
        <v>1</v>
      </c>
      <c r="F1013" s="674"/>
      <c r="G1013" s="24">
        <f t="shared" si="175"/>
        <v>1</v>
      </c>
      <c r="H1013" s="674"/>
      <c r="I1013" s="24">
        <f t="shared" si="176"/>
        <v>1</v>
      </c>
      <c r="J1013" s="674"/>
      <c r="K1013" s="24">
        <f t="shared" si="177"/>
        <v>1</v>
      </c>
      <c r="L1013" s="674"/>
      <c r="M1013" s="24">
        <f t="shared" si="178"/>
        <v>1</v>
      </c>
      <c r="N1013" s="674"/>
      <c r="O1013" s="24">
        <f t="shared" si="179"/>
        <v>1</v>
      </c>
      <c r="P1013" s="674"/>
      <c r="Q1013" s="24">
        <f t="shared" si="180"/>
        <v>0</v>
      </c>
      <c r="R1013" s="670">
        <f t="shared" si="181"/>
        <v>0</v>
      </c>
      <c r="S1013" s="322">
        <f t="shared" si="182"/>
        <v>0</v>
      </c>
    </row>
    <row r="1014" spans="1:19">
      <c r="A1014" s="155"/>
      <c r="B1014" s="57"/>
      <c r="C1014" s="24">
        <f t="shared" si="173"/>
        <v>1</v>
      </c>
      <c r="D1014" s="674"/>
      <c r="E1014" s="24">
        <f t="shared" si="174"/>
        <v>1</v>
      </c>
      <c r="F1014" s="674"/>
      <c r="G1014" s="24">
        <f t="shared" si="175"/>
        <v>1</v>
      </c>
      <c r="H1014" s="674"/>
      <c r="I1014" s="24">
        <f t="shared" si="176"/>
        <v>1</v>
      </c>
      <c r="J1014" s="674"/>
      <c r="K1014" s="24">
        <f t="shared" si="177"/>
        <v>1</v>
      </c>
      <c r="L1014" s="674"/>
      <c r="M1014" s="24">
        <f t="shared" si="178"/>
        <v>1</v>
      </c>
      <c r="N1014" s="674"/>
      <c r="O1014" s="24">
        <f t="shared" si="179"/>
        <v>1</v>
      </c>
      <c r="P1014" s="674"/>
      <c r="Q1014" s="24">
        <f t="shared" si="180"/>
        <v>0</v>
      </c>
      <c r="R1014" s="670">
        <f t="shared" si="181"/>
        <v>0</v>
      </c>
      <c r="S1014" s="322">
        <f t="shared" si="182"/>
        <v>0</v>
      </c>
    </row>
    <row r="1015" spans="1:19">
      <c r="A1015" s="155"/>
      <c r="B1015" s="57"/>
      <c r="C1015" s="24">
        <f t="shared" si="173"/>
        <v>1</v>
      </c>
      <c r="D1015" s="674"/>
      <c r="E1015" s="24">
        <f t="shared" si="174"/>
        <v>1</v>
      </c>
      <c r="F1015" s="674"/>
      <c r="G1015" s="24">
        <f t="shared" si="175"/>
        <v>1</v>
      </c>
      <c r="H1015" s="674"/>
      <c r="I1015" s="24">
        <f t="shared" si="176"/>
        <v>1</v>
      </c>
      <c r="J1015" s="674"/>
      <c r="K1015" s="24">
        <f t="shared" si="177"/>
        <v>1</v>
      </c>
      <c r="L1015" s="674"/>
      <c r="M1015" s="24">
        <f t="shared" si="178"/>
        <v>1</v>
      </c>
      <c r="N1015" s="674"/>
      <c r="O1015" s="24">
        <f t="shared" si="179"/>
        <v>1</v>
      </c>
      <c r="P1015" s="674"/>
      <c r="Q1015" s="24">
        <f t="shared" si="180"/>
        <v>0</v>
      </c>
      <c r="R1015" s="670">
        <f t="shared" si="181"/>
        <v>0</v>
      </c>
      <c r="S1015" s="322">
        <f t="shared" si="182"/>
        <v>0</v>
      </c>
    </row>
    <row r="1016" spans="1:19">
      <c r="A1016" s="155"/>
      <c r="B1016" s="57"/>
      <c r="C1016" s="24">
        <f t="shared" si="173"/>
        <v>1</v>
      </c>
      <c r="D1016" s="674"/>
      <c r="E1016" s="24">
        <f t="shared" si="174"/>
        <v>1</v>
      </c>
      <c r="F1016" s="674"/>
      <c r="G1016" s="24">
        <f t="shared" si="175"/>
        <v>1</v>
      </c>
      <c r="H1016" s="674"/>
      <c r="I1016" s="24">
        <f t="shared" si="176"/>
        <v>1</v>
      </c>
      <c r="J1016" s="674"/>
      <c r="K1016" s="24">
        <f t="shared" si="177"/>
        <v>1</v>
      </c>
      <c r="L1016" s="674"/>
      <c r="M1016" s="24">
        <f t="shared" si="178"/>
        <v>1</v>
      </c>
      <c r="N1016" s="674"/>
      <c r="O1016" s="24">
        <f t="shared" si="179"/>
        <v>1</v>
      </c>
      <c r="P1016" s="674"/>
      <c r="Q1016" s="24">
        <f t="shared" si="180"/>
        <v>0</v>
      </c>
      <c r="R1016" s="670">
        <f t="shared" si="181"/>
        <v>0</v>
      </c>
      <c r="S1016" s="322">
        <f t="shared" si="182"/>
        <v>0</v>
      </c>
    </row>
    <row r="1017" spans="1:19">
      <c r="A1017" s="155"/>
      <c r="B1017" s="57"/>
      <c r="C1017" s="24">
        <f t="shared" si="173"/>
        <v>1</v>
      </c>
      <c r="D1017" s="674"/>
      <c r="E1017" s="24">
        <f t="shared" si="174"/>
        <v>1</v>
      </c>
      <c r="F1017" s="674"/>
      <c r="G1017" s="24">
        <f t="shared" si="175"/>
        <v>1</v>
      </c>
      <c r="H1017" s="674"/>
      <c r="I1017" s="24">
        <f t="shared" si="176"/>
        <v>1</v>
      </c>
      <c r="J1017" s="674"/>
      <c r="K1017" s="24">
        <f t="shared" si="177"/>
        <v>1</v>
      </c>
      <c r="L1017" s="674"/>
      <c r="M1017" s="24">
        <f t="shared" si="178"/>
        <v>1</v>
      </c>
      <c r="N1017" s="674"/>
      <c r="O1017" s="24">
        <f t="shared" si="179"/>
        <v>1</v>
      </c>
      <c r="P1017" s="674"/>
      <c r="Q1017" s="24">
        <f t="shared" si="180"/>
        <v>0</v>
      </c>
      <c r="R1017" s="670">
        <f t="shared" si="181"/>
        <v>0</v>
      </c>
      <c r="S1017" s="322">
        <f t="shared" si="182"/>
        <v>0</v>
      </c>
    </row>
    <row r="1018" spans="1:19">
      <c r="A1018" s="155"/>
      <c r="B1018" s="57"/>
      <c r="C1018" s="24">
        <f t="shared" si="173"/>
        <v>1</v>
      </c>
      <c r="D1018" s="674"/>
      <c r="E1018" s="24">
        <f t="shared" si="174"/>
        <v>1</v>
      </c>
      <c r="F1018" s="674"/>
      <c r="G1018" s="24">
        <f t="shared" si="175"/>
        <v>1</v>
      </c>
      <c r="H1018" s="674"/>
      <c r="I1018" s="24">
        <f t="shared" si="176"/>
        <v>1</v>
      </c>
      <c r="J1018" s="674"/>
      <c r="K1018" s="24">
        <f t="shared" si="177"/>
        <v>1</v>
      </c>
      <c r="L1018" s="674"/>
      <c r="M1018" s="24">
        <f t="shared" si="178"/>
        <v>1</v>
      </c>
      <c r="N1018" s="674"/>
      <c r="O1018" s="24">
        <f t="shared" si="179"/>
        <v>1</v>
      </c>
      <c r="P1018" s="674"/>
      <c r="Q1018" s="24">
        <f t="shared" si="180"/>
        <v>0</v>
      </c>
      <c r="R1018" s="670">
        <f t="shared" si="181"/>
        <v>0</v>
      </c>
      <c r="S1018" s="322">
        <f t="shared" si="182"/>
        <v>0</v>
      </c>
    </row>
    <row r="1019" spans="1:19">
      <c r="A1019" s="155"/>
      <c r="B1019" s="57"/>
      <c r="C1019" s="24">
        <f t="shared" si="173"/>
        <v>1</v>
      </c>
      <c r="D1019" s="674"/>
      <c r="E1019" s="24">
        <f t="shared" si="174"/>
        <v>1</v>
      </c>
      <c r="F1019" s="674"/>
      <c r="G1019" s="24">
        <f t="shared" si="175"/>
        <v>1</v>
      </c>
      <c r="H1019" s="674"/>
      <c r="I1019" s="24">
        <f t="shared" si="176"/>
        <v>1</v>
      </c>
      <c r="J1019" s="674"/>
      <c r="K1019" s="24">
        <f t="shared" si="177"/>
        <v>1</v>
      </c>
      <c r="L1019" s="674"/>
      <c r="M1019" s="24">
        <f t="shared" si="178"/>
        <v>1</v>
      </c>
      <c r="N1019" s="674"/>
      <c r="O1019" s="24">
        <f t="shared" si="179"/>
        <v>1</v>
      </c>
      <c r="P1019" s="674"/>
      <c r="Q1019" s="24">
        <f t="shared" si="180"/>
        <v>0</v>
      </c>
      <c r="R1019" s="670">
        <f t="shared" si="181"/>
        <v>0</v>
      </c>
      <c r="S1019" s="322">
        <f t="shared" si="182"/>
        <v>0</v>
      </c>
    </row>
    <row r="1020" spans="1:19">
      <c r="A1020" s="155"/>
      <c r="B1020" s="57"/>
      <c r="C1020" s="24">
        <f t="shared" si="173"/>
        <v>1</v>
      </c>
      <c r="D1020" s="674"/>
      <c r="E1020" s="24">
        <f t="shared" si="174"/>
        <v>1</v>
      </c>
      <c r="F1020" s="674"/>
      <c r="G1020" s="24">
        <f t="shared" si="175"/>
        <v>1</v>
      </c>
      <c r="H1020" s="674"/>
      <c r="I1020" s="24">
        <f t="shared" si="176"/>
        <v>1</v>
      </c>
      <c r="J1020" s="674"/>
      <c r="K1020" s="24">
        <f t="shared" si="177"/>
        <v>1</v>
      </c>
      <c r="L1020" s="674"/>
      <c r="M1020" s="24">
        <f t="shared" si="178"/>
        <v>1</v>
      </c>
      <c r="N1020" s="674"/>
      <c r="O1020" s="24">
        <f t="shared" si="179"/>
        <v>1</v>
      </c>
      <c r="P1020" s="674"/>
      <c r="Q1020" s="24">
        <f t="shared" si="180"/>
        <v>0</v>
      </c>
      <c r="R1020" s="670">
        <f t="shared" si="181"/>
        <v>0</v>
      </c>
      <c r="S1020" s="322">
        <f t="shared" si="182"/>
        <v>0</v>
      </c>
    </row>
    <row r="1021" spans="1:19">
      <c r="A1021" s="155"/>
      <c r="B1021" s="57"/>
      <c r="C1021" s="24">
        <f t="shared" si="173"/>
        <v>1</v>
      </c>
      <c r="D1021" s="674"/>
      <c r="E1021" s="24">
        <f t="shared" si="174"/>
        <v>1</v>
      </c>
      <c r="F1021" s="674"/>
      <c r="G1021" s="24">
        <f t="shared" si="175"/>
        <v>1</v>
      </c>
      <c r="H1021" s="674"/>
      <c r="I1021" s="24">
        <f t="shared" si="176"/>
        <v>1</v>
      </c>
      <c r="J1021" s="674"/>
      <c r="K1021" s="24">
        <f t="shared" si="177"/>
        <v>1</v>
      </c>
      <c r="L1021" s="674"/>
      <c r="M1021" s="24">
        <f t="shared" si="178"/>
        <v>1</v>
      </c>
      <c r="N1021" s="674"/>
      <c r="O1021" s="24">
        <f t="shared" si="179"/>
        <v>1</v>
      </c>
      <c r="P1021" s="674"/>
      <c r="Q1021" s="24">
        <f t="shared" si="180"/>
        <v>0</v>
      </c>
      <c r="R1021" s="670">
        <f t="shared" si="181"/>
        <v>0</v>
      </c>
      <c r="S1021" s="322">
        <f t="shared" si="182"/>
        <v>0</v>
      </c>
    </row>
    <row r="1022" spans="1:19">
      <c r="A1022" s="155"/>
      <c r="B1022" s="57"/>
      <c r="C1022" s="24">
        <f t="shared" si="173"/>
        <v>1</v>
      </c>
      <c r="D1022" s="674"/>
      <c r="E1022" s="24">
        <f t="shared" si="174"/>
        <v>1</v>
      </c>
      <c r="F1022" s="674"/>
      <c r="G1022" s="24">
        <f t="shared" si="175"/>
        <v>1</v>
      </c>
      <c r="H1022" s="674"/>
      <c r="I1022" s="24">
        <f t="shared" si="176"/>
        <v>1</v>
      </c>
      <c r="J1022" s="674"/>
      <c r="K1022" s="24">
        <f t="shared" si="177"/>
        <v>1</v>
      </c>
      <c r="L1022" s="674"/>
      <c r="M1022" s="24">
        <f t="shared" si="178"/>
        <v>1</v>
      </c>
      <c r="N1022" s="674"/>
      <c r="O1022" s="24">
        <f t="shared" si="179"/>
        <v>1</v>
      </c>
      <c r="P1022" s="674"/>
      <c r="Q1022" s="24">
        <f t="shared" si="180"/>
        <v>0</v>
      </c>
      <c r="R1022" s="670">
        <f t="shared" si="181"/>
        <v>0</v>
      </c>
      <c r="S1022" s="322">
        <f t="shared" si="182"/>
        <v>0</v>
      </c>
    </row>
    <row r="1023" spans="1:19">
      <c r="A1023" s="155"/>
      <c r="B1023" s="57"/>
      <c r="C1023" s="24">
        <f t="shared" si="173"/>
        <v>1</v>
      </c>
      <c r="D1023" s="674"/>
      <c r="E1023" s="24">
        <f t="shared" si="174"/>
        <v>1</v>
      </c>
      <c r="F1023" s="674"/>
      <c r="G1023" s="24">
        <f t="shared" si="175"/>
        <v>1</v>
      </c>
      <c r="H1023" s="674"/>
      <c r="I1023" s="24">
        <f t="shared" si="176"/>
        <v>1</v>
      </c>
      <c r="J1023" s="674"/>
      <c r="K1023" s="24">
        <f t="shared" si="177"/>
        <v>1</v>
      </c>
      <c r="L1023" s="674"/>
      <c r="M1023" s="24">
        <f t="shared" si="178"/>
        <v>1</v>
      </c>
      <c r="N1023" s="674"/>
      <c r="O1023" s="24">
        <f t="shared" si="179"/>
        <v>1</v>
      </c>
      <c r="P1023" s="674"/>
      <c r="Q1023" s="24">
        <f t="shared" si="180"/>
        <v>0</v>
      </c>
      <c r="R1023" s="670">
        <f t="shared" si="181"/>
        <v>0</v>
      </c>
      <c r="S1023" s="322">
        <f t="shared" si="182"/>
        <v>0</v>
      </c>
    </row>
    <row r="1024" spans="1:19">
      <c r="A1024" s="155"/>
      <c r="B1024" s="57"/>
      <c r="C1024" s="24">
        <f t="shared" si="173"/>
        <v>1</v>
      </c>
      <c r="D1024" s="674"/>
      <c r="E1024" s="24">
        <f t="shared" si="174"/>
        <v>1</v>
      </c>
      <c r="F1024" s="674"/>
      <c r="G1024" s="24">
        <f t="shared" si="175"/>
        <v>1</v>
      </c>
      <c r="H1024" s="674"/>
      <c r="I1024" s="24">
        <f t="shared" si="176"/>
        <v>1</v>
      </c>
      <c r="J1024" s="674"/>
      <c r="K1024" s="24">
        <f t="shared" si="177"/>
        <v>1</v>
      </c>
      <c r="L1024" s="674"/>
      <c r="M1024" s="24">
        <f t="shared" si="178"/>
        <v>1</v>
      </c>
      <c r="N1024" s="674"/>
      <c r="O1024" s="24">
        <f t="shared" si="179"/>
        <v>1</v>
      </c>
      <c r="P1024" s="674"/>
      <c r="Q1024" s="24">
        <f t="shared" si="180"/>
        <v>0</v>
      </c>
      <c r="R1024" s="670">
        <f t="shared" si="181"/>
        <v>0</v>
      </c>
      <c r="S1024" s="322">
        <f t="shared" si="182"/>
        <v>0</v>
      </c>
    </row>
    <row r="1025" spans="1:19">
      <c r="A1025" s="155"/>
      <c r="B1025" s="57"/>
      <c r="C1025" s="24">
        <f t="shared" si="173"/>
        <v>1</v>
      </c>
      <c r="D1025" s="674"/>
      <c r="E1025" s="24">
        <f t="shared" si="174"/>
        <v>1</v>
      </c>
      <c r="F1025" s="674"/>
      <c r="G1025" s="24">
        <f t="shared" si="175"/>
        <v>1</v>
      </c>
      <c r="H1025" s="674"/>
      <c r="I1025" s="24">
        <f t="shared" si="176"/>
        <v>1</v>
      </c>
      <c r="J1025" s="674"/>
      <c r="K1025" s="24">
        <f t="shared" si="177"/>
        <v>1</v>
      </c>
      <c r="L1025" s="674"/>
      <c r="M1025" s="24">
        <f t="shared" si="178"/>
        <v>1</v>
      </c>
      <c r="N1025" s="674"/>
      <c r="O1025" s="24">
        <f t="shared" si="179"/>
        <v>1</v>
      </c>
      <c r="P1025" s="674"/>
      <c r="Q1025" s="24">
        <f t="shared" si="180"/>
        <v>0</v>
      </c>
      <c r="R1025" s="670">
        <f t="shared" si="181"/>
        <v>0</v>
      </c>
      <c r="S1025" s="322">
        <f t="shared" si="182"/>
        <v>0</v>
      </c>
    </row>
    <row r="1026" spans="1:19">
      <c r="A1026" s="155"/>
      <c r="B1026" s="57"/>
      <c r="C1026" s="24">
        <f t="shared" si="173"/>
        <v>1</v>
      </c>
      <c r="D1026" s="674"/>
      <c r="E1026" s="24">
        <f t="shared" si="174"/>
        <v>1</v>
      </c>
      <c r="F1026" s="674"/>
      <c r="G1026" s="24">
        <f t="shared" si="175"/>
        <v>1</v>
      </c>
      <c r="H1026" s="674"/>
      <c r="I1026" s="24">
        <f t="shared" si="176"/>
        <v>1</v>
      </c>
      <c r="J1026" s="674"/>
      <c r="K1026" s="24">
        <f t="shared" si="177"/>
        <v>1</v>
      </c>
      <c r="L1026" s="674"/>
      <c r="M1026" s="24">
        <f t="shared" si="178"/>
        <v>1</v>
      </c>
      <c r="N1026" s="674"/>
      <c r="O1026" s="24">
        <f t="shared" si="179"/>
        <v>1</v>
      </c>
      <c r="P1026" s="674"/>
      <c r="Q1026" s="24">
        <f t="shared" si="180"/>
        <v>0</v>
      </c>
      <c r="R1026" s="670">
        <f t="shared" si="181"/>
        <v>0</v>
      </c>
      <c r="S1026" s="322">
        <f t="shared" si="182"/>
        <v>0</v>
      </c>
    </row>
    <row r="1027" spans="1:19">
      <c r="A1027" s="155"/>
      <c r="B1027" s="57"/>
      <c r="C1027" s="24">
        <f t="shared" si="173"/>
        <v>1</v>
      </c>
      <c r="D1027" s="674"/>
      <c r="E1027" s="24">
        <f t="shared" si="174"/>
        <v>1</v>
      </c>
      <c r="F1027" s="674"/>
      <c r="G1027" s="24">
        <f t="shared" si="175"/>
        <v>1</v>
      </c>
      <c r="H1027" s="674"/>
      <c r="I1027" s="24">
        <f t="shared" si="176"/>
        <v>1</v>
      </c>
      <c r="J1027" s="674"/>
      <c r="K1027" s="24">
        <f t="shared" si="177"/>
        <v>1</v>
      </c>
      <c r="L1027" s="674"/>
      <c r="M1027" s="24">
        <f t="shared" si="178"/>
        <v>1</v>
      </c>
      <c r="N1027" s="674"/>
      <c r="O1027" s="24">
        <f t="shared" si="179"/>
        <v>1</v>
      </c>
      <c r="P1027" s="674"/>
      <c r="Q1027" s="24">
        <f t="shared" si="180"/>
        <v>0</v>
      </c>
      <c r="R1027" s="670">
        <f t="shared" si="181"/>
        <v>0</v>
      </c>
      <c r="S1027" s="322">
        <f t="shared" si="182"/>
        <v>0</v>
      </c>
    </row>
    <row r="1028" spans="1:19">
      <c r="A1028" s="155"/>
      <c r="B1028" s="57"/>
      <c r="C1028" s="24">
        <f t="shared" si="173"/>
        <v>1</v>
      </c>
      <c r="D1028" s="674"/>
      <c r="E1028" s="24">
        <f t="shared" si="174"/>
        <v>1</v>
      </c>
      <c r="F1028" s="674"/>
      <c r="G1028" s="24">
        <f t="shared" si="175"/>
        <v>1</v>
      </c>
      <c r="H1028" s="674"/>
      <c r="I1028" s="24">
        <f t="shared" si="176"/>
        <v>1</v>
      </c>
      <c r="J1028" s="674"/>
      <c r="K1028" s="24">
        <f t="shared" si="177"/>
        <v>1</v>
      </c>
      <c r="L1028" s="674"/>
      <c r="M1028" s="24">
        <f t="shared" si="178"/>
        <v>1</v>
      </c>
      <c r="N1028" s="674"/>
      <c r="O1028" s="24">
        <f t="shared" si="179"/>
        <v>1</v>
      </c>
      <c r="P1028" s="674"/>
      <c r="Q1028" s="24">
        <f t="shared" si="180"/>
        <v>0</v>
      </c>
      <c r="R1028" s="670">
        <f t="shared" si="181"/>
        <v>0</v>
      </c>
      <c r="S1028" s="322">
        <f t="shared" si="182"/>
        <v>0</v>
      </c>
    </row>
    <row r="1029" spans="1:19">
      <c r="A1029" s="155"/>
      <c r="B1029" s="57"/>
      <c r="C1029" s="24">
        <f t="shared" si="173"/>
        <v>1</v>
      </c>
      <c r="D1029" s="674"/>
      <c r="E1029" s="24">
        <f t="shared" si="174"/>
        <v>1</v>
      </c>
      <c r="F1029" s="674"/>
      <c r="G1029" s="24">
        <f t="shared" si="175"/>
        <v>1</v>
      </c>
      <c r="H1029" s="674"/>
      <c r="I1029" s="24">
        <f t="shared" si="176"/>
        <v>1</v>
      </c>
      <c r="J1029" s="674"/>
      <c r="K1029" s="24">
        <f t="shared" si="177"/>
        <v>1</v>
      </c>
      <c r="L1029" s="674"/>
      <c r="M1029" s="24">
        <f t="shared" si="178"/>
        <v>1</v>
      </c>
      <c r="N1029" s="674"/>
      <c r="O1029" s="24">
        <f t="shared" si="179"/>
        <v>1</v>
      </c>
      <c r="P1029" s="674"/>
      <c r="Q1029" s="24">
        <f t="shared" si="180"/>
        <v>0</v>
      </c>
      <c r="R1029" s="670">
        <f t="shared" si="181"/>
        <v>0</v>
      </c>
      <c r="S1029" s="322">
        <f t="shared" si="182"/>
        <v>0</v>
      </c>
    </row>
    <row r="1030" spans="1:19">
      <c r="A1030" s="155"/>
      <c r="B1030" s="57"/>
      <c r="C1030" s="24">
        <f t="shared" si="173"/>
        <v>1</v>
      </c>
      <c r="D1030" s="674"/>
      <c r="E1030" s="24">
        <f t="shared" si="174"/>
        <v>1</v>
      </c>
      <c r="F1030" s="674"/>
      <c r="G1030" s="24">
        <f t="shared" si="175"/>
        <v>1</v>
      </c>
      <c r="H1030" s="674"/>
      <c r="I1030" s="24">
        <f t="shared" si="176"/>
        <v>1</v>
      </c>
      <c r="J1030" s="674"/>
      <c r="K1030" s="24">
        <f t="shared" si="177"/>
        <v>1</v>
      </c>
      <c r="L1030" s="674"/>
      <c r="M1030" s="24">
        <f t="shared" si="178"/>
        <v>1</v>
      </c>
      <c r="N1030" s="674"/>
      <c r="O1030" s="24">
        <f t="shared" si="179"/>
        <v>1</v>
      </c>
      <c r="P1030" s="674"/>
      <c r="Q1030" s="24">
        <f t="shared" si="180"/>
        <v>0</v>
      </c>
      <c r="R1030" s="670">
        <f t="shared" si="181"/>
        <v>0</v>
      </c>
      <c r="S1030" s="322">
        <f t="shared" si="182"/>
        <v>0</v>
      </c>
    </row>
    <row r="1031" spans="1:19">
      <c r="A1031" s="155"/>
      <c r="B1031" s="57"/>
      <c r="C1031" s="24">
        <f t="shared" si="173"/>
        <v>1</v>
      </c>
      <c r="D1031" s="674"/>
      <c r="E1031" s="24">
        <f t="shared" si="174"/>
        <v>1</v>
      </c>
      <c r="F1031" s="674"/>
      <c r="G1031" s="24">
        <f t="shared" si="175"/>
        <v>1</v>
      </c>
      <c r="H1031" s="674"/>
      <c r="I1031" s="24">
        <f t="shared" si="176"/>
        <v>1</v>
      </c>
      <c r="J1031" s="674"/>
      <c r="K1031" s="24">
        <f t="shared" si="177"/>
        <v>1</v>
      </c>
      <c r="L1031" s="674"/>
      <c r="M1031" s="24">
        <f t="shared" si="178"/>
        <v>1</v>
      </c>
      <c r="N1031" s="674"/>
      <c r="O1031" s="24">
        <f t="shared" si="179"/>
        <v>1</v>
      </c>
      <c r="P1031" s="674"/>
      <c r="Q1031" s="24">
        <f t="shared" si="180"/>
        <v>0</v>
      </c>
      <c r="R1031" s="670">
        <f t="shared" si="181"/>
        <v>0</v>
      </c>
      <c r="S1031" s="322">
        <f t="shared" si="182"/>
        <v>0</v>
      </c>
    </row>
    <row r="1032" spans="1:19">
      <c r="A1032" s="155"/>
      <c r="B1032" s="57"/>
      <c r="C1032" s="24">
        <f t="shared" si="173"/>
        <v>1</v>
      </c>
      <c r="D1032" s="674"/>
      <c r="E1032" s="24">
        <f t="shared" si="174"/>
        <v>1</v>
      </c>
      <c r="F1032" s="674"/>
      <c r="G1032" s="24">
        <f t="shared" si="175"/>
        <v>1</v>
      </c>
      <c r="H1032" s="674"/>
      <c r="I1032" s="24">
        <f t="shared" si="176"/>
        <v>1</v>
      </c>
      <c r="J1032" s="674"/>
      <c r="K1032" s="24">
        <f t="shared" si="177"/>
        <v>1</v>
      </c>
      <c r="L1032" s="674"/>
      <c r="M1032" s="24">
        <f t="shared" si="178"/>
        <v>1</v>
      </c>
      <c r="N1032" s="674"/>
      <c r="O1032" s="24">
        <f t="shared" si="179"/>
        <v>1</v>
      </c>
      <c r="P1032" s="674"/>
      <c r="Q1032" s="24">
        <f t="shared" si="180"/>
        <v>0</v>
      </c>
      <c r="R1032" s="670">
        <f t="shared" si="181"/>
        <v>0</v>
      </c>
      <c r="S1032" s="322">
        <f t="shared" si="182"/>
        <v>0</v>
      </c>
    </row>
    <row r="1033" spans="1:19">
      <c r="A1033" s="155"/>
      <c r="B1033" s="57"/>
      <c r="C1033" s="24">
        <f t="shared" si="173"/>
        <v>1</v>
      </c>
      <c r="D1033" s="674"/>
      <c r="E1033" s="24">
        <f t="shared" si="174"/>
        <v>1</v>
      </c>
      <c r="F1033" s="674"/>
      <c r="G1033" s="24">
        <f t="shared" si="175"/>
        <v>1</v>
      </c>
      <c r="H1033" s="674"/>
      <c r="I1033" s="24">
        <f t="shared" si="176"/>
        <v>1</v>
      </c>
      <c r="J1033" s="674"/>
      <c r="K1033" s="24">
        <f t="shared" si="177"/>
        <v>1</v>
      </c>
      <c r="L1033" s="674"/>
      <c r="M1033" s="24">
        <f t="shared" si="178"/>
        <v>1</v>
      </c>
      <c r="N1033" s="674"/>
      <c r="O1033" s="24">
        <f t="shared" si="179"/>
        <v>1</v>
      </c>
      <c r="P1033" s="674"/>
      <c r="Q1033" s="24">
        <f t="shared" si="180"/>
        <v>0</v>
      </c>
      <c r="R1033" s="670">
        <f t="shared" si="181"/>
        <v>0</v>
      </c>
      <c r="S1033" s="322">
        <f t="shared" si="182"/>
        <v>0</v>
      </c>
    </row>
    <row r="1034" spans="1:19">
      <c r="A1034" s="155"/>
      <c r="B1034" s="57"/>
      <c r="C1034" s="24">
        <f t="shared" si="173"/>
        <v>1</v>
      </c>
      <c r="D1034" s="674"/>
      <c r="E1034" s="24">
        <f t="shared" si="174"/>
        <v>1</v>
      </c>
      <c r="F1034" s="674"/>
      <c r="G1034" s="24">
        <f t="shared" si="175"/>
        <v>1</v>
      </c>
      <c r="H1034" s="674"/>
      <c r="I1034" s="24">
        <f t="shared" si="176"/>
        <v>1</v>
      </c>
      <c r="J1034" s="674"/>
      <c r="K1034" s="24">
        <f t="shared" si="177"/>
        <v>1</v>
      </c>
      <c r="L1034" s="674"/>
      <c r="M1034" s="24">
        <f t="shared" si="178"/>
        <v>1</v>
      </c>
      <c r="N1034" s="674"/>
      <c r="O1034" s="24">
        <f t="shared" si="179"/>
        <v>1</v>
      </c>
      <c r="P1034" s="674"/>
      <c r="Q1034" s="24">
        <f t="shared" si="180"/>
        <v>0</v>
      </c>
      <c r="R1034" s="670">
        <f t="shared" si="181"/>
        <v>0</v>
      </c>
      <c r="S1034" s="322">
        <f t="shared" si="182"/>
        <v>0</v>
      </c>
    </row>
    <row r="1035" spans="1:19">
      <c r="A1035" s="155"/>
      <c r="B1035" s="57"/>
      <c r="C1035" s="24">
        <f t="shared" si="173"/>
        <v>1</v>
      </c>
      <c r="D1035" s="674"/>
      <c r="E1035" s="24">
        <f t="shared" si="174"/>
        <v>1</v>
      </c>
      <c r="F1035" s="674"/>
      <c r="G1035" s="24">
        <f t="shared" si="175"/>
        <v>1</v>
      </c>
      <c r="H1035" s="674"/>
      <c r="I1035" s="24">
        <f t="shared" si="176"/>
        <v>1</v>
      </c>
      <c r="J1035" s="674"/>
      <c r="K1035" s="24">
        <f t="shared" si="177"/>
        <v>1</v>
      </c>
      <c r="L1035" s="674"/>
      <c r="M1035" s="24">
        <f t="shared" si="178"/>
        <v>1</v>
      </c>
      <c r="N1035" s="674"/>
      <c r="O1035" s="24">
        <f t="shared" si="179"/>
        <v>1</v>
      </c>
      <c r="P1035" s="674"/>
      <c r="Q1035" s="24">
        <f t="shared" si="180"/>
        <v>0</v>
      </c>
      <c r="R1035" s="670">
        <f t="shared" si="181"/>
        <v>0</v>
      </c>
      <c r="S1035" s="322">
        <f t="shared" si="182"/>
        <v>0</v>
      </c>
    </row>
    <row r="1036" spans="1:19">
      <c r="A1036" s="155"/>
      <c r="B1036" s="57"/>
      <c r="C1036" s="24">
        <f t="shared" si="173"/>
        <v>1</v>
      </c>
      <c r="D1036" s="674"/>
      <c r="E1036" s="24">
        <f t="shared" si="174"/>
        <v>1</v>
      </c>
      <c r="F1036" s="674"/>
      <c r="G1036" s="24">
        <f t="shared" si="175"/>
        <v>1</v>
      </c>
      <c r="H1036" s="674"/>
      <c r="I1036" s="24">
        <f t="shared" si="176"/>
        <v>1</v>
      </c>
      <c r="J1036" s="674"/>
      <c r="K1036" s="24">
        <f t="shared" si="177"/>
        <v>1</v>
      </c>
      <c r="L1036" s="674"/>
      <c r="M1036" s="24">
        <f t="shared" si="178"/>
        <v>1</v>
      </c>
      <c r="N1036" s="674"/>
      <c r="O1036" s="24">
        <f t="shared" si="179"/>
        <v>1</v>
      </c>
      <c r="P1036" s="674"/>
      <c r="Q1036" s="24">
        <f t="shared" si="180"/>
        <v>0</v>
      </c>
      <c r="R1036" s="670">
        <f t="shared" si="181"/>
        <v>0</v>
      </c>
      <c r="S1036" s="322">
        <f t="shared" si="182"/>
        <v>0</v>
      </c>
    </row>
    <row r="1037" spans="1:19">
      <c r="A1037" s="155"/>
      <c r="B1037" s="57"/>
      <c r="C1037" s="24">
        <f t="shared" si="173"/>
        <v>1</v>
      </c>
      <c r="D1037" s="674"/>
      <c r="E1037" s="24">
        <f t="shared" si="174"/>
        <v>1</v>
      </c>
      <c r="F1037" s="674"/>
      <c r="G1037" s="24">
        <f t="shared" si="175"/>
        <v>1</v>
      </c>
      <c r="H1037" s="674"/>
      <c r="I1037" s="24">
        <f t="shared" si="176"/>
        <v>1</v>
      </c>
      <c r="J1037" s="674"/>
      <c r="K1037" s="24">
        <f t="shared" si="177"/>
        <v>1</v>
      </c>
      <c r="L1037" s="674"/>
      <c r="M1037" s="24">
        <f t="shared" si="178"/>
        <v>1</v>
      </c>
      <c r="N1037" s="674"/>
      <c r="O1037" s="24">
        <f t="shared" si="179"/>
        <v>1</v>
      </c>
      <c r="P1037" s="674"/>
      <c r="Q1037" s="24">
        <f t="shared" si="180"/>
        <v>0</v>
      </c>
      <c r="R1037" s="670">
        <f t="shared" si="181"/>
        <v>0</v>
      </c>
      <c r="S1037" s="322">
        <f t="shared" si="182"/>
        <v>0</v>
      </c>
    </row>
    <row r="1038" spans="1:19">
      <c r="A1038" s="155"/>
      <c r="B1038" s="57"/>
      <c r="C1038" s="24">
        <f t="shared" ref="C1038:C1101" si="183">IF(B1038="",1,(LOOKUP(B1038,$3:$3,$4:$4)-LOOKUP($B$24,$3:$3,$4:$4)+100)/100)</f>
        <v>1</v>
      </c>
      <c r="D1038" s="674"/>
      <c r="E1038" s="24">
        <f t="shared" ref="E1038:E1101" si="184">(SUMIF($5:$5,D1038,$6:$6)-SUMIF($5:$5,$D$24,$6:$6)+100)/100</f>
        <v>1</v>
      </c>
      <c r="F1038" s="674"/>
      <c r="G1038" s="24">
        <f t="shared" ref="G1038:G1101" si="185">(SUMIF($7:$7,F1038,$8:$8)-SUMIF($7:$7,$F$24,$8:$8)+100)/100</f>
        <v>1</v>
      </c>
      <c r="H1038" s="674"/>
      <c r="I1038" s="24">
        <f t="shared" ref="I1038:I1101" si="186">(SUMIF($9:$9,H1038,$10:$10)-SUMIF($9:$9,$H$24,$10:$10)+100)/100</f>
        <v>1</v>
      </c>
      <c r="J1038" s="674"/>
      <c r="K1038" s="24">
        <f t="shared" ref="K1038:K1101" si="187">(SUMIF($11:$11,J1038,$12:$12)-SUMIF($11:$11,$J$24,$12:$12)+100)/100</f>
        <v>1</v>
      </c>
      <c r="L1038" s="674"/>
      <c r="M1038" s="24">
        <f t="shared" ref="M1038:M1101" si="188">(SUMIF($13:$13,L1038,$14:$14)-SUMIF($13:$13,$L$24,$14:$14)+100)/100</f>
        <v>1</v>
      </c>
      <c r="N1038" s="674"/>
      <c r="O1038" s="24">
        <f t="shared" ref="O1038:O1101" si="189">(SUMIF($15:$15,N1038,$16:$16)-SUMIF($15:$15,$N$24,$16:$16)+100)/100</f>
        <v>1</v>
      </c>
      <c r="P1038" s="674"/>
      <c r="Q1038" s="24">
        <f t="shared" ref="Q1038:Q1101" si="190">(SUMIF($17:$17,P1038,$18:$18)-SUMIF($17:$17,$P$24,$18:$18)+100)/100</f>
        <v>0</v>
      </c>
      <c r="R1038" s="670">
        <f t="shared" ref="R1038:R1101" si="191">IF(B1038="",0,ROUND($R$24*C1038*E1038*G1038*I1038*K1038*M1038*O1038*Q1038,0))</f>
        <v>0</v>
      </c>
      <c r="S1038" s="322">
        <f t="shared" ref="S1038:S1101" si="192">ROUND(R1038*B1038/10000,0)</f>
        <v>0</v>
      </c>
    </row>
    <row r="1039" spans="1:19">
      <c r="A1039" s="155"/>
      <c r="B1039" s="57"/>
      <c r="C1039" s="24">
        <f t="shared" si="183"/>
        <v>1</v>
      </c>
      <c r="D1039" s="674"/>
      <c r="E1039" s="24">
        <f t="shared" si="184"/>
        <v>1</v>
      </c>
      <c r="F1039" s="674"/>
      <c r="G1039" s="24">
        <f t="shared" si="185"/>
        <v>1</v>
      </c>
      <c r="H1039" s="674"/>
      <c r="I1039" s="24">
        <f t="shared" si="186"/>
        <v>1</v>
      </c>
      <c r="J1039" s="674"/>
      <c r="K1039" s="24">
        <f t="shared" si="187"/>
        <v>1</v>
      </c>
      <c r="L1039" s="674"/>
      <c r="M1039" s="24">
        <f t="shared" si="188"/>
        <v>1</v>
      </c>
      <c r="N1039" s="674"/>
      <c r="O1039" s="24">
        <f t="shared" si="189"/>
        <v>1</v>
      </c>
      <c r="P1039" s="674"/>
      <c r="Q1039" s="24">
        <f t="shared" si="190"/>
        <v>0</v>
      </c>
      <c r="R1039" s="670">
        <f t="shared" si="191"/>
        <v>0</v>
      </c>
      <c r="S1039" s="322">
        <f t="shared" si="192"/>
        <v>0</v>
      </c>
    </row>
    <row r="1040" spans="1:19">
      <c r="A1040" s="155"/>
      <c r="B1040" s="57"/>
      <c r="C1040" s="24">
        <f t="shared" si="183"/>
        <v>1</v>
      </c>
      <c r="D1040" s="674"/>
      <c r="E1040" s="24">
        <f t="shared" si="184"/>
        <v>1</v>
      </c>
      <c r="F1040" s="674"/>
      <c r="G1040" s="24">
        <f t="shared" si="185"/>
        <v>1</v>
      </c>
      <c r="H1040" s="674"/>
      <c r="I1040" s="24">
        <f t="shared" si="186"/>
        <v>1</v>
      </c>
      <c r="J1040" s="674"/>
      <c r="K1040" s="24">
        <f t="shared" si="187"/>
        <v>1</v>
      </c>
      <c r="L1040" s="674"/>
      <c r="M1040" s="24">
        <f t="shared" si="188"/>
        <v>1</v>
      </c>
      <c r="N1040" s="674"/>
      <c r="O1040" s="24">
        <f t="shared" si="189"/>
        <v>1</v>
      </c>
      <c r="P1040" s="674"/>
      <c r="Q1040" s="24">
        <f t="shared" si="190"/>
        <v>0</v>
      </c>
      <c r="R1040" s="670">
        <f t="shared" si="191"/>
        <v>0</v>
      </c>
      <c r="S1040" s="322">
        <f t="shared" si="192"/>
        <v>0</v>
      </c>
    </row>
    <row r="1041" spans="1:19">
      <c r="A1041" s="155"/>
      <c r="B1041" s="57"/>
      <c r="C1041" s="24">
        <f t="shared" si="183"/>
        <v>1</v>
      </c>
      <c r="D1041" s="674"/>
      <c r="E1041" s="24">
        <f t="shared" si="184"/>
        <v>1</v>
      </c>
      <c r="F1041" s="674"/>
      <c r="G1041" s="24">
        <f t="shared" si="185"/>
        <v>1</v>
      </c>
      <c r="H1041" s="674"/>
      <c r="I1041" s="24">
        <f t="shared" si="186"/>
        <v>1</v>
      </c>
      <c r="J1041" s="674"/>
      <c r="K1041" s="24">
        <f t="shared" si="187"/>
        <v>1</v>
      </c>
      <c r="L1041" s="674"/>
      <c r="M1041" s="24">
        <f t="shared" si="188"/>
        <v>1</v>
      </c>
      <c r="N1041" s="674"/>
      <c r="O1041" s="24">
        <f t="shared" si="189"/>
        <v>1</v>
      </c>
      <c r="P1041" s="674"/>
      <c r="Q1041" s="24">
        <f t="shared" si="190"/>
        <v>0</v>
      </c>
      <c r="R1041" s="670">
        <f t="shared" si="191"/>
        <v>0</v>
      </c>
      <c r="S1041" s="322">
        <f t="shared" si="192"/>
        <v>0</v>
      </c>
    </row>
    <row r="1042" spans="1:19">
      <c r="A1042" s="155"/>
      <c r="B1042" s="57"/>
      <c r="C1042" s="24">
        <f t="shared" si="183"/>
        <v>1</v>
      </c>
      <c r="D1042" s="674"/>
      <c r="E1042" s="24">
        <f t="shared" si="184"/>
        <v>1</v>
      </c>
      <c r="F1042" s="674"/>
      <c r="G1042" s="24">
        <f t="shared" si="185"/>
        <v>1</v>
      </c>
      <c r="H1042" s="674"/>
      <c r="I1042" s="24">
        <f t="shared" si="186"/>
        <v>1</v>
      </c>
      <c r="J1042" s="674"/>
      <c r="K1042" s="24">
        <f t="shared" si="187"/>
        <v>1</v>
      </c>
      <c r="L1042" s="674"/>
      <c r="M1042" s="24">
        <f t="shared" si="188"/>
        <v>1</v>
      </c>
      <c r="N1042" s="674"/>
      <c r="O1042" s="24">
        <f t="shared" si="189"/>
        <v>1</v>
      </c>
      <c r="P1042" s="674"/>
      <c r="Q1042" s="24">
        <f t="shared" si="190"/>
        <v>0</v>
      </c>
      <c r="R1042" s="670">
        <f t="shared" si="191"/>
        <v>0</v>
      </c>
      <c r="S1042" s="322">
        <f t="shared" si="192"/>
        <v>0</v>
      </c>
    </row>
    <row r="1043" spans="1:19">
      <c r="A1043" s="155"/>
      <c r="B1043" s="57"/>
      <c r="C1043" s="24">
        <f t="shared" si="183"/>
        <v>1</v>
      </c>
      <c r="D1043" s="674"/>
      <c r="E1043" s="24">
        <f t="shared" si="184"/>
        <v>1</v>
      </c>
      <c r="F1043" s="674"/>
      <c r="G1043" s="24">
        <f t="shared" si="185"/>
        <v>1</v>
      </c>
      <c r="H1043" s="674"/>
      <c r="I1043" s="24">
        <f t="shared" si="186"/>
        <v>1</v>
      </c>
      <c r="J1043" s="674"/>
      <c r="K1043" s="24">
        <f t="shared" si="187"/>
        <v>1</v>
      </c>
      <c r="L1043" s="674"/>
      <c r="M1043" s="24">
        <f t="shared" si="188"/>
        <v>1</v>
      </c>
      <c r="N1043" s="674"/>
      <c r="O1043" s="24">
        <f t="shared" si="189"/>
        <v>1</v>
      </c>
      <c r="P1043" s="674"/>
      <c r="Q1043" s="24">
        <f t="shared" si="190"/>
        <v>0</v>
      </c>
      <c r="R1043" s="670">
        <f t="shared" si="191"/>
        <v>0</v>
      </c>
      <c r="S1043" s="322">
        <f t="shared" si="192"/>
        <v>0</v>
      </c>
    </row>
    <row r="1044" spans="1:19">
      <c r="A1044" s="155"/>
      <c r="B1044" s="57"/>
      <c r="C1044" s="24">
        <f t="shared" si="183"/>
        <v>1</v>
      </c>
      <c r="D1044" s="674"/>
      <c r="E1044" s="24">
        <f t="shared" si="184"/>
        <v>1</v>
      </c>
      <c r="F1044" s="674"/>
      <c r="G1044" s="24">
        <f t="shared" si="185"/>
        <v>1</v>
      </c>
      <c r="H1044" s="674"/>
      <c r="I1044" s="24">
        <f t="shared" si="186"/>
        <v>1</v>
      </c>
      <c r="J1044" s="674"/>
      <c r="K1044" s="24">
        <f t="shared" si="187"/>
        <v>1</v>
      </c>
      <c r="L1044" s="674"/>
      <c r="M1044" s="24">
        <f t="shared" si="188"/>
        <v>1</v>
      </c>
      <c r="N1044" s="674"/>
      <c r="O1044" s="24">
        <f t="shared" si="189"/>
        <v>1</v>
      </c>
      <c r="P1044" s="674"/>
      <c r="Q1044" s="24">
        <f t="shared" si="190"/>
        <v>0</v>
      </c>
      <c r="R1044" s="670">
        <f t="shared" si="191"/>
        <v>0</v>
      </c>
      <c r="S1044" s="322">
        <f t="shared" si="192"/>
        <v>0</v>
      </c>
    </row>
    <row r="1045" spans="1:19">
      <c r="A1045" s="155"/>
      <c r="B1045" s="57"/>
      <c r="C1045" s="24">
        <f t="shared" si="183"/>
        <v>1</v>
      </c>
      <c r="D1045" s="674"/>
      <c r="E1045" s="24">
        <f t="shared" si="184"/>
        <v>1</v>
      </c>
      <c r="F1045" s="674"/>
      <c r="G1045" s="24">
        <f t="shared" si="185"/>
        <v>1</v>
      </c>
      <c r="H1045" s="674"/>
      <c r="I1045" s="24">
        <f t="shared" si="186"/>
        <v>1</v>
      </c>
      <c r="J1045" s="674"/>
      <c r="K1045" s="24">
        <f t="shared" si="187"/>
        <v>1</v>
      </c>
      <c r="L1045" s="674"/>
      <c r="M1045" s="24">
        <f t="shared" si="188"/>
        <v>1</v>
      </c>
      <c r="N1045" s="674"/>
      <c r="O1045" s="24">
        <f t="shared" si="189"/>
        <v>1</v>
      </c>
      <c r="P1045" s="674"/>
      <c r="Q1045" s="24">
        <f t="shared" si="190"/>
        <v>0</v>
      </c>
      <c r="R1045" s="670">
        <f t="shared" si="191"/>
        <v>0</v>
      </c>
      <c r="S1045" s="322">
        <f t="shared" si="192"/>
        <v>0</v>
      </c>
    </row>
    <row r="1046" spans="1:19">
      <c r="A1046" s="155"/>
      <c r="B1046" s="57"/>
      <c r="C1046" s="24">
        <f t="shared" si="183"/>
        <v>1</v>
      </c>
      <c r="D1046" s="674"/>
      <c r="E1046" s="24">
        <f t="shared" si="184"/>
        <v>1</v>
      </c>
      <c r="F1046" s="674"/>
      <c r="G1046" s="24">
        <f t="shared" si="185"/>
        <v>1</v>
      </c>
      <c r="H1046" s="674"/>
      <c r="I1046" s="24">
        <f t="shared" si="186"/>
        <v>1</v>
      </c>
      <c r="J1046" s="674"/>
      <c r="K1046" s="24">
        <f t="shared" si="187"/>
        <v>1</v>
      </c>
      <c r="L1046" s="674"/>
      <c r="M1046" s="24">
        <f t="shared" si="188"/>
        <v>1</v>
      </c>
      <c r="N1046" s="674"/>
      <c r="O1046" s="24">
        <f t="shared" si="189"/>
        <v>1</v>
      </c>
      <c r="P1046" s="674"/>
      <c r="Q1046" s="24">
        <f t="shared" si="190"/>
        <v>0</v>
      </c>
      <c r="R1046" s="670">
        <f t="shared" si="191"/>
        <v>0</v>
      </c>
      <c r="S1046" s="322">
        <f t="shared" si="192"/>
        <v>0</v>
      </c>
    </row>
    <row r="1047" spans="1:19">
      <c r="A1047" s="155"/>
      <c r="B1047" s="57"/>
      <c r="C1047" s="24">
        <f t="shared" si="183"/>
        <v>1</v>
      </c>
      <c r="D1047" s="674"/>
      <c r="E1047" s="24">
        <f t="shared" si="184"/>
        <v>1</v>
      </c>
      <c r="F1047" s="674"/>
      <c r="G1047" s="24">
        <f t="shared" si="185"/>
        <v>1</v>
      </c>
      <c r="H1047" s="674"/>
      <c r="I1047" s="24">
        <f t="shared" si="186"/>
        <v>1</v>
      </c>
      <c r="J1047" s="674"/>
      <c r="K1047" s="24">
        <f t="shared" si="187"/>
        <v>1</v>
      </c>
      <c r="L1047" s="674"/>
      <c r="M1047" s="24">
        <f t="shared" si="188"/>
        <v>1</v>
      </c>
      <c r="N1047" s="674"/>
      <c r="O1047" s="24">
        <f t="shared" si="189"/>
        <v>1</v>
      </c>
      <c r="P1047" s="674"/>
      <c r="Q1047" s="24">
        <f t="shared" si="190"/>
        <v>0</v>
      </c>
      <c r="R1047" s="670">
        <f t="shared" si="191"/>
        <v>0</v>
      </c>
      <c r="S1047" s="322">
        <f t="shared" si="192"/>
        <v>0</v>
      </c>
    </row>
    <row r="1048" spans="1:19">
      <c r="A1048" s="155"/>
      <c r="B1048" s="57"/>
      <c r="C1048" s="24">
        <f t="shared" si="183"/>
        <v>1</v>
      </c>
      <c r="D1048" s="674"/>
      <c r="E1048" s="24">
        <f t="shared" si="184"/>
        <v>1</v>
      </c>
      <c r="F1048" s="674"/>
      <c r="G1048" s="24">
        <f t="shared" si="185"/>
        <v>1</v>
      </c>
      <c r="H1048" s="674"/>
      <c r="I1048" s="24">
        <f t="shared" si="186"/>
        <v>1</v>
      </c>
      <c r="J1048" s="674"/>
      <c r="K1048" s="24">
        <f t="shared" si="187"/>
        <v>1</v>
      </c>
      <c r="L1048" s="674"/>
      <c r="M1048" s="24">
        <f t="shared" si="188"/>
        <v>1</v>
      </c>
      <c r="N1048" s="674"/>
      <c r="O1048" s="24">
        <f t="shared" si="189"/>
        <v>1</v>
      </c>
      <c r="P1048" s="674"/>
      <c r="Q1048" s="24">
        <f t="shared" si="190"/>
        <v>0</v>
      </c>
      <c r="R1048" s="670">
        <f t="shared" si="191"/>
        <v>0</v>
      </c>
      <c r="S1048" s="322">
        <f t="shared" si="192"/>
        <v>0</v>
      </c>
    </row>
    <row r="1049" spans="1:19">
      <c r="A1049" s="155"/>
      <c r="B1049" s="57"/>
      <c r="C1049" s="24">
        <f t="shared" si="183"/>
        <v>1</v>
      </c>
      <c r="D1049" s="674"/>
      <c r="E1049" s="24">
        <f t="shared" si="184"/>
        <v>1</v>
      </c>
      <c r="F1049" s="674"/>
      <c r="G1049" s="24">
        <f t="shared" si="185"/>
        <v>1</v>
      </c>
      <c r="H1049" s="674"/>
      <c r="I1049" s="24">
        <f t="shared" si="186"/>
        <v>1</v>
      </c>
      <c r="J1049" s="674"/>
      <c r="K1049" s="24">
        <f t="shared" si="187"/>
        <v>1</v>
      </c>
      <c r="L1049" s="674"/>
      <c r="M1049" s="24">
        <f t="shared" si="188"/>
        <v>1</v>
      </c>
      <c r="N1049" s="674"/>
      <c r="O1049" s="24">
        <f t="shared" si="189"/>
        <v>1</v>
      </c>
      <c r="P1049" s="674"/>
      <c r="Q1049" s="24">
        <f t="shared" si="190"/>
        <v>0</v>
      </c>
      <c r="R1049" s="670">
        <f t="shared" si="191"/>
        <v>0</v>
      </c>
      <c r="S1049" s="322">
        <f t="shared" si="192"/>
        <v>0</v>
      </c>
    </row>
    <row r="1050" spans="1:19">
      <c r="A1050" s="155"/>
      <c r="B1050" s="57"/>
      <c r="C1050" s="24">
        <f t="shared" si="183"/>
        <v>1</v>
      </c>
      <c r="D1050" s="674"/>
      <c r="E1050" s="24">
        <f t="shared" si="184"/>
        <v>1</v>
      </c>
      <c r="F1050" s="674"/>
      <c r="G1050" s="24">
        <f t="shared" si="185"/>
        <v>1</v>
      </c>
      <c r="H1050" s="674"/>
      <c r="I1050" s="24">
        <f t="shared" si="186"/>
        <v>1</v>
      </c>
      <c r="J1050" s="674"/>
      <c r="K1050" s="24">
        <f t="shared" si="187"/>
        <v>1</v>
      </c>
      <c r="L1050" s="674"/>
      <c r="M1050" s="24">
        <f t="shared" si="188"/>
        <v>1</v>
      </c>
      <c r="N1050" s="674"/>
      <c r="O1050" s="24">
        <f t="shared" si="189"/>
        <v>1</v>
      </c>
      <c r="P1050" s="674"/>
      <c r="Q1050" s="24">
        <f t="shared" si="190"/>
        <v>0</v>
      </c>
      <c r="R1050" s="670">
        <f t="shared" si="191"/>
        <v>0</v>
      </c>
      <c r="S1050" s="322">
        <f t="shared" si="192"/>
        <v>0</v>
      </c>
    </row>
    <row r="1051" spans="1:19">
      <c r="A1051" s="155"/>
      <c r="B1051" s="57"/>
      <c r="C1051" s="24">
        <f t="shared" si="183"/>
        <v>1</v>
      </c>
      <c r="D1051" s="674"/>
      <c r="E1051" s="24">
        <f t="shared" si="184"/>
        <v>1</v>
      </c>
      <c r="F1051" s="674"/>
      <c r="G1051" s="24">
        <f t="shared" si="185"/>
        <v>1</v>
      </c>
      <c r="H1051" s="674"/>
      <c r="I1051" s="24">
        <f t="shared" si="186"/>
        <v>1</v>
      </c>
      <c r="J1051" s="674"/>
      <c r="K1051" s="24">
        <f t="shared" si="187"/>
        <v>1</v>
      </c>
      <c r="L1051" s="674"/>
      <c r="M1051" s="24">
        <f t="shared" si="188"/>
        <v>1</v>
      </c>
      <c r="N1051" s="674"/>
      <c r="O1051" s="24">
        <f t="shared" si="189"/>
        <v>1</v>
      </c>
      <c r="P1051" s="674"/>
      <c r="Q1051" s="24">
        <f t="shared" si="190"/>
        <v>0</v>
      </c>
      <c r="R1051" s="670">
        <f t="shared" si="191"/>
        <v>0</v>
      </c>
      <c r="S1051" s="322">
        <f t="shared" si="192"/>
        <v>0</v>
      </c>
    </row>
    <row r="1052" spans="1:19">
      <c r="A1052" s="155"/>
      <c r="B1052" s="57"/>
      <c r="C1052" s="24">
        <f t="shared" si="183"/>
        <v>1</v>
      </c>
      <c r="D1052" s="674"/>
      <c r="E1052" s="24">
        <f t="shared" si="184"/>
        <v>1</v>
      </c>
      <c r="F1052" s="674"/>
      <c r="G1052" s="24">
        <f t="shared" si="185"/>
        <v>1</v>
      </c>
      <c r="H1052" s="674"/>
      <c r="I1052" s="24">
        <f t="shared" si="186"/>
        <v>1</v>
      </c>
      <c r="J1052" s="674"/>
      <c r="K1052" s="24">
        <f t="shared" si="187"/>
        <v>1</v>
      </c>
      <c r="L1052" s="674"/>
      <c r="M1052" s="24">
        <f t="shared" si="188"/>
        <v>1</v>
      </c>
      <c r="N1052" s="674"/>
      <c r="O1052" s="24">
        <f t="shared" si="189"/>
        <v>1</v>
      </c>
      <c r="P1052" s="674"/>
      <c r="Q1052" s="24">
        <f t="shared" si="190"/>
        <v>0</v>
      </c>
      <c r="R1052" s="670">
        <f t="shared" si="191"/>
        <v>0</v>
      </c>
      <c r="S1052" s="322">
        <f t="shared" si="192"/>
        <v>0</v>
      </c>
    </row>
    <row r="1053" spans="1:19">
      <c r="A1053" s="155"/>
      <c r="B1053" s="57"/>
      <c r="C1053" s="24">
        <f t="shared" si="183"/>
        <v>1</v>
      </c>
      <c r="D1053" s="674"/>
      <c r="E1053" s="24">
        <f t="shared" si="184"/>
        <v>1</v>
      </c>
      <c r="F1053" s="674"/>
      <c r="G1053" s="24">
        <f t="shared" si="185"/>
        <v>1</v>
      </c>
      <c r="H1053" s="674"/>
      <c r="I1053" s="24">
        <f t="shared" si="186"/>
        <v>1</v>
      </c>
      <c r="J1053" s="674"/>
      <c r="K1053" s="24">
        <f t="shared" si="187"/>
        <v>1</v>
      </c>
      <c r="L1053" s="674"/>
      <c r="M1053" s="24">
        <f t="shared" si="188"/>
        <v>1</v>
      </c>
      <c r="N1053" s="674"/>
      <c r="O1053" s="24">
        <f t="shared" si="189"/>
        <v>1</v>
      </c>
      <c r="P1053" s="674"/>
      <c r="Q1053" s="24">
        <f t="shared" si="190"/>
        <v>0</v>
      </c>
      <c r="R1053" s="670">
        <f t="shared" si="191"/>
        <v>0</v>
      </c>
      <c r="S1053" s="322">
        <f t="shared" si="192"/>
        <v>0</v>
      </c>
    </row>
    <row r="1054" spans="1:19">
      <c r="A1054" s="155"/>
      <c r="B1054" s="57"/>
      <c r="C1054" s="24">
        <f t="shared" si="183"/>
        <v>1</v>
      </c>
      <c r="D1054" s="674"/>
      <c r="E1054" s="24">
        <f t="shared" si="184"/>
        <v>1</v>
      </c>
      <c r="F1054" s="674"/>
      <c r="G1054" s="24">
        <f t="shared" si="185"/>
        <v>1</v>
      </c>
      <c r="H1054" s="674"/>
      <c r="I1054" s="24">
        <f t="shared" si="186"/>
        <v>1</v>
      </c>
      <c r="J1054" s="674"/>
      <c r="K1054" s="24">
        <f t="shared" si="187"/>
        <v>1</v>
      </c>
      <c r="L1054" s="674"/>
      <c r="M1054" s="24">
        <f t="shared" si="188"/>
        <v>1</v>
      </c>
      <c r="N1054" s="674"/>
      <c r="O1054" s="24">
        <f t="shared" si="189"/>
        <v>1</v>
      </c>
      <c r="P1054" s="674"/>
      <c r="Q1054" s="24">
        <f t="shared" si="190"/>
        <v>0</v>
      </c>
      <c r="R1054" s="670">
        <f t="shared" si="191"/>
        <v>0</v>
      </c>
      <c r="S1054" s="322">
        <f t="shared" si="192"/>
        <v>0</v>
      </c>
    </row>
    <row r="1055" spans="1:19">
      <c r="A1055" s="155"/>
      <c r="B1055" s="57"/>
      <c r="C1055" s="24">
        <f t="shared" si="183"/>
        <v>1</v>
      </c>
      <c r="D1055" s="674"/>
      <c r="E1055" s="24">
        <f t="shared" si="184"/>
        <v>1</v>
      </c>
      <c r="F1055" s="674"/>
      <c r="G1055" s="24">
        <f t="shared" si="185"/>
        <v>1</v>
      </c>
      <c r="H1055" s="674"/>
      <c r="I1055" s="24">
        <f t="shared" si="186"/>
        <v>1</v>
      </c>
      <c r="J1055" s="674"/>
      <c r="K1055" s="24">
        <f t="shared" si="187"/>
        <v>1</v>
      </c>
      <c r="L1055" s="674"/>
      <c r="M1055" s="24">
        <f t="shared" si="188"/>
        <v>1</v>
      </c>
      <c r="N1055" s="674"/>
      <c r="O1055" s="24">
        <f t="shared" si="189"/>
        <v>1</v>
      </c>
      <c r="P1055" s="674"/>
      <c r="Q1055" s="24">
        <f t="shared" si="190"/>
        <v>0</v>
      </c>
      <c r="R1055" s="670">
        <f t="shared" si="191"/>
        <v>0</v>
      </c>
      <c r="S1055" s="322">
        <f t="shared" si="192"/>
        <v>0</v>
      </c>
    </row>
    <row r="1056" spans="1:19">
      <c r="A1056" s="155"/>
      <c r="B1056" s="57"/>
      <c r="C1056" s="24">
        <f t="shared" si="183"/>
        <v>1</v>
      </c>
      <c r="D1056" s="674"/>
      <c r="E1056" s="24">
        <f t="shared" si="184"/>
        <v>1</v>
      </c>
      <c r="F1056" s="674"/>
      <c r="G1056" s="24">
        <f t="shared" si="185"/>
        <v>1</v>
      </c>
      <c r="H1056" s="674"/>
      <c r="I1056" s="24">
        <f t="shared" si="186"/>
        <v>1</v>
      </c>
      <c r="J1056" s="674"/>
      <c r="K1056" s="24">
        <f t="shared" si="187"/>
        <v>1</v>
      </c>
      <c r="L1056" s="674"/>
      <c r="M1056" s="24">
        <f t="shared" si="188"/>
        <v>1</v>
      </c>
      <c r="N1056" s="674"/>
      <c r="O1056" s="24">
        <f t="shared" si="189"/>
        <v>1</v>
      </c>
      <c r="P1056" s="674"/>
      <c r="Q1056" s="24">
        <f t="shared" si="190"/>
        <v>0</v>
      </c>
      <c r="R1056" s="670">
        <f t="shared" si="191"/>
        <v>0</v>
      </c>
      <c r="S1056" s="322">
        <f t="shared" si="192"/>
        <v>0</v>
      </c>
    </row>
    <row r="1057" spans="1:19">
      <c r="A1057" s="155"/>
      <c r="B1057" s="57"/>
      <c r="C1057" s="24">
        <f t="shared" si="183"/>
        <v>1</v>
      </c>
      <c r="D1057" s="674"/>
      <c r="E1057" s="24">
        <f t="shared" si="184"/>
        <v>1</v>
      </c>
      <c r="F1057" s="674"/>
      <c r="G1057" s="24">
        <f t="shared" si="185"/>
        <v>1</v>
      </c>
      <c r="H1057" s="674"/>
      <c r="I1057" s="24">
        <f t="shared" si="186"/>
        <v>1</v>
      </c>
      <c r="J1057" s="674"/>
      <c r="K1057" s="24">
        <f t="shared" si="187"/>
        <v>1</v>
      </c>
      <c r="L1057" s="674"/>
      <c r="M1057" s="24">
        <f t="shared" si="188"/>
        <v>1</v>
      </c>
      <c r="N1057" s="674"/>
      <c r="O1057" s="24">
        <f t="shared" si="189"/>
        <v>1</v>
      </c>
      <c r="P1057" s="674"/>
      <c r="Q1057" s="24">
        <f t="shared" si="190"/>
        <v>0</v>
      </c>
      <c r="R1057" s="670">
        <f t="shared" si="191"/>
        <v>0</v>
      </c>
      <c r="S1057" s="322">
        <f t="shared" si="192"/>
        <v>0</v>
      </c>
    </row>
    <row r="1058" spans="1:19">
      <c r="A1058" s="155"/>
      <c r="B1058" s="57"/>
      <c r="C1058" s="24">
        <f t="shared" si="183"/>
        <v>1</v>
      </c>
      <c r="D1058" s="674"/>
      <c r="E1058" s="24">
        <f t="shared" si="184"/>
        <v>1</v>
      </c>
      <c r="F1058" s="674"/>
      <c r="G1058" s="24">
        <f t="shared" si="185"/>
        <v>1</v>
      </c>
      <c r="H1058" s="674"/>
      <c r="I1058" s="24">
        <f t="shared" si="186"/>
        <v>1</v>
      </c>
      <c r="J1058" s="674"/>
      <c r="K1058" s="24">
        <f t="shared" si="187"/>
        <v>1</v>
      </c>
      <c r="L1058" s="674"/>
      <c r="M1058" s="24">
        <f t="shared" si="188"/>
        <v>1</v>
      </c>
      <c r="N1058" s="674"/>
      <c r="O1058" s="24">
        <f t="shared" si="189"/>
        <v>1</v>
      </c>
      <c r="P1058" s="674"/>
      <c r="Q1058" s="24">
        <f t="shared" si="190"/>
        <v>0</v>
      </c>
      <c r="R1058" s="670">
        <f t="shared" si="191"/>
        <v>0</v>
      </c>
      <c r="S1058" s="322">
        <f t="shared" si="192"/>
        <v>0</v>
      </c>
    </row>
    <row r="1059" spans="1:19">
      <c r="A1059" s="155"/>
      <c r="B1059" s="57"/>
      <c r="C1059" s="24">
        <f t="shared" si="183"/>
        <v>1</v>
      </c>
      <c r="D1059" s="674"/>
      <c r="E1059" s="24">
        <f t="shared" si="184"/>
        <v>1</v>
      </c>
      <c r="F1059" s="674"/>
      <c r="G1059" s="24">
        <f t="shared" si="185"/>
        <v>1</v>
      </c>
      <c r="H1059" s="674"/>
      <c r="I1059" s="24">
        <f t="shared" si="186"/>
        <v>1</v>
      </c>
      <c r="J1059" s="674"/>
      <c r="K1059" s="24">
        <f t="shared" si="187"/>
        <v>1</v>
      </c>
      <c r="L1059" s="674"/>
      <c r="M1059" s="24">
        <f t="shared" si="188"/>
        <v>1</v>
      </c>
      <c r="N1059" s="674"/>
      <c r="O1059" s="24">
        <f t="shared" si="189"/>
        <v>1</v>
      </c>
      <c r="P1059" s="674"/>
      <c r="Q1059" s="24">
        <f t="shared" si="190"/>
        <v>0</v>
      </c>
      <c r="R1059" s="670">
        <f t="shared" si="191"/>
        <v>0</v>
      </c>
      <c r="S1059" s="322">
        <f t="shared" si="192"/>
        <v>0</v>
      </c>
    </row>
    <row r="1060" spans="1:19">
      <c r="A1060" s="155"/>
      <c r="B1060" s="57"/>
      <c r="C1060" s="24">
        <f t="shared" si="183"/>
        <v>1</v>
      </c>
      <c r="D1060" s="674"/>
      <c r="E1060" s="24">
        <f t="shared" si="184"/>
        <v>1</v>
      </c>
      <c r="F1060" s="674"/>
      <c r="G1060" s="24">
        <f t="shared" si="185"/>
        <v>1</v>
      </c>
      <c r="H1060" s="674"/>
      <c r="I1060" s="24">
        <f t="shared" si="186"/>
        <v>1</v>
      </c>
      <c r="J1060" s="674"/>
      <c r="K1060" s="24">
        <f t="shared" si="187"/>
        <v>1</v>
      </c>
      <c r="L1060" s="674"/>
      <c r="M1060" s="24">
        <f t="shared" si="188"/>
        <v>1</v>
      </c>
      <c r="N1060" s="674"/>
      <c r="O1060" s="24">
        <f t="shared" si="189"/>
        <v>1</v>
      </c>
      <c r="P1060" s="674"/>
      <c r="Q1060" s="24">
        <f t="shared" si="190"/>
        <v>0</v>
      </c>
      <c r="R1060" s="670">
        <f t="shared" si="191"/>
        <v>0</v>
      </c>
      <c r="S1060" s="322">
        <f t="shared" si="192"/>
        <v>0</v>
      </c>
    </row>
    <row r="1061" spans="1:19">
      <c r="A1061" s="155"/>
      <c r="B1061" s="57"/>
      <c r="C1061" s="24">
        <f t="shared" si="183"/>
        <v>1</v>
      </c>
      <c r="D1061" s="674"/>
      <c r="E1061" s="24">
        <f t="shared" si="184"/>
        <v>1</v>
      </c>
      <c r="F1061" s="674"/>
      <c r="G1061" s="24">
        <f t="shared" si="185"/>
        <v>1</v>
      </c>
      <c r="H1061" s="674"/>
      <c r="I1061" s="24">
        <f t="shared" si="186"/>
        <v>1</v>
      </c>
      <c r="J1061" s="674"/>
      <c r="K1061" s="24">
        <f t="shared" si="187"/>
        <v>1</v>
      </c>
      <c r="L1061" s="674"/>
      <c r="M1061" s="24">
        <f t="shared" si="188"/>
        <v>1</v>
      </c>
      <c r="N1061" s="674"/>
      <c r="O1061" s="24">
        <f t="shared" si="189"/>
        <v>1</v>
      </c>
      <c r="P1061" s="674"/>
      <c r="Q1061" s="24">
        <f t="shared" si="190"/>
        <v>0</v>
      </c>
      <c r="R1061" s="670">
        <f t="shared" si="191"/>
        <v>0</v>
      </c>
      <c r="S1061" s="322">
        <f t="shared" si="192"/>
        <v>0</v>
      </c>
    </row>
    <row r="1062" spans="1:19">
      <c r="A1062" s="155"/>
      <c r="B1062" s="57"/>
      <c r="C1062" s="24">
        <f t="shared" si="183"/>
        <v>1</v>
      </c>
      <c r="D1062" s="674"/>
      <c r="E1062" s="24">
        <f t="shared" si="184"/>
        <v>1</v>
      </c>
      <c r="F1062" s="674"/>
      <c r="G1062" s="24">
        <f t="shared" si="185"/>
        <v>1</v>
      </c>
      <c r="H1062" s="674"/>
      <c r="I1062" s="24">
        <f t="shared" si="186"/>
        <v>1</v>
      </c>
      <c r="J1062" s="674"/>
      <c r="K1062" s="24">
        <f t="shared" si="187"/>
        <v>1</v>
      </c>
      <c r="L1062" s="674"/>
      <c r="M1062" s="24">
        <f t="shared" si="188"/>
        <v>1</v>
      </c>
      <c r="N1062" s="674"/>
      <c r="O1062" s="24">
        <f t="shared" si="189"/>
        <v>1</v>
      </c>
      <c r="P1062" s="674"/>
      <c r="Q1062" s="24">
        <f t="shared" si="190"/>
        <v>0</v>
      </c>
      <c r="R1062" s="670">
        <f t="shared" si="191"/>
        <v>0</v>
      </c>
      <c r="S1062" s="322">
        <f t="shared" si="192"/>
        <v>0</v>
      </c>
    </row>
    <row r="1063" spans="1:19">
      <c r="A1063" s="155"/>
      <c r="B1063" s="57"/>
      <c r="C1063" s="24">
        <f t="shared" si="183"/>
        <v>1</v>
      </c>
      <c r="D1063" s="674"/>
      <c r="E1063" s="24">
        <f t="shared" si="184"/>
        <v>1</v>
      </c>
      <c r="F1063" s="674"/>
      <c r="G1063" s="24">
        <f t="shared" si="185"/>
        <v>1</v>
      </c>
      <c r="H1063" s="674"/>
      <c r="I1063" s="24">
        <f t="shared" si="186"/>
        <v>1</v>
      </c>
      <c r="J1063" s="674"/>
      <c r="K1063" s="24">
        <f t="shared" si="187"/>
        <v>1</v>
      </c>
      <c r="L1063" s="674"/>
      <c r="M1063" s="24">
        <f t="shared" si="188"/>
        <v>1</v>
      </c>
      <c r="N1063" s="674"/>
      <c r="O1063" s="24">
        <f t="shared" si="189"/>
        <v>1</v>
      </c>
      <c r="P1063" s="674"/>
      <c r="Q1063" s="24">
        <f t="shared" si="190"/>
        <v>0</v>
      </c>
      <c r="R1063" s="670">
        <f t="shared" si="191"/>
        <v>0</v>
      </c>
      <c r="S1063" s="322">
        <f t="shared" si="192"/>
        <v>0</v>
      </c>
    </row>
    <row r="1064" spans="1:19">
      <c r="A1064" s="155"/>
      <c r="B1064" s="57"/>
      <c r="C1064" s="24">
        <f t="shared" si="183"/>
        <v>1</v>
      </c>
      <c r="D1064" s="674"/>
      <c r="E1064" s="24">
        <f t="shared" si="184"/>
        <v>1</v>
      </c>
      <c r="F1064" s="674"/>
      <c r="G1064" s="24">
        <f t="shared" si="185"/>
        <v>1</v>
      </c>
      <c r="H1064" s="674"/>
      <c r="I1064" s="24">
        <f t="shared" si="186"/>
        <v>1</v>
      </c>
      <c r="J1064" s="674"/>
      <c r="K1064" s="24">
        <f t="shared" si="187"/>
        <v>1</v>
      </c>
      <c r="L1064" s="674"/>
      <c r="M1064" s="24">
        <f t="shared" si="188"/>
        <v>1</v>
      </c>
      <c r="N1064" s="674"/>
      <c r="O1064" s="24">
        <f t="shared" si="189"/>
        <v>1</v>
      </c>
      <c r="P1064" s="674"/>
      <c r="Q1064" s="24">
        <f t="shared" si="190"/>
        <v>0</v>
      </c>
      <c r="R1064" s="670">
        <f t="shared" si="191"/>
        <v>0</v>
      </c>
      <c r="S1064" s="322">
        <f t="shared" si="192"/>
        <v>0</v>
      </c>
    </row>
    <row r="1065" spans="1:19">
      <c r="A1065" s="155"/>
      <c r="B1065" s="57"/>
      <c r="C1065" s="24">
        <f t="shared" si="183"/>
        <v>1</v>
      </c>
      <c r="D1065" s="674"/>
      <c r="E1065" s="24">
        <f t="shared" si="184"/>
        <v>1</v>
      </c>
      <c r="F1065" s="674"/>
      <c r="G1065" s="24">
        <f t="shared" si="185"/>
        <v>1</v>
      </c>
      <c r="H1065" s="674"/>
      <c r="I1065" s="24">
        <f t="shared" si="186"/>
        <v>1</v>
      </c>
      <c r="J1065" s="674"/>
      <c r="K1065" s="24">
        <f t="shared" si="187"/>
        <v>1</v>
      </c>
      <c r="L1065" s="674"/>
      <c r="M1065" s="24">
        <f t="shared" si="188"/>
        <v>1</v>
      </c>
      <c r="N1065" s="674"/>
      <c r="O1065" s="24">
        <f t="shared" si="189"/>
        <v>1</v>
      </c>
      <c r="P1065" s="674"/>
      <c r="Q1065" s="24">
        <f t="shared" si="190"/>
        <v>0</v>
      </c>
      <c r="R1065" s="670">
        <f t="shared" si="191"/>
        <v>0</v>
      </c>
      <c r="S1065" s="322">
        <f t="shared" si="192"/>
        <v>0</v>
      </c>
    </row>
    <row r="1066" spans="1:19">
      <c r="A1066" s="155"/>
      <c r="B1066" s="57"/>
      <c r="C1066" s="24">
        <f t="shared" si="183"/>
        <v>1</v>
      </c>
      <c r="D1066" s="674"/>
      <c r="E1066" s="24">
        <f t="shared" si="184"/>
        <v>1</v>
      </c>
      <c r="F1066" s="674"/>
      <c r="G1066" s="24">
        <f t="shared" si="185"/>
        <v>1</v>
      </c>
      <c r="H1066" s="674"/>
      <c r="I1066" s="24">
        <f t="shared" si="186"/>
        <v>1</v>
      </c>
      <c r="J1066" s="674"/>
      <c r="K1066" s="24">
        <f t="shared" si="187"/>
        <v>1</v>
      </c>
      <c r="L1066" s="674"/>
      <c r="M1066" s="24">
        <f t="shared" si="188"/>
        <v>1</v>
      </c>
      <c r="N1066" s="674"/>
      <c r="O1066" s="24">
        <f t="shared" si="189"/>
        <v>1</v>
      </c>
      <c r="P1066" s="674"/>
      <c r="Q1066" s="24">
        <f t="shared" si="190"/>
        <v>0</v>
      </c>
      <c r="R1066" s="670">
        <f t="shared" si="191"/>
        <v>0</v>
      </c>
      <c r="S1066" s="322">
        <f t="shared" si="192"/>
        <v>0</v>
      </c>
    </row>
    <row r="1067" spans="1:19">
      <c r="A1067" s="155"/>
      <c r="B1067" s="57"/>
      <c r="C1067" s="24">
        <f t="shared" si="183"/>
        <v>1</v>
      </c>
      <c r="D1067" s="674"/>
      <c r="E1067" s="24">
        <f t="shared" si="184"/>
        <v>1</v>
      </c>
      <c r="F1067" s="674"/>
      <c r="G1067" s="24">
        <f t="shared" si="185"/>
        <v>1</v>
      </c>
      <c r="H1067" s="674"/>
      <c r="I1067" s="24">
        <f t="shared" si="186"/>
        <v>1</v>
      </c>
      <c r="J1067" s="674"/>
      <c r="K1067" s="24">
        <f t="shared" si="187"/>
        <v>1</v>
      </c>
      <c r="L1067" s="674"/>
      <c r="M1067" s="24">
        <f t="shared" si="188"/>
        <v>1</v>
      </c>
      <c r="N1067" s="674"/>
      <c r="O1067" s="24">
        <f t="shared" si="189"/>
        <v>1</v>
      </c>
      <c r="P1067" s="674"/>
      <c r="Q1067" s="24">
        <f t="shared" si="190"/>
        <v>0</v>
      </c>
      <c r="R1067" s="670">
        <f t="shared" si="191"/>
        <v>0</v>
      </c>
      <c r="S1067" s="322">
        <f t="shared" si="192"/>
        <v>0</v>
      </c>
    </row>
    <row r="1068" spans="1:19">
      <c r="A1068" s="155"/>
      <c r="B1068" s="57"/>
      <c r="C1068" s="24">
        <f t="shared" si="183"/>
        <v>1</v>
      </c>
      <c r="D1068" s="674"/>
      <c r="E1068" s="24">
        <f t="shared" si="184"/>
        <v>1</v>
      </c>
      <c r="F1068" s="674"/>
      <c r="G1068" s="24">
        <f t="shared" si="185"/>
        <v>1</v>
      </c>
      <c r="H1068" s="674"/>
      <c r="I1068" s="24">
        <f t="shared" si="186"/>
        <v>1</v>
      </c>
      <c r="J1068" s="674"/>
      <c r="K1068" s="24">
        <f t="shared" si="187"/>
        <v>1</v>
      </c>
      <c r="L1068" s="674"/>
      <c r="M1068" s="24">
        <f t="shared" si="188"/>
        <v>1</v>
      </c>
      <c r="N1068" s="674"/>
      <c r="O1068" s="24">
        <f t="shared" si="189"/>
        <v>1</v>
      </c>
      <c r="P1068" s="674"/>
      <c r="Q1068" s="24">
        <f t="shared" si="190"/>
        <v>0</v>
      </c>
      <c r="R1068" s="670">
        <f t="shared" si="191"/>
        <v>0</v>
      </c>
      <c r="S1068" s="322">
        <f t="shared" si="192"/>
        <v>0</v>
      </c>
    </row>
    <row r="1069" spans="1:19">
      <c r="A1069" s="155"/>
      <c r="B1069" s="57"/>
      <c r="C1069" s="24">
        <f t="shared" si="183"/>
        <v>1</v>
      </c>
      <c r="D1069" s="674"/>
      <c r="E1069" s="24">
        <f t="shared" si="184"/>
        <v>1</v>
      </c>
      <c r="F1069" s="674"/>
      <c r="G1069" s="24">
        <f t="shared" si="185"/>
        <v>1</v>
      </c>
      <c r="H1069" s="674"/>
      <c r="I1069" s="24">
        <f t="shared" si="186"/>
        <v>1</v>
      </c>
      <c r="J1069" s="674"/>
      <c r="K1069" s="24">
        <f t="shared" si="187"/>
        <v>1</v>
      </c>
      <c r="L1069" s="674"/>
      <c r="M1069" s="24">
        <f t="shared" si="188"/>
        <v>1</v>
      </c>
      <c r="N1069" s="674"/>
      <c r="O1069" s="24">
        <f t="shared" si="189"/>
        <v>1</v>
      </c>
      <c r="P1069" s="674"/>
      <c r="Q1069" s="24">
        <f t="shared" si="190"/>
        <v>0</v>
      </c>
      <c r="R1069" s="670">
        <f t="shared" si="191"/>
        <v>0</v>
      </c>
      <c r="S1069" s="322">
        <f t="shared" si="192"/>
        <v>0</v>
      </c>
    </row>
    <row r="1070" spans="1:19">
      <c r="A1070" s="155"/>
      <c r="B1070" s="57"/>
      <c r="C1070" s="24">
        <f t="shared" si="183"/>
        <v>1</v>
      </c>
      <c r="D1070" s="674"/>
      <c r="E1070" s="24">
        <f t="shared" si="184"/>
        <v>1</v>
      </c>
      <c r="F1070" s="674"/>
      <c r="G1070" s="24">
        <f t="shared" si="185"/>
        <v>1</v>
      </c>
      <c r="H1070" s="674"/>
      <c r="I1070" s="24">
        <f t="shared" si="186"/>
        <v>1</v>
      </c>
      <c r="J1070" s="674"/>
      <c r="K1070" s="24">
        <f t="shared" si="187"/>
        <v>1</v>
      </c>
      <c r="L1070" s="674"/>
      <c r="M1070" s="24">
        <f t="shared" si="188"/>
        <v>1</v>
      </c>
      <c r="N1070" s="674"/>
      <c r="O1070" s="24">
        <f t="shared" si="189"/>
        <v>1</v>
      </c>
      <c r="P1070" s="674"/>
      <c r="Q1070" s="24">
        <f t="shared" si="190"/>
        <v>0</v>
      </c>
      <c r="R1070" s="670">
        <f t="shared" si="191"/>
        <v>0</v>
      </c>
      <c r="S1070" s="322">
        <f t="shared" si="192"/>
        <v>0</v>
      </c>
    </row>
    <row r="1071" spans="1:19">
      <c r="A1071" s="155"/>
      <c r="B1071" s="57"/>
      <c r="C1071" s="24">
        <f t="shared" si="183"/>
        <v>1</v>
      </c>
      <c r="D1071" s="674"/>
      <c r="E1071" s="24">
        <f t="shared" si="184"/>
        <v>1</v>
      </c>
      <c r="F1071" s="674"/>
      <c r="G1071" s="24">
        <f t="shared" si="185"/>
        <v>1</v>
      </c>
      <c r="H1071" s="674"/>
      <c r="I1071" s="24">
        <f t="shared" si="186"/>
        <v>1</v>
      </c>
      <c r="J1071" s="674"/>
      <c r="K1071" s="24">
        <f t="shared" si="187"/>
        <v>1</v>
      </c>
      <c r="L1071" s="674"/>
      <c r="M1071" s="24">
        <f t="shared" si="188"/>
        <v>1</v>
      </c>
      <c r="N1071" s="674"/>
      <c r="O1071" s="24">
        <f t="shared" si="189"/>
        <v>1</v>
      </c>
      <c r="P1071" s="674"/>
      <c r="Q1071" s="24">
        <f t="shared" si="190"/>
        <v>0</v>
      </c>
      <c r="R1071" s="670">
        <f t="shared" si="191"/>
        <v>0</v>
      </c>
      <c r="S1071" s="322">
        <f t="shared" si="192"/>
        <v>0</v>
      </c>
    </row>
    <row r="1072" spans="1:19">
      <c r="A1072" s="155"/>
      <c r="B1072" s="57"/>
      <c r="C1072" s="24">
        <f t="shared" si="183"/>
        <v>1</v>
      </c>
      <c r="D1072" s="674"/>
      <c r="E1072" s="24">
        <f t="shared" si="184"/>
        <v>1</v>
      </c>
      <c r="F1072" s="674"/>
      <c r="G1072" s="24">
        <f t="shared" si="185"/>
        <v>1</v>
      </c>
      <c r="H1072" s="674"/>
      <c r="I1072" s="24">
        <f t="shared" si="186"/>
        <v>1</v>
      </c>
      <c r="J1072" s="674"/>
      <c r="K1072" s="24">
        <f t="shared" si="187"/>
        <v>1</v>
      </c>
      <c r="L1072" s="674"/>
      <c r="M1072" s="24">
        <f t="shared" si="188"/>
        <v>1</v>
      </c>
      <c r="N1072" s="674"/>
      <c r="O1072" s="24">
        <f t="shared" si="189"/>
        <v>1</v>
      </c>
      <c r="P1072" s="674"/>
      <c r="Q1072" s="24">
        <f t="shared" si="190"/>
        <v>0</v>
      </c>
      <c r="R1072" s="670">
        <f t="shared" si="191"/>
        <v>0</v>
      </c>
      <c r="S1072" s="322">
        <f t="shared" si="192"/>
        <v>0</v>
      </c>
    </row>
    <row r="1073" spans="1:19">
      <c r="A1073" s="155"/>
      <c r="B1073" s="57"/>
      <c r="C1073" s="24">
        <f t="shared" si="183"/>
        <v>1</v>
      </c>
      <c r="D1073" s="674"/>
      <c r="E1073" s="24">
        <f t="shared" si="184"/>
        <v>1</v>
      </c>
      <c r="F1073" s="674"/>
      <c r="G1073" s="24">
        <f t="shared" si="185"/>
        <v>1</v>
      </c>
      <c r="H1073" s="674"/>
      <c r="I1073" s="24">
        <f t="shared" si="186"/>
        <v>1</v>
      </c>
      <c r="J1073" s="674"/>
      <c r="K1073" s="24">
        <f t="shared" si="187"/>
        <v>1</v>
      </c>
      <c r="L1073" s="674"/>
      <c r="M1073" s="24">
        <f t="shared" si="188"/>
        <v>1</v>
      </c>
      <c r="N1073" s="674"/>
      <c r="O1073" s="24">
        <f t="shared" si="189"/>
        <v>1</v>
      </c>
      <c r="P1073" s="674"/>
      <c r="Q1073" s="24">
        <f t="shared" si="190"/>
        <v>0</v>
      </c>
      <c r="R1073" s="670">
        <f t="shared" si="191"/>
        <v>0</v>
      </c>
      <c r="S1073" s="322">
        <f t="shared" si="192"/>
        <v>0</v>
      </c>
    </row>
    <row r="1074" spans="1:19">
      <c r="A1074" s="155"/>
      <c r="B1074" s="57"/>
      <c r="C1074" s="24">
        <f t="shared" si="183"/>
        <v>1</v>
      </c>
      <c r="D1074" s="674"/>
      <c r="E1074" s="24">
        <f t="shared" si="184"/>
        <v>1</v>
      </c>
      <c r="F1074" s="674"/>
      <c r="G1074" s="24">
        <f t="shared" si="185"/>
        <v>1</v>
      </c>
      <c r="H1074" s="674"/>
      <c r="I1074" s="24">
        <f t="shared" si="186"/>
        <v>1</v>
      </c>
      <c r="J1074" s="674"/>
      <c r="K1074" s="24">
        <f t="shared" si="187"/>
        <v>1</v>
      </c>
      <c r="L1074" s="674"/>
      <c r="M1074" s="24">
        <f t="shared" si="188"/>
        <v>1</v>
      </c>
      <c r="N1074" s="674"/>
      <c r="O1074" s="24">
        <f t="shared" si="189"/>
        <v>1</v>
      </c>
      <c r="P1074" s="674"/>
      <c r="Q1074" s="24">
        <f t="shared" si="190"/>
        <v>0</v>
      </c>
      <c r="R1074" s="670">
        <f t="shared" si="191"/>
        <v>0</v>
      </c>
      <c r="S1074" s="322">
        <f t="shared" si="192"/>
        <v>0</v>
      </c>
    </row>
    <row r="1075" spans="1:19">
      <c r="A1075" s="155"/>
      <c r="B1075" s="57"/>
      <c r="C1075" s="24">
        <f t="shared" si="183"/>
        <v>1</v>
      </c>
      <c r="D1075" s="674"/>
      <c r="E1075" s="24">
        <f t="shared" si="184"/>
        <v>1</v>
      </c>
      <c r="F1075" s="674"/>
      <c r="G1075" s="24">
        <f t="shared" si="185"/>
        <v>1</v>
      </c>
      <c r="H1075" s="674"/>
      <c r="I1075" s="24">
        <f t="shared" si="186"/>
        <v>1</v>
      </c>
      <c r="J1075" s="674"/>
      <c r="K1075" s="24">
        <f t="shared" si="187"/>
        <v>1</v>
      </c>
      <c r="L1075" s="674"/>
      <c r="M1075" s="24">
        <f t="shared" si="188"/>
        <v>1</v>
      </c>
      <c r="N1075" s="674"/>
      <c r="O1075" s="24">
        <f t="shared" si="189"/>
        <v>1</v>
      </c>
      <c r="P1075" s="674"/>
      <c r="Q1075" s="24">
        <f t="shared" si="190"/>
        <v>0</v>
      </c>
      <c r="R1075" s="670">
        <f t="shared" si="191"/>
        <v>0</v>
      </c>
      <c r="S1075" s="322">
        <f t="shared" si="192"/>
        <v>0</v>
      </c>
    </row>
    <row r="1076" spans="1:19">
      <c r="A1076" s="155"/>
      <c r="B1076" s="57"/>
      <c r="C1076" s="24">
        <f t="shared" si="183"/>
        <v>1</v>
      </c>
      <c r="D1076" s="674"/>
      <c r="E1076" s="24">
        <f t="shared" si="184"/>
        <v>1</v>
      </c>
      <c r="F1076" s="674"/>
      <c r="G1076" s="24">
        <f t="shared" si="185"/>
        <v>1</v>
      </c>
      <c r="H1076" s="674"/>
      <c r="I1076" s="24">
        <f t="shared" si="186"/>
        <v>1</v>
      </c>
      <c r="J1076" s="674"/>
      <c r="K1076" s="24">
        <f t="shared" si="187"/>
        <v>1</v>
      </c>
      <c r="L1076" s="674"/>
      <c r="M1076" s="24">
        <f t="shared" si="188"/>
        <v>1</v>
      </c>
      <c r="N1076" s="674"/>
      <c r="O1076" s="24">
        <f t="shared" si="189"/>
        <v>1</v>
      </c>
      <c r="P1076" s="674"/>
      <c r="Q1076" s="24">
        <f t="shared" si="190"/>
        <v>0</v>
      </c>
      <c r="R1076" s="670">
        <f t="shared" si="191"/>
        <v>0</v>
      </c>
      <c r="S1076" s="322">
        <f t="shared" si="192"/>
        <v>0</v>
      </c>
    </row>
    <row r="1077" spans="1:19">
      <c r="A1077" s="155"/>
      <c r="B1077" s="57"/>
      <c r="C1077" s="24">
        <f t="shared" si="183"/>
        <v>1</v>
      </c>
      <c r="D1077" s="674"/>
      <c r="E1077" s="24">
        <f t="shared" si="184"/>
        <v>1</v>
      </c>
      <c r="F1077" s="674"/>
      <c r="G1077" s="24">
        <f t="shared" si="185"/>
        <v>1</v>
      </c>
      <c r="H1077" s="674"/>
      <c r="I1077" s="24">
        <f t="shared" si="186"/>
        <v>1</v>
      </c>
      <c r="J1077" s="674"/>
      <c r="K1077" s="24">
        <f t="shared" si="187"/>
        <v>1</v>
      </c>
      <c r="L1077" s="674"/>
      <c r="M1077" s="24">
        <f t="shared" si="188"/>
        <v>1</v>
      </c>
      <c r="N1077" s="674"/>
      <c r="O1077" s="24">
        <f t="shared" si="189"/>
        <v>1</v>
      </c>
      <c r="P1077" s="674"/>
      <c r="Q1077" s="24">
        <f t="shared" si="190"/>
        <v>0</v>
      </c>
      <c r="R1077" s="670">
        <f t="shared" si="191"/>
        <v>0</v>
      </c>
      <c r="S1077" s="322">
        <f t="shared" si="192"/>
        <v>0</v>
      </c>
    </row>
    <row r="1078" spans="1:19">
      <c r="A1078" s="155"/>
      <c r="B1078" s="57"/>
      <c r="C1078" s="24">
        <f t="shared" si="183"/>
        <v>1</v>
      </c>
      <c r="D1078" s="674"/>
      <c r="E1078" s="24">
        <f t="shared" si="184"/>
        <v>1</v>
      </c>
      <c r="F1078" s="674"/>
      <c r="G1078" s="24">
        <f t="shared" si="185"/>
        <v>1</v>
      </c>
      <c r="H1078" s="674"/>
      <c r="I1078" s="24">
        <f t="shared" si="186"/>
        <v>1</v>
      </c>
      <c r="J1078" s="674"/>
      <c r="K1078" s="24">
        <f t="shared" si="187"/>
        <v>1</v>
      </c>
      <c r="L1078" s="674"/>
      <c r="M1078" s="24">
        <f t="shared" si="188"/>
        <v>1</v>
      </c>
      <c r="N1078" s="674"/>
      <c r="O1078" s="24">
        <f t="shared" si="189"/>
        <v>1</v>
      </c>
      <c r="P1078" s="674"/>
      <c r="Q1078" s="24">
        <f t="shared" si="190"/>
        <v>0</v>
      </c>
      <c r="R1078" s="670">
        <f t="shared" si="191"/>
        <v>0</v>
      </c>
      <c r="S1078" s="322">
        <f t="shared" si="192"/>
        <v>0</v>
      </c>
    </row>
    <row r="1079" spans="1:19">
      <c r="A1079" s="155"/>
      <c r="B1079" s="57"/>
      <c r="C1079" s="24">
        <f t="shared" si="183"/>
        <v>1</v>
      </c>
      <c r="D1079" s="674"/>
      <c r="E1079" s="24">
        <f t="shared" si="184"/>
        <v>1</v>
      </c>
      <c r="F1079" s="674"/>
      <c r="G1079" s="24">
        <f t="shared" si="185"/>
        <v>1</v>
      </c>
      <c r="H1079" s="674"/>
      <c r="I1079" s="24">
        <f t="shared" si="186"/>
        <v>1</v>
      </c>
      <c r="J1079" s="674"/>
      <c r="K1079" s="24">
        <f t="shared" si="187"/>
        <v>1</v>
      </c>
      <c r="L1079" s="674"/>
      <c r="M1079" s="24">
        <f t="shared" si="188"/>
        <v>1</v>
      </c>
      <c r="N1079" s="674"/>
      <c r="O1079" s="24">
        <f t="shared" si="189"/>
        <v>1</v>
      </c>
      <c r="P1079" s="674"/>
      <c r="Q1079" s="24">
        <f t="shared" si="190"/>
        <v>0</v>
      </c>
      <c r="R1079" s="670">
        <f t="shared" si="191"/>
        <v>0</v>
      </c>
      <c r="S1079" s="322">
        <f t="shared" si="192"/>
        <v>0</v>
      </c>
    </row>
    <row r="1080" spans="1:19">
      <c r="A1080" s="155"/>
      <c r="B1080" s="57"/>
      <c r="C1080" s="24">
        <f t="shared" si="183"/>
        <v>1</v>
      </c>
      <c r="D1080" s="674"/>
      <c r="E1080" s="24">
        <f t="shared" si="184"/>
        <v>1</v>
      </c>
      <c r="F1080" s="674"/>
      <c r="G1080" s="24">
        <f t="shared" si="185"/>
        <v>1</v>
      </c>
      <c r="H1080" s="674"/>
      <c r="I1080" s="24">
        <f t="shared" si="186"/>
        <v>1</v>
      </c>
      <c r="J1080" s="674"/>
      <c r="K1080" s="24">
        <f t="shared" si="187"/>
        <v>1</v>
      </c>
      <c r="L1080" s="674"/>
      <c r="M1080" s="24">
        <f t="shared" si="188"/>
        <v>1</v>
      </c>
      <c r="N1080" s="674"/>
      <c r="O1080" s="24">
        <f t="shared" si="189"/>
        <v>1</v>
      </c>
      <c r="P1080" s="674"/>
      <c r="Q1080" s="24">
        <f t="shared" si="190"/>
        <v>0</v>
      </c>
      <c r="R1080" s="670">
        <f t="shared" si="191"/>
        <v>0</v>
      </c>
      <c r="S1080" s="322">
        <f t="shared" si="192"/>
        <v>0</v>
      </c>
    </row>
    <row r="1081" spans="1:19">
      <c r="A1081" s="155"/>
      <c r="B1081" s="57"/>
      <c r="C1081" s="24">
        <f t="shared" si="183"/>
        <v>1</v>
      </c>
      <c r="D1081" s="674"/>
      <c r="E1081" s="24">
        <f t="shared" si="184"/>
        <v>1</v>
      </c>
      <c r="F1081" s="674"/>
      <c r="G1081" s="24">
        <f t="shared" si="185"/>
        <v>1</v>
      </c>
      <c r="H1081" s="674"/>
      <c r="I1081" s="24">
        <f t="shared" si="186"/>
        <v>1</v>
      </c>
      <c r="J1081" s="674"/>
      <c r="K1081" s="24">
        <f t="shared" si="187"/>
        <v>1</v>
      </c>
      <c r="L1081" s="674"/>
      <c r="M1081" s="24">
        <f t="shared" si="188"/>
        <v>1</v>
      </c>
      <c r="N1081" s="674"/>
      <c r="O1081" s="24">
        <f t="shared" si="189"/>
        <v>1</v>
      </c>
      <c r="P1081" s="674"/>
      <c r="Q1081" s="24">
        <f t="shared" si="190"/>
        <v>0</v>
      </c>
      <c r="R1081" s="670">
        <f t="shared" si="191"/>
        <v>0</v>
      </c>
      <c r="S1081" s="322">
        <f t="shared" si="192"/>
        <v>0</v>
      </c>
    </row>
    <row r="1082" spans="1:19">
      <c r="A1082" s="155"/>
      <c r="B1082" s="57"/>
      <c r="C1082" s="24">
        <f t="shared" si="183"/>
        <v>1</v>
      </c>
      <c r="D1082" s="674"/>
      <c r="E1082" s="24">
        <f t="shared" si="184"/>
        <v>1</v>
      </c>
      <c r="F1082" s="674"/>
      <c r="G1082" s="24">
        <f t="shared" si="185"/>
        <v>1</v>
      </c>
      <c r="H1082" s="674"/>
      <c r="I1082" s="24">
        <f t="shared" si="186"/>
        <v>1</v>
      </c>
      <c r="J1082" s="674"/>
      <c r="K1082" s="24">
        <f t="shared" si="187"/>
        <v>1</v>
      </c>
      <c r="L1082" s="674"/>
      <c r="M1082" s="24">
        <f t="shared" si="188"/>
        <v>1</v>
      </c>
      <c r="N1082" s="674"/>
      <c r="O1082" s="24">
        <f t="shared" si="189"/>
        <v>1</v>
      </c>
      <c r="P1082" s="674"/>
      <c r="Q1082" s="24">
        <f t="shared" si="190"/>
        <v>0</v>
      </c>
      <c r="R1082" s="670">
        <f t="shared" si="191"/>
        <v>0</v>
      </c>
      <c r="S1082" s="322">
        <f t="shared" si="192"/>
        <v>0</v>
      </c>
    </row>
    <row r="1083" spans="1:19">
      <c r="A1083" s="155"/>
      <c r="B1083" s="57"/>
      <c r="C1083" s="24">
        <f t="shared" si="183"/>
        <v>1</v>
      </c>
      <c r="D1083" s="674"/>
      <c r="E1083" s="24">
        <f t="shared" si="184"/>
        <v>1</v>
      </c>
      <c r="F1083" s="674"/>
      <c r="G1083" s="24">
        <f t="shared" si="185"/>
        <v>1</v>
      </c>
      <c r="H1083" s="674"/>
      <c r="I1083" s="24">
        <f t="shared" si="186"/>
        <v>1</v>
      </c>
      <c r="J1083" s="674"/>
      <c r="K1083" s="24">
        <f t="shared" si="187"/>
        <v>1</v>
      </c>
      <c r="L1083" s="674"/>
      <c r="M1083" s="24">
        <f t="shared" si="188"/>
        <v>1</v>
      </c>
      <c r="N1083" s="674"/>
      <c r="O1083" s="24">
        <f t="shared" si="189"/>
        <v>1</v>
      </c>
      <c r="P1083" s="674"/>
      <c r="Q1083" s="24">
        <f t="shared" si="190"/>
        <v>0</v>
      </c>
      <c r="R1083" s="670">
        <f t="shared" si="191"/>
        <v>0</v>
      </c>
      <c r="S1083" s="322">
        <f t="shared" si="192"/>
        <v>0</v>
      </c>
    </row>
    <row r="1084" spans="1:19">
      <c r="A1084" s="155"/>
      <c r="B1084" s="57"/>
      <c r="C1084" s="24">
        <f t="shared" si="183"/>
        <v>1</v>
      </c>
      <c r="D1084" s="674"/>
      <c r="E1084" s="24">
        <f t="shared" si="184"/>
        <v>1</v>
      </c>
      <c r="F1084" s="674"/>
      <c r="G1084" s="24">
        <f t="shared" si="185"/>
        <v>1</v>
      </c>
      <c r="H1084" s="674"/>
      <c r="I1084" s="24">
        <f t="shared" si="186"/>
        <v>1</v>
      </c>
      <c r="J1084" s="674"/>
      <c r="K1084" s="24">
        <f t="shared" si="187"/>
        <v>1</v>
      </c>
      <c r="L1084" s="674"/>
      <c r="M1084" s="24">
        <f t="shared" si="188"/>
        <v>1</v>
      </c>
      <c r="N1084" s="674"/>
      <c r="O1084" s="24">
        <f t="shared" si="189"/>
        <v>1</v>
      </c>
      <c r="P1084" s="674"/>
      <c r="Q1084" s="24">
        <f t="shared" si="190"/>
        <v>0</v>
      </c>
      <c r="R1084" s="670">
        <f t="shared" si="191"/>
        <v>0</v>
      </c>
      <c r="S1084" s="322">
        <f t="shared" si="192"/>
        <v>0</v>
      </c>
    </row>
    <row r="1085" spans="1:19">
      <c r="A1085" s="155"/>
      <c r="B1085" s="57"/>
      <c r="C1085" s="24">
        <f t="shared" si="183"/>
        <v>1</v>
      </c>
      <c r="D1085" s="674"/>
      <c r="E1085" s="24">
        <f t="shared" si="184"/>
        <v>1</v>
      </c>
      <c r="F1085" s="674"/>
      <c r="G1085" s="24">
        <f t="shared" si="185"/>
        <v>1</v>
      </c>
      <c r="H1085" s="674"/>
      <c r="I1085" s="24">
        <f t="shared" si="186"/>
        <v>1</v>
      </c>
      <c r="J1085" s="674"/>
      <c r="K1085" s="24">
        <f t="shared" si="187"/>
        <v>1</v>
      </c>
      <c r="L1085" s="674"/>
      <c r="M1085" s="24">
        <f t="shared" si="188"/>
        <v>1</v>
      </c>
      <c r="N1085" s="674"/>
      <c r="O1085" s="24">
        <f t="shared" si="189"/>
        <v>1</v>
      </c>
      <c r="P1085" s="674"/>
      <c r="Q1085" s="24">
        <f t="shared" si="190"/>
        <v>0</v>
      </c>
      <c r="R1085" s="670">
        <f t="shared" si="191"/>
        <v>0</v>
      </c>
      <c r="S1085" s="322">
        <f t="shared" si="192"/>
        <v>0</v>
      </c>
    </row>
    <row r="1086" spans="1:19">
      <c r="A1086" s="155"/>
      <c r="B1086" s="57"/>
      <c r="C1086" s="24">
        <f t="shared" si="183"/>
        <v>1</v>
      </c>
      <c r="D1086" s="674"/>
      <c r="E1086" s="24">
        <f t="shared" si="184"/>
        <v>1</v>
      </c>
      <c r="F1086" s="674"/>
      <c r="G1086" s="24">
        <f t="shared" si="185"/>
        <v>1</v>
      </c>
      <c r="H1086" s="674"/>
      <c r="I1086" s="24">
        <f t="shared" si="186"/>
        <v>1</v>
      </c>
      <c r="J1086" s="674"/>
      <c r="K1086" s="24">
        <f t="shared" si="187"/>
        <v>1</v>
      </c>
      <c r="L1086" s="674"/>
      <c r="M1086" s="24">
        <f t="shared" si="188"/>
        <v>1</v>
      </c>
      <c r="N1086" s="674"/>
      <c r="O1086" s="24">
        <f t="shared" si="189"/>
        <v>1</v>
      </c>
      <c r="P1086" s="674"/>
      <c r="Q1086" s="24">
        <f t="shared" si="190"/>
        <v>0</v>
      </c>
      <c r="R1086" s="670">
        <f t="shared" si="191"/>
        <v>0</v>
      </c>
      <c r="S1086" s="322">
        <f t="shared" si="192"/>
        <v>0</v>
      </c>
    </row>
    <row r="1087" spans="1:19">
      <c r="A1087" s="155"/>
      <c r="B1087" s="57"/>
      <c r="C1087" s="24">
        <f t="shared" si="183"/>
        <v>1</v>
      </c>
      <c r="D1087" s="674"/>
      <c r="E1087" s="24">
        <f t="shared" si="184"/>
        <v>1</v>
      </c>
      <c r="F1087" s="674"/>
      <c r="G1087" s="24">
        <f t="shared" si="185"/>
        <v>1</v>
      </c>
      <c r="H1087" s="674"/>
      <c r="I1087" s="24">
        <f t="shared" si="186"/>
        <v>1</v>
      </c>
      <c r="J1087" s="674"/>
      <c r="K1087" s="24">
        <f t="shared" si="187"/>
        <v>1</v>
      </c>
      <c r="L1087" s="674"/>
      <c r="M1087" s="24">
        <f t="shared" si="188"/>
        <v>1</v>
      </c>
      <c r="N1087" s="674"/>
      <c r="O1087" s="24">
        <f t="shared" si="189"/>
        <v>1</v>
      </c>
      <c r="P1087" s="674"/>
      <c r="Q1087" s="24">
        <f t="shared" si="190"/>
        <v>0</v>
      </c>
      <c r="R1087" s="670">
        <f t="shared" si="191"/>
        <v>0</v>
      </c>
      <c r="S1087" s="322">
        <f t="shared" si="192"/>
        <v>0</v>
      </c>
    </row>
    <row r="1088" spans="1:19">
      <c r="A1088" s="155"/>
      <c r="B1088" s="57"/>
      <c r="C1088" s="24">
        <f t="shared" si="183"/>
        <v>1</v>
      </c>
      <c r="D1088" s="674"/>
      <c r="E1088" s="24">
        <f t="shared" si="184"/>
        <v>1</v>
      </c>
      <c r="F1088" s="674"/>
      <c r="G1088" s="24">
        <f t="shared" si="185"/>
        <v>1</v>
      </c>
      <c r="H1088" s="674"/>
      <c r="I1088" s="24">
        <f t="shared" si="186"/>
        <v>1</v>
      </c>
      <c r="J1088" s="674"/>
      <c r="K1088" s="24">
        <f t="shared" si="187"/>
        <v>1</v>
      </c>
      <c r="L1088" s="674"/>
      <c r="M1088" s="24">
        <f t="shared" si="188"/>
        <v>1</v>
      </c>
      <c r="N1088" s="674"/>
      <c r="O1088" s="24">
        <f t="shared" si="189"/>
        <v>1</v>
      </c>
      <c r="P1088" s="674"/>
      <c r="Q1088" s="24">
        <f t="shared" si="190"/>
        <v>0</v>
      </c>
      <c r="R1088" s="670">
        <f t="shared" si="191"/>
        <v>0</v>
      </c>
      <c r="S1088" s="322">
        <f t="shared" si="192"/>
        <v>0</v>
      </c>
    </row>
    <row r="1089" spans="1:19">
      <c r="A1089" s="155"/>
      <c r="B1089" s="57"/>
      <c r="C1089" s="24">
        <f t="shared" si="183"/>
        <v>1</v>
      </c>
      <c r="D1089" s="674"/>
      <c r="E1089" s="24">
        <f t="shared" si="184"/>
        <v>1</v>
      </c>
      <c r="F1089" s="674"/>
      <c r="G1089" s="24">
        <f t="shared" si="185"/>
        <v>1</v>
      </c>
      <c r="H1089" s="674"/>
      <c r="I1089" s="24">
        <f t="shared" si="186"/>
        <v>1</v>
      </c>
      <c r="J1089" s="674"/>
      <c r="K1089" s="24">
        <f t="shared" si="187"/>
        <v>1</v>
      </c>
      <c r="L1089" s="674"/>
      <c r="M1089" s="24">
        <f t="shared" si="188"/>
        <v>1</v>
      </c>
      <c r="N1089" s="674"/>
      <c r="O1089" s="24">
        <f t="shared" si="189"/>
        <v>1</v>
      </c>
      <c r="P1089" s="674"/>
      <c r="Q1089" s="24">
        <f t="shared" si="190"/>
        <v>0</v>
      </c>
      <c r="R1089" s="670">
        <f t="shared" si="191"/>
        <v>0</v>
      </c>
      <c r="S1089" s="322">
        <f t="shared" si="192"/>
        <v>0</v>
      </c>
    </row>
    <row r="1090" spans="1:19">
      <c r="A1090" s="155"/>
      <c r="B1090" s="57"/>
      <c r="C1090" s="24">
        <f t="shared" si="183"/>
        <v>1</v>
      </c>
      <c r="D1090" s="674"/>
      <c r="E1090" s="24">
        <f t="shared" si="184"/>
        <v>1</v>
      </c>
      <c r="F1090" s="674"/>
      <c r="G1090" s="24">
        <f t="shared" si="185"/>
        <v>1</v>
      </c>
      <c r="H1090" s="674"/>
      <c r="I1090" s="24">
        <f t="shared" si="186"/>
        <v>1</v>
      </c>
      <c r="J1090" s="674"/>
      <c r="K1090" s="24">
        <f t="shared" si="187"/>
        <v>1</v>
      </c>
      <c r="L1090" s="674"/>
      <c r="M1090" s="24">
        <f t="shared" si="188"/>
        <v>1</v>
      </c>
      <c r="N1090" s="674"/>
      <c r="O1090" s="24">
        <f t="shared" si="189"/>
        <v>1</v>
      </c>
      <c r="P1090" s="674"/>
      <c r="Q1090" s="24">
        <f t="shared" si="190"/>
        <v>0</v>
      </c>
      <c r="R1090" s="670">
        <f t="shared" si="191"/>
        <v>0</v>
      </c>
      <c r="S1090" s="322">
        <f t="shared" si="192"/>
        <v>0</v>
      </c>
    </row>
    <row r="1091" spans="1:19">
      <c r="A1091" s="155"/>
      <c r="B1091" s="57"/>
      <c r="C1091" s="24">
        <f t="shared" si="183"/>
        <v>1</v>
      </c>
      <c r="D1091" s="674"/>
      <c r="E1091" s="24">
        <f t="shared" si="184"/>
        <v>1</v>
      </c>
      <c r="F1091" s="674"/>
      <c r="G1091" s="24">
        <f t="shared" si="185"/>
        <v>1</v>
      </c>
      <c r="H1091" s="674"/>
      <c r="I1091" s="24">
        <f t="shared" si="186"/>
        <v>1</v>
      </c>
      <c r="J1091" s="674"/>
      <c r="K1091" s="24">
        <f t="shared" si="187"/>
        <v>1</v>
      </c>
      <c r="L1091" s="674"/>
      <c r="M1091" s="24">
        <f t="shared" si="188"/>
        <v>1</v>
      </c>
      <c r="N1091" s="674"/>
      <c r="O1091" s="24">
        <f t="shared" si="189"/>
        <v>1</v>
      </c>
      <c r="P1091" s="674"/>
      <c r="Q1091" s="24">
        <f t="shared" si="190"/>
        <v>0</v>
      </c>
      <c r="R1091" s="670">
        <f t="shared" si="191"/>
        <v>0</v>
      </c>
      <c r="S1091" s="322">
        <f t="shared" si="192"/>
        <v>0</v>
      </c>
    </row>
    <row r="1092" spans="1:19">
      <c r="A1092" s="155"/>
      <c r="B1092" s="57"/>
      <c r="C1092" s="24">
        <f t="shared" si="183"/>
        <v>1</v>
      </c>
      <c r="D1092" s="674"/>
      <c r="E1092" s="24">
        <f t="shared" si="184"/>
        <v>1</v>
      </c>
      <c r="F1092" s="674"/>
      <c r="G1092" s="24">
        <f t="shared" si="185"/>
        <v>1</v>
      </c>
      <c r="H1092" s="674"/>
      <c r="I1092" s="24">
        <f t="shared" si="186"/>
        <v>1</v>
      </c>
      <c r="J1092" s="674"/>
      <c r="K1092" s="24">
        <f t="shared" si="187"/>
        <v>1</v>
      </c>
      <c r="L1092" s="674"/>
      <c r="M1092" s="24">
        <f t="shared" si="188"/>
        <v>1</v>
      </c>
      <c r="N1092" s="674"/>
      <c r="O1092" s="24">
        <f t="shared" si="189"/>
        <v>1</v>
      </c>
      <c r="P1092" s="674"/>
      <c r="Q1092" s="24">
        <f t="shared" si="190"/>
        <v>0</v>
      </c>
      <c r="R1092" s="670">
        <f t="shared" si="191"/>
        <v>0</v>
      </c>
      <c r="S1092" s="322">
        <f t="shared" si="192"/>
        <v>0</v>
      </c>
    </row>
    <row r="1093" spans="1:19">
      <c r="A1093" s="155"/>
      <c r="B1093" s="57"/>
      <c r="C1093" s="24">
        <f t="shared" si="183"/>
        <v>1</v>
      </c>
      <c r="D1093" s="674"/>
      <c r="E1093" s="24">
        <f t="shared" si="184"/>
        <v>1</v>
      </c>
      <c r="F1093" s="674"/>
      <c r="G1093" s="24">
        <f t="shared" si="185"/>
        <v>1</v>
      </c>
      <c r="H1093" s="674"/>
      <c r="I1093" s="24">
        <f t="shared" si="186"/>
        <v>1</v>
      </c>
      <c r="J1093" s="674"/>
      <c r="K1093" s="24">
        <f t="shared" si="187"/>
        <v>1</v>
      </c>
      <c r="L1093" s="674"/>
      <c r="M1093" s="24">
        <f t="shared" si="188"/>
        <v>1</v>
      </c>
      <c r="N1093" s="674"/>
      <c r="O1093" s="24">
        <f t="shared" si="189"/>
        <v>1</v>
      </c>
      <c r="P1093" s="674"/>
      <c r="Q1093" s="24">
        <f t="shared" si="190"/>
        <v>0</v>
      </c>
      <c r="R1093" s="670">
        <f t="shared" si="191"/>
        <v>0</v>
      </c>
      <c r="S1093" s="322">
        <f t="shared" si="192"/>
        <v>0</v>
      </c>
    </row>
    <row r="1094" spans="1:19">
      <c r="A1094" s="155"/>
      <c r="B1094" s="57"/>
      <c r="C1094" s="24">
        <f t="shared" si="183"/>
        <v>1</v>
      </c>
      <c r="D1094" s="674"/>
      <c r="E1094" s="24">
        <f t="shared" si="184"/>
        <v>1</v>
      </c>
      <c r="F1094" s="674"/>
      <c r="G1094" s="24">
        <f t="shared" si="185"/>
        <v>1</v>
      </c>
      <c r="H1094" s="674"/>
      <c r="I1094" s="24">
        <f t="shared" si="186"/>
        <v>1</v>
      </c>
      <c r="J1094" s="674"/>
      <c r="K1094" s="24">
        <f t="shared" si="187"/>
        <v>1</v>
      </c>
      <c r="L1094" s="674"/>
      <c r="M1094" s="24">
        <f t="shared" si="188"/>
        <v>1</v>
      </c>
      <c r="N1094" s="674"/>
      <c r="O1094" s="24">
        <f t="shared" si="189"/>
        <v>1</v>
      </c>
      <c r="P1094" s="674"/>
      <c r="Q1094" s="24">
        <f t="shared" si="190"/>
        <v>0</v>
      </c>
      <c r="R1094" s="670">
        <f t="shared" si="191"/>
        <v>0</v>
      </c>
      <c r="S1094" s="322">
        <f t="shared" si="192"/>
        <v>0</v>
      </c>
    </row>
    <row r="1095" spans="1:19">
      <c r="A1095" s="155"/>
      <c r="B1095" s="57"/>
      <c r="C1095" s="24">
        <f t="shared" si="183"/>
        <v>1</v>
      </c>
      <c r="D1095" s="674"/>
      <c r="E1095" s="24">
        <f t="shared" si="184"/>
        <v>1</v>
      </c>
      <c r="F1095" s="674"/>
      <c r="G1095" s="24">
        <f t="shared" si="185"/>
        <v>1</v>
      </c>
      <c r="H1095" s="674"/>
      <c r="I1095" s="24">
        <f t="shared" si="186"/>
        <v>1</v>
      </c>
      <c r="J1095" s="674"/>
      <c r="K1095" s="24">
        <f t="shared" si="187"/>
        <v>1</v>
      </c>
      <c r="L1095" s="674"/>
      <c r="M1095" s="24">
        <f t="shared" si="188"/>
        <v>1</v>
      </c>
      <c r="N1095" s="674"/>
      <c r="O1095" s="24">
        <f t="shared" si="189"/>
        <v>1</v>
      </c>
      <c r="P1095" s="674"/>
      <c r="Q1095" s="24">
        <f t="shared" si="190"/>
        <v>0</v>
      </c>
      <c r="R1095" s="670">
        <f t="shared" si="191"/>
        <v>0</v>
      </c>
      <c r="S1095" s="322">
        <f t="shared" si="192"/>
        <v>0</v>
      </c>
    </row>
    <row r="1096" spans="1:19">
      <c r="A1096" s="155"/>
      <c r="B1096" s="57"/>
      <c r="C1096" s="24">
        <f t="shared" si="183"/>
        <v>1</v>
      </c>
      <c r="D1096" s="674"/>
      <c r="E1096" s="24">
        <f t="shared" si="184"/>
        <v>1</v>
      </c>
      <c r="F1096" s="674"/>
      <c r="G1096" s="24">
        <f t="shared" si="185"/>
        <v>1</v>
      </c>
      <c r="H1096" s="674"/>
      <c r="I1096" s="24">
        <f t="shared" si="186"/>
        <v>1</v>
      </c>
      <c r="J1096" s="674"/>
      <c r="K1096" s="24">
        <f t="shared" si="187"/>
        <v>1</v>
      </c>
      <c r="L1096" s="674"/>
      <c r="M1096" s="24">
        <f t="shared" si="188"/>
        <v>1</v>
      </c>
      <c r="N1096" s="674"/>
      <c r="O1096" s="24">
        <f t="shared" si="189"/>
        <v>1</v>
      </c>
      <c r="P1096" s="674"/>
      <c r="Q1096" s="24">
        <f t="shared" si="190"/>
        <v>0</v>
      </c>
      <c r="R1096" s="670">
        <f t="shared" si="191"/>
        <v>0</v>
      </c>
      <c r="S1096" s="322">
        <f t="shared" si="192"/>
        <v>0</v>
      </c>
    </row>
    <row r="1097" spans="1:19">
      <c r="A1097" s="155"/>
      <c r="B1097" s="57"/>
      <c r="C1097" s="24">
        <f t="shared" si="183"/>
        <v>1</v>
      </c>
      <c r="D1097" s="674"/>
      <c r="E1097" s="24">
        <f t="shared" si="184"/>
        <v>1</v>
      </c>
      <c r="F1097" s="674"/>
      <c r="G1097" s="24">
        <f t="shared" si="185"/>
        <v>1</v>
      </c>
      <c r="H1097" s="674"/>
      <c r="I1097" s="24">
        <f t="shared" si="186"/>
        <v>1</v>
      </c>
      <c r="J1097" s="674"/>
      <c r="K1097" s="24">
        <f t="shared" si="187"/>
        <v>1</v>
      </c>
      <c r="L1097" s="674"/>
      <c r="M1097" s="24">
        <f t="shared" si="188"/>
        <v>1</v>
      </c>
      <c r="N1097" s="674"/>
      <c r="O1097" s="24">
        <f t="shared" si="189"/>
        <v>1</v>
      </c>
      <c r="P1097" s="674"/>
      <c r="Q1097" s="24">
        <f t="shared" si="190"/>
        <v>0</v>
      </c>
      <c r="R1097" s="670">
        <f t="shared" si="191"/>
        <v>0</v>
      </c>
      <c r="S1097" s="322">
        <f t="shared" si="192"/>
        <v>0</v>
      </c>
    </row>
    <row r="1098" spans="1:19">
      <c r="A1098" s="155"/>
      <c r="B1098" s="57"/>
      <c r="C1098" s="24">
        <f t="shared" si="183"/>
        <v>1</v>
      </c>
      <c r="D1098" s="674"/>
      <c r="E1098" s="24">
        <f t="shared" si="184"/>
        <v>1</v>
      </c>
      <c r="F1098" s="674"/>
      <c r="G1098" s="24">
        <f t="shared" si="185"/>
        <v>1</v>
      </c>
      <c r="H1098" s="674"/>
      <c r="I1098" s="24">
        <f t="shared" si="186"/>
        <v>1</v>
      </c>
      <c r="J1098" s="674"/>
      <c r="K1098" s="24">
        <f t="shared" si="187"/>
        <v>1</v>
      </c>
      <c r="L1098" s="674"/>
      <c r="M1098" s="24">
        <f t="shared" si="188"/>
        <v>1</v>
      </c>
      <c r="N1098" s="674"/>
      <c r="O1098" s="24">
        <f t="shared" si="189"/>
        <v>1</v>
      </c>
      <c r="P1098" s="674"/>
      <c r="Q1098" s="24">
        <f t="shared" si="190"/>
        <v>0</v>
      </c>
      <c r="R1098" s="670">
        <f t="shared" si="191"/>
        <v>0</v>
      </c>
      <c r="S1098" s="322">
        <f t="shared" si="192"/>
        <v>0</v>
      </c>
    </row>
    <row r="1099" spans="1:19">
      <c r="A1099" s="155"/>
      <c r="B1099" s="57"/>
      <c r="C1099" s="24">
        <f t="shared" si="183"/>
        <v>1</v>
      </c>
      <c r="D1099" s="674"/>
      <c r="E1099" s="24">
        <f t="shared" si="184"/>
        <v>1</v>
      </c>
      <c r="F1099" s="674"/>
      <c r="G1099" s="24">
        <f t="shared" si="185"/>
        <v>1</v>
      </c>
      <c r="H1099" s="674"/>
      <c r="I1099" s="24">
        <f t="shared" si="186"/>
        <v>1</v>
      </c>
      <c r="J1099" s="674"/>
      <c r="K1099" s="24">
        <f t="shared" si="187"/>
        <v>1</v>
      </c>
      <c r="L1099" s="674"/>
      <c r="M1099" s="24">
        <f t="shared" si="188"/>
        <v>1</v>
      </c>
      <c r="N1099" s="674"/>
      <c r="O1099" s="24">
        <f t="shared" si="189"/>
        <v>1</v>
      </c>
      <c r="P1099" s="674"/>
      <c r="Q1099" s="24">
        <f t="shared" si="190"/>
        <v>0</v>
      </c>
      <c r="R1099" s="670">
        <f t="shared" si="191"/>
        <v>0</v>
      </c>
      <c r="S1099" s="322">
        <f t="shared" si="192"/>
        <v>0</v>
      </c>
    </row>
    <row r="1100" spans="1:19">
      <c r="A1100" s="155"/>
      <c r="B1100" s="57"/>
      <c r="C1100" s="24">
        <f t="shared" si="183"/>
        <v>1</v>
      </c>
      <c r="D1100" s="674"/>
      <c r="E1100" s="24">
        <f t="shared" si="184"/>
        <v>1</v>
      </c>
      <c r="F1100" s="674"/>
      <c r="G1100" s="24">
        <f t="shared" si="185"/>
        <v>1</v>
      </c>
      <c r="H1100" s="674"/>
      <c r="I1100" s="24">
        <f t="shared" si="186"/>
        <v>1</v>
      </c>
      <c r="J1100" s="674"/>
      <c r="K1100" s="24">
        <f t="shared" si="187"/>
        <v>1</v>
      </c>
      <c r="L1100" s="674"/>
      <c r="M1100" s="24">
        <f t="shared" si="188"/>
        <v>1</v>
      </c>
      <c r="N1100" s="674"/>
      <c r="O1100" s="24">
        <f t="shared" si="189"/>
        <v>1</v>
      </c>
      <c r="P1100" s="674"/>
      <c r="Q1100" s="24">
        <f t="shared" si="190"/>
        <v>0</v>
      </c>
      <c r="R1100" s="670">
        <f t="shared" si="191"/>
        <v>0</v>
      </c>
      <c r="S1100" s="322">
        <f t="shared" si="192"/>
        <v>0</v>
      </c>
    </row>
    <row r="1101" spans="1:19">
      <c r="A1101" s="155"/>
      <c r="B1101" s="57"/>
      <c r="C1101" s="24">
        <f t="shared" si="183"/>
        <v>1</v>
      </c>
      <c r="D1101" s="674"/>
      <c r="E1101" s="24">
        <f t="shared" si="184"/>
        <v>1</v>
      </c>
      <c r="F1101" s="674"/>
      <c r="G1101" s="24">
        <f t="shared" si="185"/>
        <v>1</v>
      </c>
      <c r="H1101" s="674"/>
      <c r="I1101" s="24">
        <f t="shared" si="186"/>
        <v>1</v>
      </c>
      <c r="J1101" s="674"/>
      <c r="K1101" s="24">
        <f t="shared" si="187"/>
        <v>1</v>
      </c>
      <c r="L1101" s="674"/>
      <c r="M1101" s="24">
        <f t="shared" si="188"/>
        <v>1</v>
      </c>
      <c r="N1101" s="674"/>
      <c r="O1101" s="24">
        <f t="shared" si="189"/>
        <v>1</v>
      </c>
      <c r="P1101" s="674"/>
      <c r="Q1101" s="24">
        <f t="shared" si="190"/>
        <v>0</v>
      </c>
      <c r="R1101" s="670">
        <f t="shared" si="191"/>
        <v>0</v>
      </c>
      <c r="S1101" s="322">
        <f t="shared" si="192"/>
        <v>0</v>
      </c>
    </row>
    <row r="1102" spans="1:19">
      <c r="A1102" s="155"/>
      <c r="B1102" s="57"/>
      <c r="C1102" s="24">
        <f t="shared" ref="C1102:C1165" si="193">IF(B1102="",1,(LOOKUP(B1102,$3:$3,$4:$4)-LOOKUP($B$24,$3:$3,$4:$4)+100)/100)</f>
        <v>1</v>
      </c>
      <c r="D1102" s="674"/>
      <c r="E1102" s="24">
        <f t="shared" ref="E1102:E1165" si="194">(SUMIF($5:$5,D1102,$6:$6)-SUMIF($5:$5,$D$24,$6:$6)+100)/100</f>
        <v>1</v>
      </c>
      <c r="F1102" s="674"/>
      <c r="G1102" s="24">
        <f t="shared" ref="G1102:G1165" si="195">(SUMIF($7:$7,F1102,$8:$8)-SUMIF($7:$7,$F$24,$8:$8)+100)/100</f>
        <v>1</v>
      </c>
      <c r="H1102" s="674"/>
      <c r="I1102" s="24">
        <f t="shared" ref="I1102:I1165" si="196">(SUMIF($9:$9,H1102,$10:$10)-SUMIF($9:$9,$H$24,$10:$10)+100)/100</f>
        <v>1</v>
      </c>
      <c r="J1102" s="674"/>
      <c r="K1102" s="24">
        <f t="shared" ref="K1102:K1165" si="197">(SUMIF($11:$11,J1102,$12:$12)-SUMIF($11:$11,$J$24,$12:$12)+100)/100</f>
        <v>1</v>
      </c>
      <c r="L1102" s="674"/>
      <c r="M1102" s="24">
        <f t="shared" ref="M1102:M1165" si="198">(SUMIF($13:$13,L1102,$14:$14)-SUMIF($13:$13,$L$24,$14:$14)+100)/100</f>
        <v>1</v>
      </c>
      <c r="N1102" s="674"/>
      <c r="O1102" s="24">
        <f t="shared" ref="O1102:O1165" si="199">(SUMIF($15:$15,N1102,$16:$16)-SUMIF($15:$15,$N$24,$16:$16)+100)/100</f>
        <v>1</v>
      </c>
      <c r="P1102" s="674"/>
      <c r="Q1102" s="24">
        <f t="shared" ref="Q1102:Q1165" si="200">(SUMIF($17:$17,P1102,$18:$18)-SUMIF($17:$17,$P$24,$18:$18)+100)/100</f>
        <v>0</v>
      </c>
      <c r="R1102" s="670">
        <f t="shared" ref="R1102:R1165" si="201">IF(B1102="",0,ROUND($R$24*C1102*E1102*G1102*I1102*K1102*M1102*O1102*Q1102,0))</f>
        <v>0</v>
      </c>
      <c r="S1102" s="322">
        <f t="shared" ref="S1102:S1165" si="202">ROUND(R1102*B1102/10000,0)</f>
        <v>0</v>
      </c>
    </row>
    <row r="1103" spans="1:19">
      <c r="A1103" s="155"/>
      <c r="B1103" s="57"/>
      <c r="C1103" s="24">
        <f t="shared" si="193"/>
        <v>1</v>
      </c>
      <c r="D1103" s="674"/>
      <c r="E1103" s="24">
        <f t="shared" si="194"/>
        <v>1</v>
      </c>
      <c r="F1103" s="674"/>
      <c r="G1103" s="24">
        <f t="shared" si="195"/>
        <v>1</v>
      </c>
      <c r="H1103" s="674"/>
      <c r="I1103" s="24">
        <f t="shared" si="196"/>
        <v>1</v>
      </c>
      <c r="J1103" s="674"/>
      <c r="K1103" s="24">
        <f t="shared" si="197"/>
        <v>1</v>
      </c>
      <c r="L1103" s="674"/>
      <c r="M1103" s="24">
        <f t="shared" si="198"/>
        <v>1</v>
      </c>
      <c r="N1103" s="674"/>
      <c r="O1103" s="24">
        <f t="shared" si="199"/>
        <v>1</v>
      </c>
      <c r="P1103" s="674"/>
      <c r="Q1103" s="24">
        <f t="shared" si="200"/>
        <v>0</v>
      </c>
      <c r="R1103" s="670">
        <f t="shared" si="201"/>
        <v>0</v>
      </c>
      <c r="S1103" s="322">
        <f t="shared" si="202"/>
        <v>0</v>
      </c>
    </row>
    <row r="1104" spans="1:19">
      <c r="A1104" s="155"/>
      <c r="B1104" s="57"/>
      <c r="C1104" s="24">
        <f t="shared" si="193"/>
        <v>1</v>
      </c>
      <c r="D1104" s="674"/>
      <c r="E1104" s="24">
        <f t="shared" si="194"/>
        <v>1</v>
      </c>
      <c r="F1104" s="674"/>
      <c r="G1104" s="24">
        <f t="shared" si="195"/>
        <v>1</v>
      </c>
      <c r="H1104" s="674"/>
      <c r="I1104" s="24">
        <f t="shared" si="196"/>
        <v>1</v>
      </c>
      <c r="J1104" s="674"/>
      <c r="K1104" s="24">
        <f t="shared" si="197"/>
        <v>1</v>
      </c>
      <c r="L1104" s="674"/>
      <c r="M1104" s="24">
        <f t="shared" si="198"/>
        <v>1</v>
      </c>
      <c r="N1104" s="674"/>
      <c r="O1104" s="24">
        <f t="shared" si="199"/>
        <v>1</v>
      </c>
      <c r="P1104" s="674"/>
      <c r="Q1104" s="24">
        <f t="shared" si="200"/>
        <v>0</v>
      </c>
      <c r="R1104" s="670">
        <f t="shared" si="201"/>
        <v>0</v>
      </c>
      <c r="S1104" s="322">
        <f t="shared" si="202"/>
        <v>0</v>
      </c>
    </row>
    <row r="1105" spans="1:19">
      <c r="A1105" s="155"/>
      <c r="B1105" s="57"/>
      <c r="C1105" s="24">
        <f t="shared" si="193"/>
        <v>1</v>
      </c>
      <c r="D1105" s="674"/>
      <c r="E1105" s="24">
        <f t="shared" si="194"/>
        <v>1</v>
      </c>
      <c r="F1105" s="674"/>
      <c r="G1105" s="24">
        <f t="shared" si="195"/>
        <v>1</v>
      </c>
      <c r="H1105" s="674"/>
      <c r="I1105" s="24">
        <f t="shared" si="196"/>
        <v>1</v>
      </c>
      <c r="J1105" s="674"/>
      <c r="K1105" s="24">
        <f t="shared" si="197"/>
        <v>1</v>
      </c>
      <c r="L1105" s="674"/>
      <c r="M1105" s="24">
        <f t="shared" si="198"/>
        <v>1</v>
      </c>
      <c r="N1105" s="674"/>
      <c r="O1105" s="24">
        <f t="shared" si="199"/>
        <v>1</v>
      </c>
      <c r="P1105" s="674"/>
      <c r="Q1105" s="24">
        <f t="shared" si="200"/>
        <v>0</v>
      </c>
      <c r="R1105" s="670">
        <f t="shared" si="201"/>
        <v>0</v>
      </c>
      <c r="S1105" s="322">
        <f t="shared" si="202"/>
        <v>0</v>
      </c>
    </row>
    <row r="1106" spans="1:19">
      <c r="A1106" s="155"/>
      <c r="B1106" s="57"/>
      <c r="C1106" s="24">
        <f t="shared" si="193"/>
        <v>1</v>
      </c>
      <c r="D1106" s="674"/>
      <c r="E1106" s="24">
        <f t="shared" si="194"/>
        <v>1</v>
      </c>
      <c r="F1106" s="674"/>
      <c r="G1106" s="24">
        <f t="shared" si="195"/>
        <v>1</v>
      </c>
      <c r="H1106" s="674"/>
      <c r="I1106" s="24">
        <f t="shared" si="196"/>
        <v>1</v>
      </c>
      <c r="J1106" s="674"/>
      <c r="K1106" s="24">
        <f t="shared" si="197"/>
        <v>1</v>
      </c>
      <c r="L1106" s="674"/>
      <c r="M1106" s="24">
        <f t="shared" si="198"/>
        <v>1</v>
      </c>
      <c r="N1106" s="674"/>
      <c r="O1106" s="24">
        <f t="shared" si="199"/>
        <v>1</v>
      </c>
      <c r="P1106" s="674"/>
      <c r="Q1106" s="24">
        <f t="shared" si="200"/>
        <v>0</v>
      </c>
      <c r="R1106" s="670">
        <f t="shared" si="201"/>
        <v>0</v>
      </c>
      <c r="S1106" s="322">
        <f t="shared" si="202"/>
        <v>0</v>
      </c>
    </row>
    <row r="1107" spans="1:19">
      <c r="A1107" s="155"/>
      <c r="B1107" s="57"/>
      <c r="C1107" s="24">
        <f t="shared" si="193"/>
        <v>1</v>
      </c>
      <c r="D1107" s="674"/>
      <c r="E1107" s="24">
        <f t="shared" si="194"/>
        <v>1</v>
      </c>
      <c r="F1107" s="674"/>
      <c r="G1107" s="24">
        <f t="shared" si="195"/>
        <v>1</v>
      </c>
      <c r="H1107" s="674"/>
      <c r="I1107" s="24">
        <f t="shared" si="196"/>
        <v>1</v>
      </c>
      <c r="J1107" s="674"/>
      <c r="K1107" s="24">
        <f t="shared" si="197"/>
        <v>1</v>
      </c>
      <c r="L1107" s="674"/>
      <c r="M1107" s="24">
        <f t="shared" si="198"/>
        <v>1</v>
      </c>
      <c r="N1107" s="674"/>
      <c r="O1107" s="24">
        <f t="shared" si="199"/>
        <v>1</v>
      </c>
      <c r="P1107" s="674"/>
      <c r="Q1107" s="24">
        <f t="shared" si="200"/>
        <v>0</v>
      </c>
      <c r="R1107" s="670">
        <f t="shared" si="201"/>
        <v>0</v>
      </c>
      <c r="S1107" s="322">
        <f t="shared" si="202"/>
        <v>0</v>
      </c>
    </row>
    <row r="1108" spans="1:19">
      <c r="A1108" s="155"/>
      <c r="B1108" s="57"/>
      <c r="C1108" s="24">
        <f t="shared" si="193"/>
        <v>1</v>
      </c>
      <c r="D1108" s="674"/>
      <c r="E1108" s="24">
        <f t="shared" si="194"/>
        <v>1</v>
      </c>
      <c r="F1108" s="674"/>
      <c r="G1108" s="24">
        <f t="shared" si="195"/>
        <v>1</v>
      </c>
      <c r="H1108" s="674"/>
      <c r="I1108" s="24">
        <f t="shared" si="196"/>
        <v>1</v>
      </c>
      <c r="J1108" s="674"/>
      <c r="K1108" s="24">
        <f t="shared" si="197"/>
        <v>1</v>
      </c>
      <c r="L1108" s="674"/>
      <c r="M1108" s="24">
        <f t="shared" si="198"/>
        <v>1</v>
      </c>
      <c r="N1108" s="674"/>
      <c r="O1108" s="24">
        <f t="shared" si="199"/>
        <v>1</v>
      </c>
      <c r="P1108" s="674"/>
      <c r="Q1108" s="24">
        <f t="shared" si="200"/>
        <v>0</v>
      </c>
      <c r="R1108" s="670">
        <f t="shared" si="201"/>
        <v>0</v>
      </c>
      <c r="S1108" s="322">
        <f t="shared" si="202"/>
        <v>0</v>
      </c>
    </row>
    <row r="1109" spans="1:19">
      <c r="A1109" s="155"/>
      <c r="B1109" s="57"/>
      <c r="C1109" s="24">
        <f t="shared" si="193"/>
        <v>1</v>
      </c>
      <c r="D1109" s="674"/>
      <c r="E1109" s="24">
        <f t="shared" si="194"/>
        <v>1</v>
      </c>
      <c r="F1109" s="674"/>
      <c r="G1109" s="24">
        <f t="shared" si="195"/>
        <v>1</v>
      </c>
      <c r="H1109" s="674"/>
      <c r="I1109" s="24">
        <f t="shared" si="196"/>
        <v>1</v>
      </c>
      <c r="J1109" s="674"/>
      <c r="K1109" s="24">
        <f t="shared" si="197"/>
        <v>1</v>
      </c>
      <c r="L1109" s="674"/>
      <c r="M1109" s="24">
        <f t="shared" si="198"/>
        <v>1</v>
      </c>
      <c r="N1109" s="674"/>
      <c r="O1109" s="24">
        <f t="shared" si="199"/>
        <v>1</v>
      </c>
      <c r="P1109" s="674"/>
      <c r="Q1109" s="24">
        <f t="shared" si="200"/>
        <v>0</v>
      </c>
      <c r="R1109" s="670">
        <f t="shared" si="201"/>
        <v>0</v>
      </c>
      <c r="S1109" s="322">
        <f t="shared" si="202"/>
        <v>0</v>
      </c>
    </row>
    <row r="1110" spans="1:19">
      <c r="A1110" s="155"/>
      <c r="B1110" s="57"/>
      <c r="C1110" s="24">
        <f t="shared" si="193"/>
        <v>1</v>
      </c>
      <c r="D1110" s="674"/>
      <c r="E1110" s="24">
        <f t="shared" si="194"/>
        <v>1</v>
      </c>
      <c r="F1110" s="674"/>
      <c r="G1110" s="24">
        <f t="shared" si="195"/>
        <v>1</v>
      </c>
      <c r="H1110" s="674"/>
      <c r="I1110" s="24">
        <f t="shared" si="196"/>
        <v>1</v>
      </c>
      <c r="J1110" s="674"/>
      <c r="K1110" s="24">
        <f t="shared" si="197"/>
        <v>1</v>
      </c>
      <c r="L1110" s="674"/>
      <c r="M1110" s="24">
        <f t="shared" si="198"/>
        <v>1</v>
      </c>
      <c r="N1110" s="674"/>
      <c r="O1110" s="24">
        <f t="shared" si="199"/>
        <v>1</v>
      </c>
      <c r="P1110" s="674"/>
      <c r="Q1110" s="24">
        <f t="shared" si="200"/>
        <v>0</v>
      </c>
      <c r="R1110" s="670">
        <f t="shared" si="201"/>
        <v>0</v>
      </c>
      <c r="S1110" s="322">
        <f t="shared" si="202"/>
        <v>0</v>
      </c>
    </row>
    <row r="1111" spans="1:19">
      <c r="A1111" s="155"/>
      <c r="B1111" s="57"/>
      <c r="C1111" s="24">
        <f t="shared" si="193"/>
        <v>1</v>
      </c>
      <c r="D1111" s="674"/>
      <c r="E1111" s="24">
        <f t="shared" si="194"/>
        <v>1</v>
      </c>
      <c r="F1111" s="674"/>
      <c r="G1111" s="24">
        <f t="shared" si="195"/>
        <v>1</v>
      </c>
      <c r="H1111" s="674"/>
      <c r="I1111" s="24">
        <f t="shared" si="196"/>
        <v>1</v>
      </c>
      <c r="J1111" s="674"/>
      <c r="K1111" s="24">
        <f t="shared" si="197"/>
        <v>1</v>
      </c>
      <c r="L1111" s="674"/>
      <c r="M1111" s="24">
        <f t="shared" si="198"/>
        <v>1</v>
      </c>
      <c r="N1111" s="674"/>
      <c r="O1111" s="24">
        <f t="shared" si="199"/>
        <v>1</v>
      </c>
      <c r="P1111" s="674"/>
      <c r="Q1111" s="24">
        <f t="shared" si="200"/>
        <v>0</v>
      </c>
      <c r="R1111" s="670">
        <f t="shared" si="201"/>
        <v>0</v>
      </c>
      <c r="S1111" s="322">
        <f t="shared" si="202"/>
        <v>0</v>
      </c>
    </row>
    <row r="1112" spans="1:19">
      <c r="A1112" s="155"/>
      <c r="B1112" s="57"/>
      <c r="C1112" s="24">
        <f t="shared" si="193"/>
        <v>1</v>
      </c>
      <c r="D1112" s="674"/>
      <c r="E1112" s="24">
        <f t="shared" si="194"/>
        <v>1</v>
      </c>
      <c r="F1112" s="674"/>
      <c r="G1112" s="24">
        <f t="shared" si="195"/>
        <v>1</v>
      </c>
      <c r="H1112" s="674"/>
      <c r="I1112" s="24">
        <f t="shared" si="196"/>
        <v>1</v>
      </c>
      <c r="J1112" s="674"/>
      <c r="K1112" s="24">
        <f t="shared" si="197"/>
        <v>1</v>
      </c>
      <c r="L1112" s="674"/>
      <c r="M1112" s="24">
        <f t="shared" si="198"/>
        <v>1</v>
      </c>
      <c r="N1112" s="674"/>
      <c r="O1112" s="24">
        <f t="shared" si="199"/>
        <v>1</v>
      </c>
      <c r="P1112" s="674"/>
      <c r="Q1112" s="24">
        <f t="shared" si="200"/>
        <v>0</v>
      </c>
      <c r="R1112" s="670">
        <f t="shared" si="201"/>
        <v>0</v>
      </c>
      <c r="S1112" s="322">
        <f t="shared" si="202"/>
        <v>0</v>
      </c>
    </row>
    <row r="1113" spans="1:19">
      <c r="A1113" s="155"/>
      <c r="B1113" s="57"/>
      <c r="C1113" s="24">
        <f t="shared" si="193"/>
        <v>1</v>
      </c>
      <c r="D1113" s="674"/>
      <c r="E1113" s="24">
        <f t="shared" si="194"/>
        <v>1</v>
      </c>
      <c r="F1113" s="674"/>
      <c r="G1113" s="24">
        <f t="shared" si="195"/>
        <v>1</v>
      </c>
      <c r="H1113" s="674"/>
      <c r="I1113" s="24">
        <f t="shared" si="196"/>
        <v>1</v>
      </c>
      <c r="J1113" s="674"/>
      <c r="K1113" s="24">
        <f t="shared" si="197"/>
        <v>1</v>
      </c>
      <c r="L1113" s="674"/>
      <c r="M1113" s="24">
        <f t="shared" si="198"/>
        <v>1</v>
      </c>
      <c r="N1113" s="674"/>
      <c r="O1113" s="24">
        <f t="shared" si="199"/>
        <v>1</v>
      </c>
      <c r="P1113" s="674"/>
      <c r="Q1113" s="24">
        <f t="shared" si="200"/>
        <v>0</v>
      </c>
      <c r="R1113" s="670">
        <f t="shared" si="201"/>
        <v>0</v>
      </c>
      <c r="S1113" s="322">
        <f t="shared" si="202"/>
        <v>0</v>
      </c>
    </row>
    <row r="1114" spans="1:19">
      <c r="A1114" s="155"/>
      <c r="B1114" s="57"/>
      <c r="C1114" s="24">
        <f t="shared" si="193"/>
        <v>1</v>
      </c>
      <c r="D1114" s="674"/>
      <c r="E1114" s="24">
        <f t="shared" si="194"/>
        <v>1</v>
      </c>
      <c r="F1114" s="674"/>
      <c r="G1114" s="24">
        <f t="shared" si="195"/>
        <v>1</v>
      </c>
      <c r="H1114" s="674"/>
      <c r="I1114" s="24">
        <f t="shared" si="196"/>
        <v>1</v>
      </c>
      <c r="J1114" s="674"/>
      <c r="K1114" s="24">
        <f t="shared" si="197"/>
        <v>1</v>
      </c>
      <c r="L1114" s="674"/>
      <c r="M1114" s="24">
        <f t="shared" si="198"/>
        <v>1</v>
      </c>
      <c r="N1114" s="674"/>
      <c r="O1114" s="24">
        <f t="shared" si="199"/>
        <v>1</v>
      </c>
      <c r="P1114" s="674"/>
      <c r="Q1114" s="24">
        <f t="shared" si="200"/>
        <v>0</v>
      </c>
      <c r="R1114" s="670">
        <f t="shared" si="201"/>
        <v>0</v>
      </c>
      <c r="S1114" s="322">
        <f t="shared" si="202"/>
        <v>0</v>
      </c>
    </row>
    <row r="1115" spans="1:19">
      <c r="A1115" s="155"/>
      <c r="B1115" s="57"/>
      <c r="C1115" s="24">
        <f t="shared" si="193"/>
        <v>1</v>
      </c>
      <c r="D1115" s="674"/>
      <c r="E1115" s="24">
        <f t="shared" si="194"/>
        <v>1</v>
      </c>
      <c r="F1115" s="674"/>
      <c r="G1115" s="24">
        <f t="shared" si="195"/>
        <v>1</v>
      </c>
      <c r="H1115" s="674"/>
      <c r="I1115" s="24">
        <f t="shared" si="196"/>
        <v>1</v>
      </c>
      <c r="J1115" s="674"/>
      <c r="K1115" s="24">
        <f t="shared" si="197"/>
        <v>1</v>
      </c>
      <c r="L1115" s="674"/>
      <c r="M1115" s="24">
        <f t="shared" si="198"/>
        <v>1</v>
      </c>
      <c r="N1115" s="674"/>
      <c r="O1115" s="24">
        <f t="shared" si="199"/>
        <v>1</v>
      </c>
      <c r="P1115" s="674"/>
      <c r="Q1115" s="24">
        <f t="shared" si="200"/>
        <v>0</v>
      </c>
      <c r="R1115" s="670">
        <f t="shared" si="201"/>
        <v>0</v>
      </c>
      <c r="S1115" s="322">
        <f t="shared" si="202"/>
        <v>0</v>
      </c>
    </row>
    <row r="1116" spans="1:19">
      <c r="A1116" s="155"/>
      <c r="B1116" s="57"/>
      <c r="C1116" s="24">
        <f t="shared" si="193"/>
        <v>1</v>
      </c>
      <c r="D1116" s="674"/>
      <c r="E1116" s="24">
        <f t="shared" si="194"/>
        <v>1</v>
      </c>
      <c r="F1116" s="674"/>
      <c r="G1116" s="24">
        <f t="shared" si="195"/>
        <v>1</v>
      </c>
      <c r="H1116" s="674"/>
      <c r="I1116" s="24">
        <f t="shared" si="196"/>
        <v>1</v>
      </c>
      <c r="J1116" s="674"/>
      <c r="K1116" s="24">
        <f t="shared" si="197"/>
        <v>1</v>
      </c>
      <c r="L1116" s="674"/>
      <c r="M1116" s="24">
        <f t="shared" si="198"/>
        <v>1</v>
      </c>
      <c r="N1116" s="674"/>
      <c r="O1116" s="24">
        <f t="shared" si="199"/>
        <v>1</v>
      </c>
      <c r="P1116" s="674"/>
      <c r="Q1116" s="24">
        <f t="shared" si="200"/>
        <v>0</v>
      </c>
      <c r="R1116" s="670">
        <f t="shared" si="201"/>
        <v>0</v>
      </c>
      <c r="S1116" s="322">
        <f t="shared" si="202"/>
        <v>0</v>
      </c>
    </row>
    <row r="1117" spans="1:19">
      <c r="A1117" s="155"/>
      <c r="B1117" s="57"/>
      <c r="C1117" s="24">
        <f t="shared" si="193"/>
        <v>1</v>
      </c>
      <c r="D1117" s="674"/>
      <c r="E1117" s="24">
        <f t="shared" si="194"/>
        <v>1</v>
      </c>
      <c r="F1117" s="674"/>
      <c r="G1117" s="24">
        <f t="shared" si="195"/>
        <v>1</v>
      </c>
      <c r="H1117" s="674"/>
      <c r="I1117" s="24">
        <f t="shared" si="196"/>
        <v>1</v>
      </c>
      <c r="J1117" s="674"/>
      <c r="K1117" s="24">
        <f t="shared" si="197"/>
        <v>1</v>
      </c>
      <c r="L1117" s="674"/>
      <c r="M1117" s="24">
        <f t="shared" si="198"/>
        <v>1</v>
      </c>
      <c r="N1117" s="674"/>
      <c r="O1117" s="24">
        <f t="shared" si="199"/>
        <v>1</v>
      </c>
      <c r="P1117" s="674"/>
      <c r="Q1117" s="24">
        <f t="shared" si="200"/>
        <v>0</v>
      </c>
      <c r="R1117" s="670">
        <f t="shared" si="201"/>
        <v>0</v>
      </c>
      <c r="S1117" s="322">
        <f t="shared" si="202"/>
        <v>0</v>
      </c>
    </row>
    <row r="1118" spans="1:19">
      <c r="A1118" s="155"/>
      <c r="B1118" s="57"/>
      <c r="C1118" s="24">
        <f t="shared" si="193"/>
        <v>1</v>
      </c>
      <c r="D1118" s="674"/>
      <c r="E1118" s="24">
        <f t="shared" si="194"/>
        <v>1</v>
      </c>
      <c r="F1118" s="674"/>
      <c r="G1118" s="24">
        <f t="shared" si="195"/>
        <v>1</v>
      </c>
      <c r="H1118" s="674"/>
      <c r="I1118" s="24">
        <f t="shared" si="196"/>
        <v>1</v>
      </c>
      <c r="J1118" s="674"/>
      <c r="K1118" s="24">
        <f t="shared" si="197"/>
        <v>1</v>
      </c>
      <c r="L1118" s="674"/>
      <c r="M1118" s="24">
        <f t="shared" si="198"/>
        <v>1</v>
      </c>
      <c r="N1118" s="674"/>
      <c r="O1118" s="24">
        <f t="shared" si="199"/>
        <v>1</v>
      </c>
      <c r="P1118" s="674"/>
      <c r="Q1118" s="24">
        <f t="shared" si="200"/>
        <v>0</v>
      </c>
      <c r="R1118" s="670">
        <f t="shared" si="201"/>
        <v>0</v>
      </c>
      <c r="S1118" s="322">
        <f t="shared" si="202"/>
        <v>0</v>
      </c>
    </row>
    <row r="1119" spans="1:19">
      <c r="A1119" s="155"/>
      <c r="B1119" s="57"/>
      <c r="C1119" s="24">
        <f t="shared" si="193"/>
        <v>1</v>
      </c>
      <c r="D1119" s="674"/>
      <c r="E1119" s="24">
        <f t="shared" si="194"/>
        <v>1</v>
      </c>
      <c r="F1119" s="674"/>
      <c r="G1119" s="24">
        <f t="shared" si="195"/>
        <v>1</v>
      </c>
      <c r="H1119" s="674"/>
      <c r="I1119" s="24">
        <f t="shared" si="196"/>
        <v>1</v>
      </c>
      <c r="J1119" s="674"/>
      <c r="K1119" s="24">
        <f t="shared" si="197"/>
        <v>1</v>
      </c>
      <c r="L1119" s="674"/>
      <c r="M1119" s="24">
        <f t="shared" si="198"/>
        <v>1</v>
      </c>
      <c r="N1119" s="674"/>
      <c r="O1119" s="24">
        <f t="shared" si="199"/>
        <v>1</v>
      </c>
      <c r="P1119" s="674"/>
      <c r="Q1119" s="24">
        <f t="shared" si="200"/>
        <v>0</v>
      </c>
      <c r="R1119" s="670">
        <f t="shared" si="201"/>
        <v>0</v>
      </c>
      <c r="S1119" s="322">
        <f t="shared" si="202"/>
        <v>0</v>
      </c>
    </row>
    <row r="1120" spans="1:19">
      <c r="A1120" s="155"/>
      <c r="B1120" s="57"/>
      <c r="C1120" s="24">
        <f t="shared" si="193"/>
        <v>1</v>
      </c>
      <c r="D1120" s="674"/>
      <c r="E1120" s="24">
        <f t="shared" si="194"/>
        <v>1</v>
      </c>
      <c r="F1120" s="674"/>
      <c r="G1120" s="24">
        <f t="shared" si="195"/>
        <v>1</v>
      </c>
      <c r="H1120" s="674"/>
      <c r="I1120" s="24">
        <f t="shared" si="196"/>
        <v>1</v>
      </c>
      <c r="J1120" s="674"/>
      <c r="K1120" s="24">
        <f t="shared" si="197"/>
        <v>1</v>
      </c>
      <c r="L1120" s="674"/>
      <c r="M1120" s="24">
        <f t="shared" si="198"/>
        <v>1</v>
      </c>
      <c r="N1120" s="674"/>
      <c r="O1120" s="24">
        <f t="shared" si="199"/>
        <v>1</v>
      </c>
      <c r="P1120" s="674"/>
      <c r="Q1120" s="24">
        <f t="shared" si="200"/>
        <v>0</v>
      </c>
      <c r="R1120" s="670">
        <f t="shared" si="201"/>
        <v>0</v>
      </c>
      <c r="S1120" s="322">
        <f t="shared" si="202"/>
        <v>0</v>
      </c>
    </row>
    <row r="1121" spans="1:19">
      <c r="A1121" s="155"/>
      <c r="B1121" s="57"/>
      <c r="C1121" s="24">
        <f t="shared" si="193"/>
        <v>1</v>
      </c>
      <c r="D1121" s="674"/>
      <c r="E1121" s="24">
        <f t="shared" si="194"/>
        <v>1</v>
      </c>
      <c r="F1121" s="674"/>
      <c r="G1121" s="24">
        <f t="shared" si="195"/>
        <v>1</v>
      </c>
      <c r="H1121" s="674"/>
      <c r="I1121" s="24">
        <f t="shared" si="196"/>
        <v>1</v>
      </c>
      <c r="J1121" s="674"/>
      <c r="K1121" s="24">
        <f t="shared" si="197"/>
        <v>1</v>
      </c>
      <c r="L1121" s="674"/>
      <c r="M1121" s="24">
        <f t="shared" si="198"/>
        <v>1</v>
      </c>
      <c r="N1121" s="674"/>
      <c r="O1121" s="24">
        <f t="shared" si="199"/>
        <v>1</v>
      </c>
      <c r="P1121" s="674"/>
      <c r="Q1121" s="24">
        <f t="shared" si="200"/>
        <v>0</v>
      </c>
      <c r="R1121" s="670">
        <f t="shared" si="201"/>
        <v>0</v>
      </c>
      <c r="S1121" s="322">
        <f t="shared" si="202"/>
        <v>0</v>
      </c>
    </row>
    <row r="1122" spans="1:19">
      <c r="A1122" s="155"/>
      <c r="B1122" s="57"/>
      <c r="C1122" s="24">
        <f t="shared" si="193"/>
        <v>1</v>
      </c>
      <c r="D1122" s="674"/>
      <c r="E1122" s="24">
        <f t="shared" si="194"/>
        <v>1</v>
      </c>
      <c r="F1122" s="674"/>
      <c r="G1122" s="24">
        <f t="shared" si="195"/>
        <v>1</v>
      </c>
      <c r="H1122" s="674"/>
      <c r="I1122" s="24">
        <f t="shared" si="196"/>
        <v>1</v>
      </c>
      <c r="J1122" s="674"/>
      <c r="K1122" s="24">
        <f t="shared" si="197"/>
        <v>1</v>
      </c>
      <c r="L1122" s="674"/>
      <c r="M1122" s="24">
        <f t="shared" si="198"/>
        <v>1</v>
      </c>
      <c r="N1122" s="674"/>
      <c r="O1122" s="24">
        <f t="shared" si="199"/>
        <v>1</v>
      </c>
      <c r="P1122" s="674"/>
      <c r="Q1122" s="24">
        <f t="shared" si="200"/>
        <v>0</v>
      </c>
      <c r="R1122" s="670">
        <f t="shared" si="201"/>
        <v>0</v>
      </c>
      <c r="S1122" s="322">
        <f t="shared" si="202"/>
        <v>0</v>
      </c>
    </row>
    <row r="1123" spans="1:19">
      <c r="A1123" s="155"/>
      <c r="B1123" s="57"/>
      <c r="C1123" s="24">
        <f t="shared" si="193"/>
        <v>1</v>
      </c>
      <c r="D1123" s="674"/>
      <c r="E1123" s="24">
        <f t="shared" si="194"/>
        <v>1</v>
      </c>
      <c r="F1123" s="674"/>
      <c r="G1123" s="24">
        <f t="shared" si="195"/>
        <v>1</v>
      </c>
      <c r="H1123" s="674"/>
      <c r="I1123" s="24">
        <f t="shared" si="196"/>
        <v>1</v>
      </c>
      <c r="J1123" s="674"/>
      <c r="K1123" s="24">
        <f t="shared" si="197"/>
        <v>1</v>
      </c>
      <c r="L1123" s="674"/>
      <c r="M1123" s="24">
        <f t="shared" si="198"/>
        <v>1</v>
      </c>
      <c r="N1123" s="674"/>
      <c r="O1123" s="24">
        <f t="shared" si="199"/>
        <v>1</v>
      </c>
      <c r="P1123" s="674"/>
      <c r="Q1123" s="24">
        <f t="shared" si="200"/>
        <v>0</v>
      </c>
      <c r="R1123" s="670">
        <f t="shared" si="201"/>
        <v>0</v>
      </c>
      <c r="S1123" s="322">
        <f t="shared" si="202"/>
        <v>0</v>
      </c>
    </row>
    <row r="1124" spans="1:19">
      <c r="A1124" s="155"/>
      <c r="B1124" s="57"/>
      <c r="C1124" s="24">
        <f t="shared" si="193"/>
        <v>1</v>
      </c>
      <c r="D1124" s="674"/>
      <c r="E1124" s="24">
        <f t="shared" si="194"/>
        <v>1</v>
      </c>
      <c r="F1124" s="674"/>
      <c r="G1124" s="24">
        <f t="shared" si="195"/>
        <v>1</v>
      </c>
      <c r="H1124" s="674"/>
      <c r="I1124" s="24">
        <f t="shared" si="196"/>
        <v>1</v>
      </c>
      <c r="J1124" s="674"/>
      <c r="K1124" s="24">
        <f t="shared" si="197"/>
        <v>1</v>
      </c>
      <c r="L1124" s="674"/>
      <c r="M1124" s="24">
        <f t="shared" si="198"/>
        <v>1</v>
      </c>
      <c r="N1124" s="674"/>
      <c r="O1124" s="24">
        <f t="shared" si="199"/>
        <v>1</v>
      </c>
      <c r="P1124" s="674"/>
      <c r="Q1124" s="24">
        <f t="shared" si="200"/>
        <v>0</v>
      </c>
      <c r="R1124" s="670">
        <f t="shared" si="201"/>
        <v>0</v>
      </c>
      <c r="S1124" s="322">
        <f t="shared" si="202"/>
        <v>0</v>
      </c>
    </row>
    <row r="1125" spans="1:19">
      <c r="A1125" s="155"/>
      <c r="B1125" s="57"/>
      <c r="C1125" s="24">
        <f t="shared" si="193"/>
        <v>1</v>
      </c>
      <c r="D1125" s="674"/>
      <c r="E1125" s="24">
        <f t="shared" si="194"/>
        <v>1</v>
      </c>
      <c r="F1125" s="674"/>
      <c r="G1125" s="24">
        <f t="shared" si="195"/>
        <v>1</v>
      </c>
      <c r="H1125" s="674"/>
      <c r="I1125" s="24">
        <f t="shared" si="196"/>
        <v>1</v>
      </c>
      <c r="J1125" s="674"/>
      <c r="K1125" s="24">
        <f t="shared" si="197"/>
        <v>1</v>
      </c>
      <c r="L1125" s="674"/>
      <c r="M1125" s="24">
        <f t="shared" si="198"/>
        <v>1</v>
      </c>
      <c r="N1125" s="674"/>
      <c r="O1125" s="24">
        <f t="shared" si="199"/>
        <v>1</v>
      </c>
      <c r="P1125" s="674"/>
      <c r="Q1125" s="24">
        <f t="shared" si="200"/>
        <v>0</v>
      </c>
      <c r="R1125" s="670">
        <f t="shared" si="201"/>
        <v>0</v>
      </c>
      <c r="S1125" s="322">
        <f t="shared" si="202"/>
        <v>0</v>
      </c>
    </row>
    <row r="1126" spans="1:19">
      <c r="A1126" s="155"/>
      <c r="B1126" s="57"/>
      <c r="C1126" s="24">
        <f t="shared" si="193"/>
        <v>1</v>
      </c>
      <c r="D1126" s="674"/>
      <c r="E1126" s="24">
        <f t="shared" si="194"/>
        <v>1</v>
      </c>
      <c r="F1126" s="674"/>
      <c r="G1126" s="24">
        <f t="shared" si="195"/>
        <v>1</v>
      </c>
      <c r="H1126" s="674"/>
      <c r="I1126" s="24">
        <f t="shared" si="196"/>
        <v>1</v>
      </c>
      <c r="J1126" s="674"/>
      <c r="K1126" s="24">
        <f t="shared" si="197"/>
        <v>1</v>
      </c>
      <c r="L1126" s="674"/>
      <c r="M1126" s="24">
        <f t="shared" si="198"/>
        <v>1</v>
      </c>
      <c r="N1126" s="674"/>
      <c r="O1126" s="24">
        <f t="shared" si="199"/>
        <v>1</v>
      </c>
      <c r="P1126" s="674"/>
      <c r="Q1126" s="24">
        <f t="shared" si="200"/>
        <v>0</v>
      </c>
      <c r="R1126" s="670">
        <f t="shared" si="201"/>
        <v>0</v>
      </c>
      <c r="S1126" s="322">
        <f t="shared" si="202"/>
        <v>0</v>
      </c>
    </row>
    <row r="1127" spans="1:19">
      <c r="A1127" s="155"/>
      <c r="B1127" s="57"/>
      <c r="C1127" s="24">
        <f t="shared" si="193"/>
        <v>1</v>
      </c>
      <c r="D1127" s="674"/>
      <c r="E1127" s="24">
        <f t="shared" si="194"/>
        <v>1</v>
      </c>
      <c r="F1127" s="674"/>
      <c r="G1127" s="24">
        <f t="shared" si="195"/>
        <v>1</v>
      </c>
      <c r="H1127" s="674"/>
      <c r="I1127" s="24">
        <f t="shared" si="196"/>
        <v>1</v>
      </c>
      <c r="J1127" s="674"/>
      <c r="K1127" s="24">
        <f t="shared" si="197"/>
        <v>1</v>
      </c>
      <c r="L1127" s="674"/>
      <c r="M1127" s="24">
        <f t="shared" si="198"/>
        <v>1</v>
      </c>
      <c r="N1127" s="674"/>
      <c r="O1127" s="24">
        <f t="shared" si="199"/>
        <v>1</v>
      </c>
      <c r="P1127" s="674"/>
      <c r="Q1127" s="24">
        <f t="shared" si="200"/>
        <v>0</v>
      </c>
      <c r="R1127" s="670">
        <f t="shared" si="201"/>
        <v>0</v>
      </c>
      <c r="S1127" s="322">
        <f t="shared" si="202"/>
        <v>0</v>
      </c>
    </row>
    <row r="1128" spans="1:19">
      <c r="A1128" s="155"/>
      <c r="B1128" s="57"/>
      <c r="C1128" s="24">
        <f t="shared" si="193"/>
        <v>1</v>
      </c>
      <c r="D1128" s="674"/>
      <c r="E1128" s="24">
        <f t="shared" si="194"/>
        <v>1</v>
      </c>
      <c r="F1128" s="674"/>
      <c r="G1128" s="24">
        <f t="shared" si="195"/>
        <v>1</v>
      </c>
      <c r="H1128" s="674"/>
      <c r="I1128" s="24">
        <f t="shared" si="196"/>
        <v>1</v>
      </c>
      <c r="J1128" s="674"/>
      <c r="K1128" s="24">
        <f t="shared" si="197"/>
        <v>1</v>
      </c>
      <c r="L1128" s="674"/>
      <c r="M1128" s="24">
        <f t="shared" si="198"/>
        <v>1</v>
      </c>
      <c r="N1128" s="674"/>
      <c r="O1128" s="24">
        <f t="shared" si="199"/>
        <v>1</v>
      </c>
      <c r="P1128" s="674"/>
      <c r="Q1128" s="24">
        <f t="shared" si="200"/>
        <v>0</v>
      </c>
      <c r="R1128" s="670">
        <f t="shared" si="201"/>
        <v>0</v>
      </c>
      <c r="S1128" s="322">
        <f t="shared" si="202"/>
        <v>0</v>
      </c>
    </row>
    <row r="1129" spans="1:19">
      <c r="A1129" s="155"/>
      <c r="B1129" s="57"/>
      <c r="C1129" s="24">
        <f t="shared" si="193"/>
        <v>1</v>
      </c>
      <c r="D1129" s="674"/>
      <c r="E1129" s="24">
        <f t="shared" si="194"/>
        <v>1</v>
      </c>
      <c r="F1129" s="674"/>
      <c r="G1129" s="24">
        <f t="shared" si="195"/>
        <v>1</v>
      </c>
      <c r="H1129" s="674"/>
      <c r="I1129" s="24">
        <f t="shared" si="196"/>
        <v>1</v>
      </c>
      <c r="J1129" s="674"/>
      <c r="K1129" s="24">
        <f t="shared" si="197"/>
        <v>1</v>
      </c>
      <c r="L1129" s="674"/>
      <c r="M1129" s="24">
        <f t="shared" si="198"/>
        <v>1</v>
      </c>
      <c r="N1129" s="674"/>
      <c r="O1129" s="24">
        <f t="shared" si="199"/>
        <v>1</v>
      </c>
      <c r="P1129" s="674"/>
      <c r="Q1129" s="24">
        <f t="shared" si="200"/>
        <v>0</v>
      </c>
      <c r="R1129" s="670">
        <f t="shared" si="201"/>
        <v>0</v>
      </c>
      <c r="S1129" s="322">
        <f t="shared" si="202"/>
        <v>0</v>
      </c>
    </row>
    <row r="1130" spans="1:19">
      <c r="A1130" s="155"/>
      <c r="B1130" s="57"/>
      <c r="C1130" s="24">
        <f t="shared" si="193"/>
        <v>1</v>
      </c>
      <c r="D1130" s="674"/>
      <c r="E1130" s="24">
        <f t="shared" si="194"/>
        <v>1</v>
      </c>
      <c r="F1130" s="674"/>
      <c r="G1130" s="24">
        <f t="shared" si="195"/>
        <v>1</v>
      </c>
      <c r="H1130" s="674"/>
      <c r="I1130" s="24">
        <f t="shared" si="196"/>
        <v>1</v>
      </c>
      <c r="J1130" s="674"/>
      <c r="K1130" s="24">
        <f t="shared" si="197"/>
        <v>1</v>
      </c>
      <c r="L1130" s="674"/>
      <c r="M1130" s="24">
        <f t="shared" si="198"/>
        <v>1</v>
      </c>
      <c r="N1130" s="674"/>
      <c r="O1130" s="24">
        <f t="shared" si="199"/>
        <v>1</v>
      </c>
      <c r="P1130" s="674"/>
      <c r="Q1130" s="24">
        <f t="shared" si="200"/>
        <v>0</v>
      </c>
      <c r="R1130" s="670">
        <f t="shared" si="201"/>
        <v>0</v>
      </c>
      <c r="S1130" s="322">
        <f t="shared" si="202"/>
        <v>0</v>
      </c>
    </row>
    <row r="1131" spans="1:19">
      <c r="A1131" s="155"/>
      <c r="B1131" s="57"/>
      <c r="C1131" s="24">
        <f t="shared" si="193"/>
        <v>1</v>
      </c>
      <c r="D1131" s="674"/>
      <c r="E1131" s="24">
        <f t="shared" si="194"/>
        <v>1</v>
      </c>
      <c r="F1131" s="674"/>
      <c r="G1131" s="24">
        <f t="shared" si="195"/>
        <v>1</v>
      </c>
      <c r="H1131" s="674"/>
      <c r="I1131" s="24">
        <f t="shared" si="196"/>
        <v>1</v>
      </c>
      <c r="J1131" s="674"/>
      <c r="K1131" s="24">
        <f t="shared" si="197"/>
        <v>1</v>
      </c>
      <c r="L1131" s="674"/>
      <c r="M1131" s="24">
        <f t="shared" si="198"/>
        <v>1</v>
      </c>
      <c r="N1131" s="674"/>
      <c r="O1131" s="24">
        <f t="shared" si="199"/>
        <v>1</v>
      </c>
      <c r="P1131" s="674"/>
      <c r="Q1131" s="24">
        <f t="shared" si="200"/>
        <v>0</v>
      </c>
      <c r="R1131" s="670">
        <f t="shared" si="201"/>
        <v>0</v>
      </c>
      <c r="S1131" s="322">
        <f t="shared" si="202"/>
        <v>0</v>
      </c>
    </row>
    <row r="1132" spans="1:19">
      <c r="A1132" s="155"/>
      <c r="B1132" s="57"/>
      <c r="C1132" s="24">
        <f t="shared" si="193"/>
        <v>1</v>
      </c>
      <c r="D1132" s="674"/>
      <c r="E1132" s="24">
        <f t="shared" si="194"/>
        <v>1</v>
      </c>
      <c r="F1132" s="674"/>
      <c r="G1132" s="24">
        <f t="shared" si="195"/>
        <v>1</v>
      </c>
      <c r="H1132" s="674"/>
      <c r="I1132" s="24">
        <f t="shared" si="196"/>
        <v>1</v>
      </c>
      <c r="J1132" s="674"/>
      <c r="K1132" s="24">
        <f t="shared" si="197"/>
        <v>1</v>
      </c>
      <c r="L1132" s="674"/>
      <c r="M1132" s="24">
        <f t="shared" si="198"/>
        <v>1</v>
      </c>
      <c r="N1132" s="674"/>
      <c r="O1132" s="24">
        <f t="shared" si="199"/>
        <v>1</v>
      </c>
      <c r="P1132" s="674"/>
      <c r="Q1132" s="24">
        <f t="shared" si="200"/>
        <v>0</v>
      </c>
      <c r="R1132" s="670">
        <f t="shared" si="201"/>
        <v>0</v>
      </c>
      <c r="S1132" s="322">
        <f t="shared" si="202"/>
        <v>0</v>
      </c>
    </row>
    <row r="1133" spans="1:19">
      <c r="A1133" s="155"/>
      <c r="B1133" s="57"/>
      <c r="C1133" s="24">
        <f t="shared" si="193"/>
        <v>1</v>
      </c>
      <c r="D1133" s="674"/>
      <c r="E1133" s="24">
        <f t="shared" si="194"/>
        <v>1</v>
      </c>
      <c r="F1133" s="674"/>
      <c r="G1133" s="24">
        <f t="shared" si="195"/>
        <v>1</v>
      </c>
      <c r="H1133" s="674"/>
      <c r="I1133" s="24">
        <f t="shared" si="196"/>
        <v>1</v>
      </c>
      <c r="J1133" s="674"/>
      <c r="K1133" s="24">
        <f t="shared" si="197"/>
        <v>1</v>
      </c>
      <c r="L1133" s="674"/>
      <c r="M1133" s="24">
        <f t="shared" si="198"/>
        <v>1</v>
      </c>
      <c r="N1133" s="674"/>
      <c r="O1133" s="24">
        <f t="shared" si="199"/>
        <v>1</v>
      </c>
      <c r="P1133" s="674"/>
      <c r="Q1133" s="24">
        <f t="shared" si="200"/>
        <v>0</v>
      </c>
      <c r="R1133" s="670">
        <f t="shared" si="201"/>
        <v>0</v>
      </c>
      <c r="S1133" s="322">
        <f t="shared" si="202"/>
        <v>0</v>
      </c>
    </row>
    <row r="1134" spans="1:19">
      <c r="A1134" s="155"/>
      <c r="B1134" s="57"/>
      <c r="C1134" s="24">
        <f t="shared" si="193"/>
        <v>1</v>
      </c>
      <c r="D1134" s="674"/>
      <c r="E1134" s="24">
        <f t="shared" si="194"/>
        <v>1</v>
      </c>
      <c r="F1134" s="674"/>
      <c r="G1134" s="24">
        <f t="shared" si="195"/>
        <v>1</v>
      </c>
      <c r="H1134" s="674"/>
      <c r="I1134" s="24">
        <f t="shared" si="196"/>
        <v>1</v>
      </c>
      <c r="J1134" s="674"/>
      <c r="K1134" s="24">
        <f t="shared" si="197"/>
        <v>1</v>
      </c>
      <c r="L1134" s="674"/>
      <c r="M1134" s="24">
        <f t="shared" si="198"/>
        <v>1</v>
      </c>
      <c r="N1134" s="674"/>
      <c r="O1134" s="24">
        <f t="shared" si="199"/>
        <v>1</v>
      </c>
      <c r="P1134" s="674"/>
      <c r="Q1134" s="24">
        <f t="shared" si="200"/>
        <v>0</v>
      </c>
      <c r="R1134" s="670">
        <f t="shared" si="201"/>
        <v>0</v>
      </c>
      <c r="S1134" s="322">
        <f t="shared" si="202"/>
        <v>0</v>
      </c>
    </row>
    <row r="1135" spans="1:19">
      <c r="A1135" s="155"/>
      <c r="B1135" s="57"/>
      <c r="C1135" s="24">
        <f t="shared" si="193"/>
        <v>1</v>
      </c>
      <c r="D1135" s="674"/>
      <c r="E1135" s="24">
        <f t="shared" si="194"/>
        <v>1</v>
      </c>
      <c r="F1135" s="674"/>
      <c r="G1135" s="24">
        <f t="shared" si="195"/>
        <v>1</v>
      </c>
      <c r="H1135" s="674"/>
      <c r="I1135" s="24">
        <f t="shared" si="196"/>
        <v>1</v>
      </c>
      <c r="J1135" s="674"/>
      <c r="K1135" s="24">
        <f t="shared" si="197"/>
        <v>1</v>
      </c>
      <c r="L1135" s="674"/>
      <c r="M1135" s="24">
        <f t="shared" si="198"/>
        <v>1</v>
      </c>
      <c r="N1135" s="674"/>
      <c r="O1135" s="24">
        <f t="shared" si="199"/>
        <v>1</v>
      </c>
      <c r="P1135" s="674"/>
      <c r="Q1135" s="24">
        <f t="shared" si="200"/>
        <v>0</v>
      </c>
      <c r="R1135" s="670">
        <f t="shared" si="201"/>
        <v>0</v>
      </c>
      <c r="S1135" s="322">
        <f t="shared" si="202"/>
        <v>0</v>
      </c>
    </row>
    <row r="1136" spans="1:19">
      <c r="A1136" s="155"/>
      <c r="B1136" s="57"/>
      <c r="C1136" s="24">
        <f t="shared" si="193"/>
        <v>1</v>
      </c>
      <c r="D1136" s="674"/>
      <c r="E1136" s="24">
        <f t="shared" si="194"/>
        <v>1</v>
      </c>
      <c r="F1136" s="674"/>
      <c r="G1136" s="24">
        <f t="shared" si="195"/>
        <v>1</v>
      </c>
      <c r="H1136" s="674"/>
      <c r="I1136" s="24">
        <f t="shared" si="196"/>
        <v>1</v>
      </c>
      <c r="J1136" s="674"/>
      <c r="K1136" s="24">
        <f t="shared" si="197"/>
        <v>1</v>
      </c>
      <c r="L1136" s="674"/>
      <c r="M1136" s="24">
        <f t="shared" si="198"/>
        <v>1</v>
      </c>
      <c r="N1136" s="674"/>
      <c r="O1136" s="24">
        <f t="shared" si="199"/>
        <v>1</v>
      </c>
      <c r="P1136" s="674"/>
      <c r="Q1136" s="24">
        <f t="shared" si="200"/>
        <v>0</v>
      </c>
      <c r="R1136" s="670">
        <f t="shared" si="201"/>
        <v>0</v>
      </c>
      <c r="S1136" s="322">
        <f t="shared" si="202"/>
        <v>0</v>
      </c>
    </row>
    <row r="1137" spans="1:19">
      <c r="A1137" s="155"/>
      <c r="B1137" s="57"/>
      <c r="C1137" s="24">
        <f t="shared" si="193"/>
        <v>1</v>
      </c>
      <c r="D1137" s="674"/>
      <c r="E1137" s="24">
        <f t="shared" si="194"/>
        <v>1</v>
      </c>
      <c r="F1137" s="674"/>
      <c r="G1137" s="24">
        <f t="shared" si="195"/>
        <v>1</v>
      </c>
      <c r="H1137" s="674"/>
      <c r="I1137" s="24">
        <f t="shared" si="196"/>
        <v>1</v>
      </c>
      <c r="J1137" s="674"/>
      <c r="K1137" s="24">
        <f t="shared" si="197"/>
        <v>1</v>
      </c>
      <c r="L1137" s="674"/>
      <c r="M1137" s="24">
        <f t="shared" si="198"/>
        <v>1</v>
      </c>
      <c r="N1137" s="674"/>
      <c r="O1137" s="24">
        <f t="shared" si="199"/>
        <v>1</v>
      </c>
      <c r="P1137" s="674"/>
      <c r="Q1137" s="24">
        <f t="shared" si="200"/>
        <v>0</v>
      </c>
      <c r="R1137" s="670">
        <f t="shared" si="201"/>
        <v>0</v>
      </c>
      <c r="S1137" s="322">
        <f t="shared" si="202"/>
        <v>0</v>
      </c>
    </row>
    <row r="1138" spans="1:19">
      <c r="A1138" s="155"/>
      <c r="B1138" s="57"/>
      <c r="C1138" s="24">
        <f t="shared" si="193"/>
        <v>1</v>
      </c>
      <c r="D1138" s="674"/>
      <c r="E1138" s="24">
        <f t="shared" si="194"/>
        <v>1</v>
      </c>
      <c r="F1138" s="674"/>
      <c r="G1138" s="24">
        <f t="shared" si="195"/>
        <v>1</v>
      </c>
      <c r="H1138" s="674"/>
      <c r="I1138" s="24">
        <f t="shared" si="196"/>
        <v>1</v>
      </c>
      <c r="J1138" s="674"/>
      <c r="K1138" s="24">
        <f t="shared" si="197"/>
        <v>1</v>
      </c>
      <c r="L1138" s="674"/>
      <c r="M1138" s="24">
        <f t="shared" si="198"/>
        <v>1</v>
      </c>
      <c r="N1138" s="674"/>
      <c r="O1138" s="24">
        <f t="shared" si="199"/>
        <v>1</v>
      </c>
      <c r="P1138" s="674"/>
      <c r="Q1138" s="24">
        <f t="shared" si="200"/>
        <v>0</v>
      </c>
      <c r="R1138" s="670">
        <f t="shared" si="201"/>
        <v>0</v>
      </c>
      <c r="S1138" s="322">
        <f t="shared" si="202"/>
        <v>0</v>
      </c>
    </row>
    <row r="1139" spans="1:19">
      <c r="A1139" s="155"/>
      <c r="B1139" s="57"/>
      <c r="C1139" s="24">
        <f t="shared" si="193"/>
        <v>1</v>
      </c>
      <c r="D1139" s="674"/>
      <c r="E1139" s="24">
        <f t="shared" si="194"/>
        <v>1</v>
      </c>
      <c r="F1139" s="674"/>
      <c r="G1139" s="24">
        <f t="shared" si="195"/>
        <v>1</v>
      </c>
      <c r="H1139" s="674"/>
      <c r="I1139" s="24">
        <f t="shared" si="196"/>
        <v>1</v>
      </c>
      <c r="J1139" s="674"/>
      <c r="K1139" s="24">
        <f t="shared" si="197"/>
        <v>1</v>
      </c>
      <c r="L1139" s="674"/>
      <c r="M1139" s="24">
        <f t="shared" si="198"/>
        <v>1</v>
      </c>
      <c r="N1139" s="674"/>
      <c r="O1139" s="24">
        <f t="shared" si="199"/>
        <v>1</v>
      </c>
      <c r="P1139" s="674"/>
      <c r="Q1139" s="24">
        <f t="shared" si="200"/>
        <v>0</v>
      </c>
      <c r="R1139" s="670">
        <f t="shared" si="201"/>
        <v>0</v>
      </c>
      <c r="S1139" s="322">
        <f t="shared" si="202"/>
        <v>0</v>
      </c>
    </row>
    <row r="1140" spans="1:19">
      <c r="A1140" s="155"/>
      <c r="B1140" s="57"/>
      <c r="C1140" s="24">
        <f t="shared" si="193"/>
        <v>1</v>
      </c>
      <c r="D1140" s="674"/>
      <c r="E1140" s="24">
        <f t="shared" si="194"/>
        <v>1</v>
      </c>
      <c r="F1140" s="674"/>
      <c r="G1140" s="24">
        <f t="shared" si="195"/>
        <v>1</v>
      </c>
      <c r="H1140" s="674"/>
      <c r="I1140" s="24">
        <f t="shared" si="196"/>
        <v>1</v>
      </c>
      <c r="J1140" s="674"/>
      <c r="K1140" s="24">
        <f t="shared" si="197"/>
        <v>1</v>
      </c>
      <c r="L1140" s="674"/>
      <c r="M1140" s="24">
        <f t="shared" si="198"/>
        <v>1</v>
      </c>
      <c r="N1140" s="674"/>
      <c r="O1140" s="24">
        <f t="shared" si="199"/>
        <v>1</v>
      </c>
      <c r="P1140" s="674"/>
      <c r="Q1140" s="24">
        <f t="shared" si="200"/>
        <v>0</v>
      </c>
      <c r="R1140" s="670">
        <f t="shared" si="201"/>
        <v>0</v>
      </c>
      <c r="S1140" s="322">
        <f t="shared" si="202"/>
        <v>0</v>
      </c>
    </row>
    <row r="1141" spans="1:19">
      <c r="A1141" s="155"/>
      <c r="B1141" s="57"/>
      <c r="C1141" s="24">
        <f t="shared" si="193"/>
        <v>1</v>
      </c>
      <c r="D1141" s="674"/>
      <c r="E1141" s="24">
        <f t="shared" si="194"/>
        <v>1</v>
      </c>
      <c r="F1141" s="674"/>
      <c r="G1141" s="24">
        <f t="shared" si="195"/>
        <v>1</v>
      </c>
      <c r="H1141" s="674"/>
      <c r="I1141" s="24">
        <f t="shared" si="196"/>
        <v>1</v>
      </c>
      <c r="J1141" s="674"/>
      <c r="K1141" s="24">
        <f t="shared" si="197"/>
        <v>1</v>
      </c>
      <c r="L1141" s="674"/>
      <c r="M1141" s="24">
        <f t="shared" si="198"/>
        <v>1</v>
      </c>
      <c r="N1141" s="674"/>
      <c r="O1141" s="24">
        <f t="shared" si="199"/>
        <v>1</v>
      </c>
      <c r="P1141" s="674"/>
      <c r="Q1141" s="24">
        <f t="shared" si="200"/>
        <v>0</v>
      </c>
      <c r="R1141" s="670">
        <f t="shared" si="201"/>
        <v>0</v>
      </c>
      <c r="S1141" s="322">
        <f t="shared" si="202"/>
        <v>0</v>
      </c>
    </row>
    <row r="1142" spans="1:19">
      <c r="A1142" s="155"/>
      <c r="B1142" s="57"/>
      <c r="C1142" s="24">
        <f t="shared" si="193"/>
        <v>1</v>
      </c>
      <c r="D1142" s="674"/>
      <c r="E1142" s="24">
        <f t="shared" si="194"/>
        <v>1</v>
      </c>
      <c r="F1142" s="674"/>
      <c r="G1142" s="24">
        <f t="shared" si="195"/>
        <v>1</v>
      </c>
      <c r="H1142" s="674"/>
      <c r="I1142" s="24">
        <f t="shared" si="196"/>
        <v>1</v>
      </c>
      <c r="J1142" s="674"/>
      <c r="K1142" s="24">
        <f t="shared" si="197"/>
        <v>1</v>
      </c>
      <c r="L1142" s="674"/>
      <c r="M1142" s="24">
        <f t="shared" si="198"/>
        <v>1</v>
      </c>
      <c r="N1142" s="674"/>
      <c r="O1142" s="24">
        <f t="shared" si="199"/>
        <v>1</v>
      </c>
      <c r="P1142" s="674"/>
      <c r="Q1142" s="24">
        <f t="shared" si="200"/>
        <v>0</v>
      </c>
      <c r="R1142" s="670">
        <f t="shared" si="201"/>
        <v>0</v>
      </c>
      <c r="S1142" s="322">
        <f t="shared" si="202"/>
        <v>0</v>
      </c>
    </row>
    <row r="1143" spans="1:19">
      <c r="A1143" s="155"/>
      <c r="B1143" s="57"/>
      <c r="C1143" s="24">
        <f t="shared" si="193"/>
        <v>1</v>
      </c>
      <c r="D1143" s="674"/>
      <c r="E1143" s="24">
        <f t="shared" si="194"/>
        <v>1</v>
      </c>
      <c r="F1143" s="674"/>
      <c r="G1143" s="24">
        <f t="shared" si="195"/>
        <v>1</v>
      </c>
      <c r="H1143" s="674"/>
      <c r="I1143" s="24">
        <f t="shared" si="196"/>
        <v>1</v>
      </c>
      <c r="J1143" s="674"/>
      <c r="K1143" s="24">
        <f t="shared" si="197"/>
        <v>1</v>
      </c>
      <c r="L1143" s="674"/>
      <c r="M1143" s="24">
        <f t="shared" si="198"/>
        <v>1</v>
      </c>
      <c r="N1143" s="674"/>
      <c r="O1143" s="24">
        <f t="shared" si="199"/>
        <v>1</v>
      </c>
      <c r="P1143" s="674"/>
      <c r="Q1143" s="24">
        <f t="shared" si="200"/>
        <v>0</v>
      </c>
      <c r="R1143" s="670">
        <f t="shared" si="201"/>
        <v>0</v>
      </c>
      <c r="S1143" s="322">
        <f t="shared" si="202"/>
        <v>0</v>
      </c>
    </row>
    <row r="1144" spans="1:19">
      <c r="A1144" s="155"/>
      <c r="B1144" s="57"/>
      <c r="C1144" s="24">
        <f t="shared" si="193"/>
        <v>1</v>
      </c>
      <c r="D1144" s="674"/>
      <c r="E1144" s="24">
        <f t="shared" si="194"/>
        <v>1</v>
      </c>
      <c r="F1144" s="674"/>
      <c r="G1144" s="24">
        <f t="shared" si="195"/>
        <v>1</v>
      </c>
      <c r="H1144" s="674"/>
      <c r="I1144" s="24">
        <f t="shared" si="196"/>
        <v>1</v>
      </c>
      <c r="J1144" s="674"/>
      <c r="K1144" s="24">
        <f t="shared" si="197"/>
        <v>1</v>
      </c>
      <c r="L1144" s="674"/>
      <c r="M1144" s="24">
        <f t="shared" si="198"/>
        <v>1</v>
      </c>
      <c r="N1144" s="674"/>
      <c r="O1144" s="24">
        <f t="shared" si="199"/>
        <v>1</v>
      </c>
      <c r="P1144" s="674"/>
      <c r="Q1144" s="24">
        <f t="shared" si="200"/>
        <v>0</v>
      </c>
      <c r="R1144" s="670">
        <f t="shared" si="201"/>
        <v>0</v>
      </c>
      <c r="S1144" s="322">
        <f t="shared" si="202"/>
        <v>0</v>
      </c>
    </row>
    <row r="1145" spans="1:19">
      <c r="A1145" s="155"/>
      <c r="B1145" s="57"/>
      <c r="C1145" s="24">
        <f t="shared" si="193"/>
        <v>1</v>
      </c>
      <c r="D1145" s="674"/>
      <c r="E1145" s="24">
        <f t="shared" si="194"/>
        <v>1</v>
      </c>
      <c r="F1145" s="674"/>
      <c r="G1145" s="24">
        <f t="shared" si="195"/>
        <v>1</v>
      </c>
      <c r="H1145" s="674"/>
      <c r="I1145" s="24">
        <f t="shared" si="196"/>
        <v>1</v>
      </c>
      <c r="J1145" s="674"/>
      <c r="K1145" s="24">
        <f t="shared" si="197"/>
        <v>1</v>
      </c>
      <c r="L1145" s="674"/>
      <c r="M1145" s="24">
        <f t="shared" si="198"/>
        <v>1</v>
      </c>
      <c r="N1145" s="674"/>
      <c r="O1145" s="24">
        <f t="shared" si="199"/>
        <v>1</v>
      </c>
      <c r="P1145" s="674"/>
      <c r="Q1145" s="24">
        <f t="shared" si="200"/>
        <v>0</v>
      </c>
      <c r="R1145" s="670">
        <f t="shared" si="201"/>
        <v>0</v>
      </c>
      <c r="S1145" s="322">
        <f t="shared" si="202"/>
        <v>0</v>
      </c>
    </row>
    <row r="1146" spans="1:19">
      <c r="A1146" s="155"/>
      <c r="B1146" s="57"/>
      <c r="C1146" s="24">
        <f t="shared" si="193"/>
        <v>1</v>
      </c>
      <c r="D1146" s="674"/>
      <c r="E1146" s="24">
        <f t="shared" si="194"/>
        <v>1</v>
      </c>
      <c r="F1146" s="674"/>
      <c r="G1146" s="24">
        <f t="shared" si="195"/>
        <v>1</v>
      </c>
      <c r="H1146" s="674"/>
      <c r="I1146" s="24">
        <f t="shared" si="196"/>
        <v>1</v>
      </c>
      <c r="J1146" s="674"/>
      <c r="K1146" s="24">
        <f t="shared" si="197"/>
        <v>1</v>
      </c>
      <c r="L1146" s="674"/>
      <c r="M1146" s="24">
        <f t="shared" si="198"/>
        <v>1</v>
      </c>
      <c r="N1146" s="674"/>
      <c r="O1146" s="24">
        <f t="shared" si="199"/>
        <v>1</v>
      </c>
      <c r="P1146" s="674"/>
      <c r="Q1146" s="24">
        <f t="shared" si="200"/>
        <v>0</v>
      </c>
      <c r="R1146" s="670">
        <f t="shared" si="201"/>
        <v>0</v>
      </c>
      <c r="S1146" s="322">
        <f t="shared" si="202"/>
        <v>0</v>
      </c>
    </row>
    <row r="1147" spans="1:19">
      <c r="A1147" s="155"/>
      <c r="B1147" s="57"/>
      <c r="C1147" s="24">
        <f t="shared" si="193"/>
        <v>1</v>
      </c>
      <c r="D1147" s="674"/>
      <c r="E1147" s="24">
        <f t="shared" si="194"/>
        <v>1</v>
      </c>
      <c r="F1147" s="674"/>
      <c r="G1147" s="24">
        <f t="shared" si="195"/>
        <v>1</v>
      </c>
      <c r="H1147" s="674"/>
      <c r="I1147" s="24">
        <f t="shared" si="196"/>
        <v>1</v>
      </c>
      <c r="J1147" s="674"/>
      <c r="K1147" s="24">
        <f t="shared" si="197"/>
        <v>1</v>
      </c>
      <c r="L1147" s="674"/>
      <c r="M1147" s="24">
        <f t="shared" si="198"/>
        <v>1</v>
      </c>
      <c r="N1147" s="674"/>
      <c r="O1147" s="24">
        <f t="shared" si="199"/>
        <v>1</v>
      </c>
      <c r="P1147" s="674"/>
      <c r="Q1147" s="24">
        <f t="shared" si="200"/>
        <v>0</v>
      </c>
      <c r="R1147" s="670">
        <f t="shared" si="201"/>
        <v>0</v>
      </c>
      <c r="S1147" s="322">
        <f t="shared" si="202"/>
        <v>0</v>
      </c>
    </row>
    <row r="1148" spans="1:19">
      <c r="A1148" s="155"/>
      <c r="B1148" s="57"/>
      <c r="C1148" s="24">
        <f t="shared" si="193"/>
        <v>1</v>
      </c>
      <c r="D1148" s="674"/>
      <c r="E1148" s="24">
        <f t="shared" si="194"/>
        <v>1</v>
      </c>
      <c r="F1148" s="674"/>
      <c r="G1148" s="24">
        <f t="shared" si="195"/>
        <v>1</v>
      </c>
      <c r="H1148" s="674"/>
      <c r="I1148" s="24">
        <f t="shared" si="196"/>
        <v>1</v>
      </c>
      <c r="J1148" s="674"/>
      <c r="K1148" s="24">
        <f t="shared" si="197"/>
        <v>1</v>
      </c>
      <c r="L1148" s="674"/>
      <c r="M1148" s="24">
        <f t="shared" si="198"/>
        <v>1</v>
      </c>
      <c r="N1148" s="674"/>
      <c r="O1148" s="24">
        <f t="shared" si="199"/>
        <v>1</v>
      </c>
      <c r="P1148" s="674"/>
      <c r="Q1148" s="24">
        <f t="shared" si="200"/>
        <v>0</v>
      </c>
      <c r="R1148" s="670">
        <f t="shared" si="201"/>
        <v>0</v>
      </c>
      <c r="S1148" s="322">
        <f t="shared" si="202"/>
        <v>0</v>
      </c>
    </row>
    <row r="1149" spans="1:19">
      <c r="A1149" s="155"/>
      <c r="B1149" s="57"/>
      <c r="C1149" s="24">
        <f t="shared" si="193"/>
        <v>1</v>
      </c>
      <c r="D1149" s="674"/>
      <c r="E1149" s="24">
        <f t="shared" si="194"/>
        <v>1</v>
      </c>
      <c r="F1149" s="674"/>
      <c r="G1149" s="24">
        <f t="shared" si="195"/>
        <v>1</v>
      </c>
      <c r="H1149" s="674"/>
      <c r="I1149" s="24">
        <f t="shared" si="196"/>
        <v>1</v>
      </c>
      <c r="J1149" s="674"/>
      <c r="K1149" s="24">
        <f t="shared" si="197"/>
        <v>1</v>
      </c>
      <c r="L1149" s="674"/>
      <c r="M1149" s="24">
        <f t="shared" si="198"/>
        <v>1</v>
      </c>
      <c r="N1149" s="674"/>
      <c r="O1149" s="24">
        <f t="shared" si="199"/>
        <v>1</v>
      </c>
      <c r="P1149" s="674"/>
      <c r="Q1149" s="24">
        <f t="shared" si="200"/>
        <v>0</v>
      </c>
      <c r="R1149" s="670">
        <f t="shared" si="201"/>
        <v>0</v>
      </c>
      <c r="S1149" s="322">
        <f t="shared" si="202"/>
        <v>0</v>
      </c>
    </row>
    <row r="1150" spans="1:19">
      <c r="A1150" s="155"/>
      <c r="B1150" s="57"/>
      <c r="C1150" s="24">
        <f t="shared" si="193"/>
        <v>1</v>
      </c>
      <c r="D1150" s="674"/>
      <c r="E1150" s="24">
        <f t="shared" si="194"/>
        <v>1</v>
      </c>
      <c r="F1150" s="674"/>
      <c r="G1150" s="24">
        <f t="shared" si="195"/>
        <v>1</v>
      </c>
      <c r="H1150" s="674"/>
      <c r="I1150" s="24">
        <f t="shared" si="196"/>
        <v>1</v>
      </c>
      <c r="J1150" s="674"/>
      <c r="K1150" s="24">
        <f t="shared" si="197"/>
        <v>1</v>
      </c>
      <c r="L1150" s="674"/>
      <c r="M1150" s="24">
        <f t="shared" si="198"/>
        <v>1</v>
      </c>
      <c r="N1150" s="674"/>
      <c r="O1150" s="24">
        <f t="shared" si="199"/>
        <v>1</v>
      </c>
      <c r="P1150" s="674"/>
      <c r="Q1150" s="24">
        <f t="shared" si="200"/>
        <v>0</v>
      </c>
      <c r="R1150" s="670">
        <f t="shared" si="201"/>
        <v>0</v>
      </c>
      <c r="S1150" s="322">
        <f t="shared" si="202"/>
        <v>0</v>
      </c>
    </row>
    <row r="1151" spans="1:19">
      <c r="A1151" s="155"/>
      <c r="B1151" s="57"/>
      <c r="C1151" s="24">
        <f t="shared" si="193"/>
        <v>1</v>
      </c>
      <c r="D1151" s="674"/>
      <c r="E1151" s="24">
        <f t="shared" si="194"/>
        <v>1</v>
      </c>
      <c r="F1151" s="674"/>
      <c r="G1151" s="24">
        <f t="shared" si="195"/>
        <v>1</v>
      </c>
      <c r="H1151" s="674"/>
      <c r="I1151" s="24">
        <f t="shared" si="196"/>
        <v>1</v>
      </c>
      <c r="J1151" s="674"/>
      <c r="K1151" s="24">
        <f t="shared" si="197"/>
        <v>1</v>
      </c>
      <c r="L1151" s="674"/>
      <c r="M1151" s="24">
        <f t="shared" si="198"/>
        <v>1</v>
      </c>
      <c r="N1151" s="674"/>
      <c r="O1151" s="24">
        <f t="shared" si="199"/>
        <v>1</v>
      </c>
      <c r="P1151" s="674"/>
      <c r="Q1151" s="24">
        <f t="shared" si="200"/>
        <v>0</v>
      </c>
      <c r="R1151" s="670">
        <f t="shared" si="201"/>
        <v>0</v>
      </c>
      <c r="S1151" s="322">
        <f t="shared" si="202"/>
        <v>0</v>
      </c>
    </row>
    <row r="1152" spans="1:19">
      <c r="A1152" s="155"/>
      <c r="B1152" s="57"/>
      <c r="C1152" s="24">
        <f t="shared" si="193"/>
        <v>1</v>
      </c>
      <c r="D1152" s="674"/>
      <c r="E1152" s="24">
        <f t="shared" si="194"/>
        <v>1</v>
      </c>
      <c r="F1152" s="674"/>
      <c r="G1152" s="24">
        <f t="shared" si="195"/>
        <v>1</v>
      </c>
      <c r="H1152" s="674"/>
      <c r="I1152" s="24">
        <f t="shared" si="196"/>
        <v>1</v>
      </c>
      <c r="J1152" s="674"/>
      <c r="K1152" s="24">
        <f t="shared" si="197"/>
        <v>1</v>
      </c>
      <c r="L1152" s="674"/>
      <c r="M1152" s="24">
        <f t="shared" si="198"/>
        <v>1</v>
      </c>
      <c r="N1152" s="674"/>
      <c r="O1152" s="24">
        <f t="shared" si="199"/>
        <v>1</v>
      </c>
      <c r="P1152" s="674"/>
      <c r="Q1152" s="24">
        <f t="shared" si="200"/>
        <v>0</v>
      </c>
      <c r="R1152" s="670">
        <f t="shared" si="201"/>
        <v>0</v>
      </c>
      <c r="S1152" s="322">
        <f t="shared" si="202"/>
        <v>0</v>
      </c>
    </row>
    <row r="1153" spans="1:19">
      <c r="A1153" s="155"/>
      <c r="B1153" s="57"/>
      <c r="C1153" s="24">
        <f t="shared" si="193"/>
        <v>1</v>
      </c>
      <c r="D1153" s="674"/>
      <c r="E1153" s="24">
        <f t="shared" si="194"/>
        <v>1</v>
      </c>
      <c r="F1153" s="674"/>
      <c r="G1153" s="24">
        <f t="shared" si="195"/>
        <v>1</v>
      </c>
      <c r="H1153" s="674"/>
      <c r="I1153" s="24">
        <f t="shared" si="196"/>
        <v>1</v>
      </c>
      <c r="J1153" s="674"/>
      <c r="K1153" s="24">
        <f t="shared" si="197"/>
        <v>1</v>
      </c>
      <c r="L1153" s="674"/>
      <c r="M1153" s="24">
        <f t="shared" si="198"/>
        <v>1</v>
      </c>
      <c r="N1153" s="674"/>
      <c r="O1153" s="24">
        <f t="shared" si="199"/>
        <v>1</v>
      </c>
      <c r="P1153" s="674"/>
      <c r="Q1153" s="24">
        <f t="shared" si="200"/>
        <v>0</v>
      </c>
      <c r="R1153" s="670">
        <f t="shared" si="201"/>
        <v>0</v>
      </c>
      <c r="S1153" s="322">
        <f t="shared" si="202"/>
        <v>0</v>
      </c>
    </row>
    <row r="1154" spans="1:19">
      <c r="A1154" s="155"/>
      <c r="B1154" s="57"/>
      <c r="C1154" s="24">
        <f t="shared" si="193"/>
        <v>1</v>
      </c>
      <c r="D1154" s="674"/>
      <c r="E1154" s="24">
        <f t="shared" si="194"/>
        <v>1</v>
      </c>
      <c r="F1154" s="674"/>
      <c r="G1154" s="24">
        <f t="shared" si="195"/>
        <v>1</v>
      </c>
      <c r="H1154" s="674"/>
      <c r="I1154" s="24">
        <f t="shared" si="196"/>
        <v>1</v>
      </c>
      <c r="J1154" s="674"/>
      <c r="K1154" s="24">
        <f t="shared" si="197"/>
        <v>1</v>
      </c>
      <c r="L1154" s="674"/>
      <c r="M1154" s="24">
        <f t="shared" si="198"/>
        <v>1</v>
      </c>
      <c r="N1154" s="674"/>
      <c r="O1154" s="24">
        <f t="shared" si="199"/>
        <v>1</v>
      </c>
      <c r="P1154" s="674"/>
      <c r="Q1154" s="24">
        <f t="shared" si="200"/>
        <v>0</v>
      </c>
      <c r="R1154" s="670">
        <f t="shared" si="201"/>
        <v>0</v>
      </c>
      <c r="S1154" s="322">
        <f t="shared" si="202"/>
        <v>0</v>
      </c>
    </row>
    <row r="1155" spans="1:19">
      <c r="A1155" s="155"/>
      <c r="B1155" s="57"/>
      <c r="C1155" s="24">
        <f t="shared" si="193"/>
        <v>1</v>
      </c>
      <c r="D1155" s="674"/>
      <c r="E1155" s="24">
        <f t="shared" si="194"/>
        <v>1</v>
      </c>
      <c r="F1155" s="674"/>
      <c r="G1155" s="24">
        <f t="shared" si="195"/>
        <v>1</v>
      </c>
      <c r="H1155" s="674"/>
      <c r="I1155" s="24">
        <f t="shared" si="196"/>
        <v>1</v>
      </c>
      <c r="J1155" s="674"/>
      <c r="K1155" s="24">
        <f t="shared" si="197"/>
        <v>1</v>
      </c>
      <c r="L1155" s="674"/>
      <c r="M1155" s="24">
        <f t="shared" si="198"/>
        <v>1</v>
      </c>
      <c r="N1155" s="674"/>
      <c r="O1155" s="24">
        <f t="shared" si="199"/>
        <v>1</v>
      </c>
      <c r="P1155" s="674"/>
      <c r="Q1155" s="24">
        <f t="shared" si="200"/>
        <v>0</v>
      </c>
      <c r="R1155" s="670">
        <f t="shared" si="201"/>
        <v>0</v>
      </c>
      <c r="S1155" s="322">
        <f t="shared" si="202"/>
        <v>0</v>
      </c>
    </row>
    <row r="1156" spans="1:19">
      <c r="A1156" s="155"/>
      <c r="B1156" s="57"/>
      <c r="C1156" s="24">
        <f t="shared" si="193"/>
        <v>1</v>
      </c>
      <c r="D1156" s="674"/>
      <c r="E1156" s="24">
        <f t="shared" si="194"/>
        <v>1</v>
      </c>
      <c r="F1156" s="674"/>
      <c r="G1156" s="24">
        <f t="shared" si="195"/>
        <v>1</v>
      </c>
      <c r="H1156" s="674"/>
      <c r="I1156" s="24">
        <f t="shared" si="196"/>
        <v>1</v>
      </c>
      <c r="J1156" s="674"/>
      <c r="K1156" s="24">
        <f t="shared" si="197"/>
        <v>1</v>
      </c>
      <c r="L1156" s="674"/>
      <c r="M1156" s="24">
        <f t="shared" si="198"/>
        <v>1</v>
      </c>
      <c r="N1156" s="674"/>
      <c r="O1156" s="24">
        <f t="shared" si="199"/>
        <v>1</v>
      </c>
      <c r="P1156" s="674"/>
      <c r="Q1156" s="24">
        <f t="shared" si="200"/>
        <v>0</v>
      </c>
      <c r="R1156" s="670">
        <f t="shared" si="201"/>
        <v>0</v>
      </c>
      <c r="S1156" s="322">
        <f t="shared" si="202"/>
        <v>0</v>
      </c>
    </row>
    <row r="1157" spans="1:19">
      <c r="A1157" s="155"/>
      <c r="B1157" s="57"/>
      <c r="C1157" s="24">
        <f t="shared" si="193"/>
        <v>1</v>
      </c>
      <c r="D1157" s="674"/>
      <c r="E1157" s="24">
        <f t="shared" si="194"/>
        <v>1</v>
      </c>
      <c r="F1157" s="674"/>
      <c r="G1157" s="24">
        <f t="shared" si="195"/>
        <v>1</v>
      </c>
      <c r="H1157" s="674"/>
      <c r="I1157" s="24">
        <f t="shared" si="196"/>
        <v>1</v>
      </c>
      <c r="J1157" s="674"/>
      <c r="K1157" s="24">
        <f t="shared" si="197"/>
        <v>1</v>
      </c>
      <c r="L1157" s="674"/>
      <c r="M1157" s="24">
        <f t="shared" si="198"/>
        <v>1</v>
      </c>
      <c r="N1157" s="674"/>
      <c r="O1157" s="24">
        <f t="shared" si="199"/>
        <v>1</v>
      </c>
      <c r="P1157" s="674"/>
      <c r="Q1157" s="24">
        <f t="shared" si="200"/>
        <v>0</v>
      </c>
      <c r="R1157" s="670">
        <f t="shared" si="201"/>
        <v>0</v>
      </c>
      <c r="S1157" s="322">
        <f t="shared" si="202"/>
        <v>0</v>
      </c>
    </row>
    <row r="1158" spans="1:19">
      <c r="A1158" s="155"/>
      <c r="B1158" s="57"/>
      <c r="C1158" s="24">
        <f t="shared" si="193"/>
        <v>1</v>
      </c>
      <c r="D1158" s="674"/>
      <c r="E1158" s="24">
        <f t="shared" si="194"/>
        <v>1</v>
      </c>
      <c r="F1158" s="674"/>
      <c r="G1158" s="24">
        <f t="shared" si="195"/>
        <v>1</v>
      </c>
      <c r="H1158" s="674"/>
      <c r="I1158" s="24">
        <f t="shared" si="196"/>
        <v>1</v>
      </c>
      <c r="J1158" s="674"/>
      <c r="K1158" s="24">
        <f t="shared" si="197"/>
        <v>1</v>
      </c>
      <c r="L1158" s="674"/>
      <c r="M1158" s="24">
        <f t="shared" si="198"/>
        <v>1</v>
      </c>
      <c r="N1158" s="674"/>
      <c r="O1158" s="24">
        <f t="shared" si="199"/>
        <v>1</v>
      </c>
      <c r="P1158" s="674"/>
      <c r="Q1158" s="24">
        <f t="shared" si="200"/>
        <v>0</v>
      </c>
      <c r="R1158" s="670">
        <f t="shared" si="201"/>
        <v>0</v>
      </c>
      <c r="S1158" s="322">
        <f t="shared" si="202"/>
        <v>0</v>
      </c>
    </row>
    <row r="1159" spans="1:19">
      <c r="A1159" s="155"/>
      <c r="B1159" s="57"/>
      <c r="C1159" s="24">
        <f t="shared" si="193"/>
        <v>1</v>
      </c>
      <c r="D1159" s="674"/>
      <c r="E1159" s="24">
        <f t="shared" si="194"/>
        <v>1</v>
      </c>
      <c r="F1159" s="674"/>
      <c r="G1159" s="24">
        <f t="shared" si="195"/>
        <v>1</v>
      </c>
      <c r="H1159" s="674"/>
      <c r="I1159" s="24">
        <f t="shared" si="196"/>
        <v>1</v>
      </c>
      <c r="J1159" s="674"/>
      <c r="K1159" s="24">
        <f t="shared" si="197"/>
        <v>1</v>
      </c>
      <c r="L1159" s="674"/>
      <c r="M1159" s="24">
        <f t="shared" si="198"/>
        <v>1</v>
      </c>
      <c r="N1159" s="674"/>
      <c r="O1159" s="24">
        <f t="shared" si="199"/>
        <v>1</v>
      </c>
      <c r="P1159" s="674"/>
      <c r="Q1159" s="24">
        <f t="shared" si="200"/>
        <v>0</v>
      </c>
      <c r="R1159" s="670">
        <f t="shared" si="201"/>
        <v>0</v>
      </c>
      <c r="S1159" s="322">
        <f t="shared" si="202"/>
        <v>0</v>
      </c>
    </row>
    <row r="1160" spans="1:19">
      <c r="A1160" s="155"/>
      <c r="B1160" s="57"/>
      <c r="C1160" s="24">
        <f t="shared" si="193"/>
        <v>1</v>
      </c>
      <c r="D1160" s="674"/>
      <c r="E1160" s="24">
        <f t="shared" si="194"/>
        <v>1</v>
      </c>
      <c r="F1160" s="674"/>
      <c r="G1160" s="24">
        <f t="shared" si="195"/>
        <v>1</v>
      </c>
      <c r="H1160" s="674"/>
      <c r="I1160" s="24">
        <f t="shared" si="196"/>
        <v>1</v>
      </c>
      <c r="J1160" s="674"/>
      <c r="K1160" s="24">
        <f t="shared" si="197"/>
        <v>1</v>
      </c>
      <c r="L1160" s="674"/>
      <c r="M1160" s="24">
        <f t="shared" si="198"/>
        <v>1</v>
      </c>
      <c r="N1160" s="674"/>
      <c r="O1160" s="24">
        <f t="shared" si="199"/>
        <v>1</v>
      </c>
      <c r="P1160" s="674"/>
      <c r="Q1160" s="24">
        <f t="shared" si="200"/>
        <v>0</v>
      </c>
      <c r="R1160" s="670">
        <f t="shared" si="201"/>
        <v>0</v>
      </c>
      <c r="S1160" s="322">
        <f t="shared" si="202"/>
        <v>0</v>
      </c>
    </row>
    <row r="1161" spans="1:19">
      <c r="A1161" s="155"/>
      <c r="B1161" s="57"/>
      <c r="C1161" s="24">
        <f t="shared" si="193"/>
        <v>1</v>
      </c>
      <c r="D1161" s="674"/>
      <c r="E1161" s="24">
        <f t="shared" si="194"/>
        <v>1</v>
      </c>
      <c r="F1161" s="674"/>
      <c r="G1161" s="24">
        <f t="shared" si="195"/>
        <v>1</v>
      </c>
      <c r="H1161" s="674"/>
      <c r="I1161" s="24">
        <f t="shared" si="196"/>
        <v>1</v>
      </c>
      <c r="J1161" s="674"/>
      <c r="K1161" s="24">
        <f t="shared" si="197"/>
        <v>1</v>
      </c>
      <c r="L1161" s="674"/>
      <c r="M1161" s="24">
        <f t="shared" si="198"/>
        <v>1</v>
      </c>
      <c r="N1161" s="674"/>
      <c r="O1161" s="24">
        <f t="shared" si="199"/>
        <v>1</v>
      </c>
      <c r="P1161" s="674"/>
      <c r="Q1161" s="24">
        <f t="shared" si="200"/>
        <v>0</v>
      </c>
      <c r="R1161" s="670">
        <f t="shared" si="201"/>
        <v>0</v>
      </c>
      <c r="S1161" s="322">
        <f t="shared" si="202"/>
        <v>0</v>
      </c>
    </row>
    <row r="1162" spans="1:19">
      <c r="A1162" s="155"/>
      <c r="B1162" s="57"/>
      <c r="C1162" s="24">
        <f t="shared" si="193"/>
        <v>1</v>
      </c>
      <c r="D1162" s="674"/>
      <c r="E1162" s="24">
        <f t="shared" si="194"/>
        <v>1</v>
      </c>
      <c r="F1162" s="674"/>
      <c r="G1162" s="24">
        <f t="shared" si="195"/>
        <v>1</v>
      </c>
      <c r="H1162" s="674"/>
      <c r="I1162" s="24">
        <f t="shared" si="196"/>
        <v>1</v>
      </c>
      <c r="J1162" s="674"/>
      <c r="K1162" s="24">
        <f t="shared" si="197"/>
        <v>1</v>
      </c>
      <c r="L1162" s="674"/>
      <c r="M1162" s="24">
        <f t="shared" si="198"/>
        <v>1</v>
      </c>
      <c r="N1162" s="674"/>
      <c r="O1162" s="24">
        <f t="shared" si="199"/>
        <v>1</v>
      </c>
      <c r="P1162" s="674"/>
      <c r="Q1162" s="24">
        <f t="shared" si="200"/>
        <v>0</v>
      </c>
      <c r="R1162" s="670">
        <f t="shared" si="201"/>
        <v>0</v>
      </c>
      <c r="S1162" s="322">
        <f t="shared" si="202"/>
        <v>0</v>
      </c>
    </row>
    <row r="1163" spans="1:19">
      <c r="A1163" s="155"/>
      <c r="B1163" s="57"/>
      <c r="C1163" s="24">
        <f t="shared" si="193"/>
        <v>1</v>
      </c>
      <c r="D1163" s="674"/>
      <c r="E1163" s="24">
        <f t="shared" si="194"/>
        <v>1</v>
      </c>
      <c r="F1163" s="674"/>
      <c r="G1163" s="24">
        <f t="shared" si="195"/>
        <v>1</v>
      </c>
      <c r="H1163" s="674"/>
      <c r="I1163" s="24">
        <f t="shared" si="196"/>
        <v>1</v>
      </c>
      <c r="J1163" s="674"/>
      <c r="K1163" s="24">
        <f t="shared" si="197"/>
        <v>1</v>
      </c>
      <c r="L1163" s="674"/>
      <c r="M1163" s="24">
        <f t="shared" si="198"/>
        <v>1</v>
      </c>
      <c r="N1163" s="674"/>
      <c r="O1163" s="24">
        <f t="shared" si="199"/>
        <v>1</v>
      </c>
      <c r="P1163" s="674"/>
      <c r="Q1163" s="24">
        <f t="shared" si="200"/>
        <v>0</v>
      </c>
      <c r="R1163" s="670">
        <f t="shared" si="201"/>
        <v>0</v>
      </c>
      <c r="S1163" s="322">
        <f t="shared" si="202"/>
        <v>0</v>
      </c>
    </row>
    <row r="1164" spans="1:19">
      <c r="A1164" s="155"/>
      <c r="B1164" s="57"/>
      <c r="C1164" s="24">
        <f t="shared" si="193"/>
        <v>1</v>
      </c>
      <c r="D1164" s="674"/>
      <c r="E1164" s="24">
        <f t="shared" si="194"/>
        <v>1</v>
      </c>
      <c r="F1164" s="674"/>
      <c r="G1164" s="24">
        <f t="shared" si="195"/>
        <v>1</v>
      </c>
      <c r="H1164" s="674"/>
      <c r="I1164" s="24">
        <f t="shared" si="196"/>
        <v>1</v>
      </c>
      <c r="J1164" s="674"/>
      <c r="K1164" s="24">
        <f t="shared" si="197"/>
        <v>1</v>
      </c>
      <c r="L1164" s="674"/>
      <c r="M1164" s="24">
        <f t="shared" si="198"/>
        <v>1</v>
      </c>
      <c r="N1164" s="674"/>
      <c r="O1164" s="24">
        <f t="shared" si="199"/>
        <v>1</v>
      </c>
      <c r="P1164" s="674"/>
      <c r="Q1164" s="24">
        <f t="shared" si="200"/>
        <v>0</v>
      </c>
      <c r="R1164" s="670">
        <f t="shared" si="201"/>
        <v>0</v>
      </c>
      <c r="S1164" s="322">
        <f t="shared" si="202"/>
        <v>0</v>
      </c>
    </row>
    <row r="1165" spans="1:19">
      <c r="A1165" s="155"/>
      <c r="B1165" s="57"/>
      <c r="C1165" s="24">
        <f t="shared" si="193"/>
        <v>1</v>
      </c>
      <c r="D1165" s="674"/>
      <c r="E1165" s="24">
        <f t="shared" si="194"/>
        <v>1</v>
      </c>
      <c r="F1165" s="674"/>
      <c r="G1165" s="24">
        <f t="shared" si="195"/>
        <v>1</v>
      </c>
      <c r="H1165" s="674"/>
      <c r="I1165" s="24">
        <f t="shared" si="196"/>
        <v>1</v>
      </c>
      <c r="J1165" s="674"/>
      <c r="K1165" s="24">
        <f t="shared" si="197"/>
        <v>1</v>
      </c>
      <c r="L1165" s="674"/>
      <c r="M1165" s="24">
        <f t="shared" si="198"/>
        <v>1</v>
      </c>
      <c r="N1165" s="674"/>
      <c r="O1165" s="24">
        <f t="shared" si="199"/>
        <v>1</v>
      </c>
      <c r="P1165" s="674"/>
      <c r="Q1165" s="24">
        <f t="shared" si="200"/>
        <v>0</v>
      </c>
      <c r="R1165" s="670">
        <f t="shared" si="201"/>
        <v>0</v>
      </c>
      <c r="S1165" s="322">
        <f t="shared" si="202"/>
        <v>0</v>
      </c>
    </row>
    <row r="1166" spans="1:19">
      <c r="A1166" s="155"/>
      <c r="B1166" s="57"/>
      <c r="C1166" s="24">
        <f t="shared" ref="C1166:C1229" si="203">IF(B1166="",1,(LOOKUP(B1166,$3:$3,$4:$4)-LOOKUP($B$24,$3:$3,$4:$4)+100)/100)</f>
        <v>1</v>
      </c>
      <c r="D1166" s="674"/>
      <c r="E1166" s="24">
        <f t="shared" ref="E1166:E1229" si="204">(SUMIF($5:$5,D1166,$6:$6)-SUMIF($5:$5,$D$24,$6:$6)+100)/100</f>
        <v>1</v>
      </c>
      <c r="F1166" s="674"/>
      <c r="G1166" s="24">
        <f t="shared" ref="G1166:G1229" si="205">(SUMIF($7:$7,F1166,$8:$8)-SUMIF($7:$7,$F$24,$8:$8)+100)/100</f>
        <v>1</v>
      </c>
      <c r="H1166" s="674"/>
      <c r="I1166" s="24">
        <f t="shared" ref="I1166:I1229" si="206">(SUMIF($9:$9,H1166,$10:$10)-SUMIF($9:$9,$H$24,$10:$10)+100)/100</f>
        <v>1</v>
      </c>
      <c r="J1166" s="674"/>
      <c r="K1166" s="24">
        <f t="shared" ref="K1166:K1229" si="207">(SUMIF($11:$11,J1166,$12:$12)-SUMIF($11:$11,$J$24,$12:$12)+100)/100</f>
        <v>1</v>
      </c>
      <c r="L1166" s="674"/>
      <c r="M1166" s="24">
        <f t="shared" ref="M1166:M1229" si="208">(SUMIF($13:$13,L1166,$14:$14)-SUMIF($13:$13,$L$24,$14:$14)+100)/100</f>
        <v>1</v>
      </c>
      <c r="N1166" s="674"/>
      <c r="O1166" s="24">
        <f t="shared" ref="O1166:O1229" si="209">(SUMIF($15:$15,N1166,$16:$16)-SUMIF($15:$15,$N$24,$16:$16)+100)/100</f>
        <v>1</v>
      </c>
      <c r="P1166" s="674"/>
      <c r="Q1166" s="24">
        <f t="shared" ref="Q1166:Q1229" si="210">(SUMIF($17:$17,P1166,$18:$18)-SUMIF($17:$17,$P$24,$18:$18)+100)/100</f>
        <v>0</v>
      </c>
      <c r="R1166" s="670">
        <f t="shared" ref="R1166:R1229" si="211">IF(B1166="",0,ROUND($R$24*C1166*E1166*G1166*I1166*K1166*M1166*O1166*Q1166,0))</f>
        <v>0</v>
      </c>
      <c r="S1166" s="322">
        <f t="shared" ref="S1166:S1229" si="212">ROUND(R1166*B1166/10000,0)</f>
        <v>0</v>
      </c>
    </row>
    <row r="1167" spans="1:19">
      <c r="A1167" s="155"/>
      <c r="B1167" s="57"/>
      <c r="C1167" s="24">
        <f t="shared" si="203"/>
        <v>1</v>
      </c>
      <c r="D1167" s="674"/>
      <c r="E1167" s="24">
        <f t="shared" si="204"/>
        <v>1</v>
      </c>
      <c r="F1167" s="674"/>
      <c r="G1167" s="24">
        <f t="shared" si="205"/>
        <v>1</v>
      </c>
      <c r="H1167" s="674"/>
      <c r="I1167" s="24">
        <f t="shared" si="206"/>
        <v>1</v>
      </c>
      <c r="J1167" s="674"/>
      <c r="K1167" s="24">
        <f t="shared" si="207"/>
        <v>1</v>
      </c>
      <c r="L1167" s="674"/>
      <c r="M1167" s="24">
        <f t="shared" si="208"/>
        <v>1</v>
      </c>
      <c r="N1167" s="674"/>
      <c r="O1167" s="24">
        <f t="shared" si="209"/>
        <v>1</v>
      </c>
      <c r="P1167" s="674"/>
      <c r="Q1167" s="24">
        <f t="shared" si="210"/>
        <v>0</v>
      </c>
      <c r="R1167" s="670">
        <f t="shared" si="211"/>
        <v>0</v>
      </c>
      <c r="S1167" s="322">
        <f t="shared" si="212"/>
        <v>0</v>
      </c>
    </row>
    <row r="1168" spans="1:19">
      <c r="A1168" s="155"/>
      <c r="B1168" s="57"/>
      <c r="C1168" s="24">
        <f t="shared" si="203"/>
        <v>1</v>
      </c>
      <c r="D1168" s="674"/>
      <c r="E1168" s="24">
        <f t="shared" si="204"/>
        <v>1</v>
      </c>
      <c r="F1168" s="674"/>
      <c r="G1168" s="24">
        <f t="shared" si="205"/>
        <v>1</v>
      </c>
      <c r="H1168" s="674"/>
      <c r="I1168" s="24">
        <f t="shared" si="206"/>
        <v>1</v>
      </c>
      <c r="J1168" s="674"/>
      <c r="K1168" s="24">
        <f t="shared" si="207"/>
        <v>1</v>
      </c>
      <c r="L1168" s="674"/>
      <c r="M1168" s="24">
        <f t="shared" si="208"/>
        <v>1</v>
      </c>
      <c r="N1168" s="674"/>
      <c r="O1168" s="24">
        <f t="shared" si="209"/>
        <v>1</v>
      </c>
      <c r="P1168" s="674"/>
      <c r="Q1168" s="24">
        <f t="shared" si="210"/>
        <v>0</v>
      </c>
      <c r="R1168" s="670">
        <f t="shared" si="211"/>
        <v>0</v>
      </c>
      <c r="S1168" s="322">
        <f t="shared" si="212"/>
        <v>0</v>
      </c>
    </row>
    <row r="1169" spans="1:19">
      <c r="A1169" s="155"/>
      <c r="B1169" s="57"/>
      <c r="C1169" s="24">
        <f t="shared" si="203"/>
        <v>1</v>
      </c>
      <c r="D1169" s="674"/>
      <c r="E1169" s="24">
        <f t="shared" si="204"/>
        <v>1</v>
      </c>
      <c r="F1169" s="674"/>
      <c r="G1169" s="24">
        <f t="shared" si="205"/>
        <v>1</v>
      </c>
      <c r="H1169" s="674"/>
      <c r="I1169" s="24">
        <f t="shared" si="206"/>
        <v>1</v>
      </c>
      <c r="J1169" s="674"/>
      <c r="K1169" s="24">
        <f t="shared" si="207"/>
        <v>1</v>
      </c>
      <c r="L1169" s="674"/>
      <c r="M1169" s="24">
        <f t="shared" si="208"/>
        <v>1</v>
      </c>
      <c r="N1169" s="674"/>
      <c r="O1169" s="24">
        <f t="shared" si="209"/>
        <v>1</v>
      </c>
      <c r="P1169" s="674"/>
      <c r="Q1169" s="24">
        <f t="shared" si="210"/>
        <v>0</v>
      </c>
      <c r="R1169" s="670">
        <f t="shared" si="211"/>
        <v>0</v>
      </c>
      <c r="S1169" s="322">
        <f t="shared" si="212"/>
        <v>0</v>
      </c>
    </row>
    <row r="1170" spans="1:19">
      <c r="A1170" s="155"/>
      <c r="B1170" s="57"/>
      <c r="C1170" s="24">
        <f t="shared" si="203"/>
        <v>1</v>
      </c>
      <c r="D1170" s="674"/>
      <c r="E1170" s="24">
        <f t="shared" si="204"/>
        <v>1</v>
      </c>
      <c r="F1170" s="674"/>
      <c r="G1170" s="24">
        <f t="shared" si="205"/>
        <v>1</v>
      </c>
      <c r="H1170" s="674"/>
      <c r="I1170" s="24">
        <f t="shared" si="206"/>
        <v>1</v>
      </c>
      <c r="J1170" s="674"/>
      <c r="K1170" s="24">
        <f t="shared" si="207"/>
        <v>1</v>
      </c>
      <c r="L1170" s="674"/>
      <c r="M1170" s="24">
        <f t="shared" si="208"/>
        <v>1</v>
      </c>
      <c r="N1170" s="674"/>
      <c r="O1170" s="24">
        <f t="shared" si="209"/>
        <v>1</v>
      </c>
      <c r="P1170" s="674"/>
      <c r="Q1170" s="24">
        <f t="shared" si="210"/>
        <v>0</v>
      </c>
      <c r="R1170" s="670">
        <f t="shared" si="211"/>
        <v>0</v>
      </c>
      <c r="S1170" s="322">
        <f t="shared" si="212"/>
        <v>0</v>
      </c>
    </row>
    <row r="1171" spans="1:19">
      <c r="A1171" s="155"/>
      <c r="B1171" s="57"/>
      <c r="C1171" s="24">
        <f t="shared" si="203"/>
        <v>1</v>
      </c>
      <c r="D1171" s="674"/>
      <c r="E1171" s="24">
        <f t="shared" si="204"/>
        <v>1</v>
      </c>
      <c r="F1171" s="674"/>
      <c r="G1171" s="24">
        <f t="shared" si="205"/>
        <v>1</v>
      </c>
      <c r="H1171" s="674"/>
      <c r="I1171" s="24">
        <f t="shared" si="206"/>
        <v>1</v>
      </c>
      <c r="J1171" s="674"/>
      <c r="K1171" s="24">
        <f t="shared" si="207"/>
        <v>1</v>
      </c>
      <c r="L1171" s="674"/>
      <c r="M1171" s="24">
        <f t="shared" si="208"/>
        <v>1</v>
      </c>
      <c r="N1171" s="674"/>
      <c r="O1171" s="24">
        <f t="shared" si="209"/>
        <v>1</v>
      </c>
      <c r="P1171" s="674"/>
      <c r="Q1171" s="24">
        <f t="shared" si="210"/>
        <v>0</v>
      </c>
      <c r="R1171" s="670">
        <f t="shared" si="211"/>
        <v>0</v>
      </c>
      <c r="S1171" s="322">
        <f t="shared" si="212"/>
        <v>0</v>
      </c>
    </row>
    <row r="1172" spans="1:19">
      <c r="A1172" s="155"/>
      <c r="B1172" s="57"/>
      <c r="C1172" s="24">
        <f t="shared" si="203"/>
        <v>1</v>
      </c>
      <c r="D1172" s="674"/>
      <c r="E1172" s="24">
        <f t="shared" si="204"/>
        <v>1</v>
      </c>
      <c r="F1172" s="674"/>
      <c r="G1172" s="24">
        <f t="shared" si="205"/>
        <v>1</v>
      </c>
      <c r="H1172" s="674"/>
      <c r="I1172" s="24">
        <f t="shared" si="206"/>
        <v>1</v>
      </c>
      <c r="J1172" s="674"/>
      <c r="K1172" s="24">
        <f t="shared" si="207"/>
        <v>1</v>
      </c>
      <c r="L1172" s="674"/>
      <c r="M1172" s="24">
        <f t="shared" si="208"/>
        <v>1</v>
      </c>
      <c r="N1172" s="674"/>
      <c r="O1172" s="24">
        <f t="shared" si="209"/>
        <v>1</v>
      </c>
      <c r="P1172" s="674"/>
      <c r="Q1172" s="24">
        <f t="shared" si="210"/>
        <v>0</v>
      </c>
      <c r="R1172" s="670">
        <f t="shared" si="211"/>
        <v>0</v>
      </c>
      <c r="S1172" s="322">
        <f t="shared" si="212"/>
        <v>0</v>
      </c>
    </row>
    <row r="1173" spans="1:19">
      <c r="A1173" s="155"/>
      <c r="B1173" s="57"/>
      <c r="C1173" s="24">
        <f t="shared" si="203"/>
        <v>1</v>
      </c>
      <c r="D1173" s="674"/>
      <c r="E1173" s="24">
        <f t="shared" si="204"/>
        <v>1</v>
      </c>
      <c r="F1173" s="674"/>
      <c r="G1173" s="24">
        <f t="shared" si="205"/>
        <v>1</v>
      </c>
      <c r="H1173" s="674"/>
      <c r="I1173" s="24">
        <f t="shared" si="206"/>
        <v>1</v>
      </c>
      <c r="J1173" s="674"/>
      <c r="K1173" s="24">
        <f t="shared" si="207"/>
        <v>1</v>
      </c>
      <c r="L1173" s="674"/>
      <c r="M1173" s="24">
        <f t="shared" si="208"/>
        <v>1</v>
      </c>
      <c r="N1173" s="674"/>
      <c r="O1173" s="24">
        <f t="shared" si="209"/>
        <v>1</v>
      </c>
      <c r="P1173" s="674"/>
      <c r="Q1173" s="24">
        <f t="shared" si="210"/>
        <v>0</v>
      </c>
      <c r="R1173" s="670">
        <f t="shared" si="211"/>
        <v>0</v>
      </c>
      <c r="S1173" s="322">
        <f t="shared" si="212"/>
        <v>0</v>
      </c>
    </row>
    <row r="1174" spans="1:19">
      <c r="A1174" s="155"/>
      <c r="B1174" s="57"/>
      <c r="C1174" s="24">
        <f t="shared" si="203"/>
        <v>1</v>
      </c>
      <c r="D1174" s="674"/>
      <c r="E1174" s="24">
        <f t="shared" si="204"/>
        <v>1</v>
      </c>
      <c r="F1174" s="674"/>
      <c r="G1174" s="24">
        <f t="shared" si="205"/>
        <v>1</v>
      </c>
      <c r="H1174" s="674"/>
      <c r="I1174" s="24">
        <f t="shared" si="206"/>
        <v>1</v>
      </c>
      <c r="J1174" s="674"/>
      <c r="K1174" s="24">
        <f t="shared" si="207"/>
        <v>1</v>
      </c>
      <c r="L1174" s="674"/>
      <c r="M1174" s="24">
        <f t="shared" si="208"/>
        <v>1</v>
      </c>
      <c r="N1174" s="674"/>
      <c r="O1174" s="24">
        <f t="shared" si="209"/>
        <v>1</v>
      </c>
      <c r="P1174" s="674"/>
      <c r="Q1174" s="24">
        <f t="shared" si="210"/>
        <v>0</v>
      </c>
      <c r="R1174" s="670">
        <f t="shared" si="211"/>
        <v>0</v>
      </c>
      <c r="S1174" s="322">
        <f t="shared" si="212"/>
        <v>0</v>
      </c>
    </row>
    <row r="1175" spans="1:19">
      <c r="A1175" s="155"/>
      <c r="B1175" s="57"/>
      <c r="C1175" s="24">
        <f t="shared" si="203"/>
        <v>1</v>
      </c>
      <c r="D1175" s="674"/>
      <c r="E1175" s="24">
        <f t="shared" si="204"/>
        <v>1</v>
      </c>
      <c r="F1175" s="674"/>
      <c r="G1175" s="24">
        <f t="shared" si="205"/>
        <v>1</v>
      </c>
      <c r="H1175" s="674"/>
      <c r="I1175" s="24">
        <f t="shared" si="206"/>
        <v>1</v>
      </c>
      <c r="J1175" s="674"/>
      <c r="K1175" s="24">
        <f t="shared" si="207"/>
        <v>1</v>
      </c>
      <c r="L1175" s="674"/>
      <c r="M1175" s="24">
        <f t="shared" si="208"/>
        <v>1</v>
      </c>
      <c r="N1175" s="674"/>
      <c r="O1175" s="24">
        <f t="shared" si="209"/>
        <v>1</v>
      </c>
      <c r="P1175" s="674"/>
      <c r="Q1175" s="24">
        <f t="shared" si="210"/>
        <v>0</v>
      </c>
      <c r="R1175" s="670">
        <f t="shared" si="211"/>
        <v>0</v>
      </c>
      <c r="S1175" s="322">
        <f t="shared" si="212"/>
        <v>0</v>
      </c>
    </row>
    <row r="1176" spans="1:19">
      <c r="A1176" s="155"/>
      <c r="B1176" s="57"/>
      <c r="C1176" s="24">
        <f t="shared" si="203"/>
        <v>1</v>
      </c>
      <c r="D1176" s="674"/>
      <c r="E1176" s="24">
        <f t="shared" si="204"/>
        <v>1</v>
      </c>
      <c r="F1176" s="674"/>
      <c r="G1176" s="24">
        <f t="shared" si="205"/>
        <v>1</v>
      </c>
      <c r="H1176" s="674"/>
      <c r="I1176" s="24">
        <f t="shared" si="206"/>
        <v>1</v>
      </c>
      <c r="J1176" s="674"/>
      <c r="K1176" s="24">
        <f t="shared" si="207"/>
        <v>1</v>
      </c>
      <c r="L1176" s="674"/>
      <c r="M1176" s="24">
        <f t="shared" si="208"/>
        <v>1</v>
      </c>
      <c r="N1176" s="674"/>
      <c r="O1176" s="24">
        <f t="shared" si="209"/>
        <v>1</v>
      </c>
      <c r="P1176" s="674"/>
      <c r="Q1176" s="24">
        <f t="shared" si="210"/>
        <v>0</v>
      </c>
      <c r="R1176" s="670">
        <f t="shared" si="211"/>
        <v>0</v>
      </c>
      <c r="S1176" s="322">
        <f t="shared" si="212"/>
        <v>0</v>
      </c>
    </row>
    <row r="1177" spans="1:19">
      <c r="A1177" s="155"/>
      <c r="B1177" s="57"/>
      <c r="C1177" s="24">
        <f t="shared" si="203"/>
        <v>1</v>
      </c>
      <c r="D1177" s="674"/>
      <c r="E1177" s="24">
        <f t="shared" si="204"/>
        <v>1</v>
      </c>
      <c r="F1177" s="674"/>
      <c r="G1177" s="24">
        <f t="shared" si="205"/>
        <v>1</v>
      </c>
      <c r="H1177" s="674"/>
      <c r="I1177" s="24">
        <f t="shared" si="206"/>
        <v>1</v>
      </c>
      <c r="J1177" s="674"/>
      <c r="K1177" s="24">
        <f t="shared" si="207"/>
        <v>1</v>
      </c>
      <c r="L1177" s="674"/>
      <c r="M1177" s="24">
        <f t="shared" si="208"/>
        <v>1</v>
      </c>
      <c r="N1177" s="674"/>
      <c r="O1177" s="24">
        <f t="shared" si="209"/>
        <v>1</v>
      </c>
      <c r="P1177" s="674"/>
      <c r="Q1177" s="24">
        <f t="shared" si="210"/>
        <v>0</v>
      </c>
      <c r="R1177" s="670">
        <f t="shared" si="211"/>
        <v>0</v>
      </c>
      <c r="S1177" s="322">
        <f t="shared" si="212"/>
        <v>0</v>
      </c>
    </row>
    <row r="1178" spans="1:19">
      <c r="A1178" s="155"/>
      <c r="B1178" s="57"/>
      <c r="C1178" s="24">
        <f t="shared" si="203"/>
        <v>1</v>
      </c>
      <c r="D1178" s="674"/>
      <c r="E1178" s="24">
        <f t="shared" si="204"/>
        <v>1</v>
      </c>
      <c r="F1178" s="674"/>
      <c r="G1178" s="24">
        <f t="shared" si="205"/>
        <v>1</v>
      </c>
      <c r="H1178" s="674"/>
      <c r="I1178" s="24">
        <f t="shared" si="206"/>
        <v>1</v>
      </c>
      <c r="J1178" s="674"/>
      <c r="K1178" s="24">
        <f t="shared" si="207"/>
        <v>1</v>
      </c>
      <c r="L1178" s="674"/>
      <c r="M1178" s="24">
        <f t="shared" si="208"/>
        <v>1</v>
      </c>
      <c r="N1178" s="674"/>
      <c r="O1178" s="24">
        <f t="shared" si="209"/>
        <v>1</v>
      </c>
      <c r="P1178" s="674"/>
      <c r="Q1178" s="24">
        <f t="shared" si="210"/>
        <v>0</v>
      </c>
      <c r="R1178" s="670">
        <f t="shared" si="211"/>
        <v>0</v>
      </c>
      <c r="S1178" s="322">
        <f t="shared" si="212"/>
        <v>0</v>
      </c>
    </row>
    <row r="1179" spans="1:19">
      <c r="A1179" s="155"/>
      <c r="B1179" s="57"/>
      <c r="C1179" s="24">
        <f t="shared" si="203"/>
        <v>1</v>
      </c>
      <c r="D1179" s="674"/>
      <c r="E1179" s="24">
        <f t="shared" si="204"/>
        <v>1</v>
      </c>
      <c r="F1179" s="674"/>
      <c r="G1179" s="24">
        <f t="shared" si="205"/>
        <v>1</v>
      </c>
      <c r="H1179" s="674"/>
      <c r="I1179" s="24">
        <f t="shared" si="206"/>
        <v>1</v>
      </c>
      <c r="J1179" s="674"/>
      <c r="K1179" s="24">
        <f t="shared" si="207"/>
        <v>1</v>
      </c>
      <c r="L1179" s="674"/>
      <c r="M1179" s="24">
        <f t="shared" si="208"/>
        <v>1</v>
      </c>
      <c r="N1179" s="674"/>
      <c r="O1179" s="24">
        <f t="shared" si="209"/>
        <v>1</v>
      </c>
      <c r="P1179" s="674"/>
      <c r="Q1179" s="24">
        <f t="shared" si="210"/>
        <v>0</v>
      </c>
      <c r="R1179" s="670">
        <f t="shared" si="211"/>
        <v>0</v>
      </c>
      <c r="S1179" s="322">
        <f t="shared" si="212"/>
        <v>0</v>
      </c>
    </row>
    <row r="1180" spans="1:19">
      <c r="A1180" s="155"/>
      <c r="B1180" s="57"/>
      <c r="C1180" s="24">
        <f t="shared" si="203"/>
        <v>1</v>
      </c>
      <c r="D1180" s="674"/>
      <c r="E1180" s="24">
        <f t="shared" si="204"/>
        <v>1</v>
      </c>
      <c r="F1180" s="674"/>
      <c r="G1180" s="24">
        <f t="shared" si="205"/>
        <v>1</v>
      </c>
      <c r="H1180" s="674"/>
      <c r="I1180" s="24">
        <f t="shared" si="206"/>
        <v>1</v>
      </c>
      <c r="J1180" s="674"/>
      <c r="K1180" s="24">
        <f t="shared" si="207"/>
        <v>1</v>
      </c>
      <c r="L1180" s="674"/>
      <c r="M1180" s="24">
        <f t="shared" si="208"/>
        <v>1</v>
      </c>
      <c r="N1180" s="674"/>
      <c r="O1180" s="24">
        <f t="shared" si="209"/>
        <v>1</v>
      </c>
      <c r="P1180" s="674"/>
      <c r="Q1180" s="24">
        <f t="shared" si="210"/>
        <v>0</v>
      </c>
      <c r="R1180" s="670">
        <f t="shared" si="211"/>
        <v>0</v>
      </c>
      <c r="S1180" s="322">
        <f t="shared" si="212"/>
        <v>0</v>
      </c>
    </row>
    <row r="1181" spans="1:19">
      <c r="A1181" s="155"/>
      <c r="B1181" s="57"/>
      <c r="C1181" s="24">
        <f t="shared" si="203"/>
        <v>1</v>
      </c>
      <c r="D1181" s="674"/>
      <c r="E1181" s="24">
        <f t="shared" si="204"/>
        <v>1</v>
      </c>
      <c r="F1181" s="674"/>
      <c r="G1181" s="24">
        <f t="shared" si="205"/>
        <v>1</v>
      </c>
      <c r="H1181" s="674"/>
      <c r="I1181" s="24">
        <f t="shared" si="206"/>
        <v>1</v>
      </c>
      <c r="J1181" s="674"/>
      <c r="K1181" s="24">
        <f t="shared" si="207"/>
        <v>1</v>
      </c>
      <c r="L1181" s="674"/>
      <c r="M1181" s="24">
        <f t="shared" si="208"/>
        <v>1</v>
      </c>
      <c r="N1181" s="674"/>
      <c r="O1181" s="24">
        <f t="shared" si="209"/>
        <v>1</v>
      </c>
      <c r="P1181" s="674"/>
      <c r="Q1181" s="24">
        <f t="shared" si="210"/>
        <v>0</v>
      </c>
      <c r="R1181" s="670">
        <f t="shared" si="211"/>
        <v>0</v>
      </c>
      <c r="S1181" s="322">
        <f t="shared" si="212"/>
        <v>0</v>
      </c>
    </row>
    <row r="1182" spans="1:19">
      <c r="A1182" s="155"/>
      <c r="B1182" s="57"/>
      <c r="C1182" s="24">
        <f t="shared" si="203"/>
        <v>1</v>
      </c>
      <c r="D1182" s="674"/>
      <c r="E1182" s="24">
        <f t="shared" si="204"/>
        <v>1</v>
      </c>
      <c r="F1182" s="674"/>
      <c r="G1182" s="24">
        <f t="shared" si="205"/>
        <v>1</v>
      </c>
      <c r="H1182" s="674"/>
      <c r="I1182" s="24">
        <f t="shared" si="206"/>
        <v>1</v>
      </c>
      <c r="J1182" s="674"/>
      <c r="K1182" s="24">
        <f t="shared" si="207"/>
        <v>1</v>
      </c>
      <c r="L1182" s="674"/>
      <c r="M1182" s="24">
        <f t="shared" si="208"/>
        <v>1</v>
      </c>
      <c r="N1182" s="674"/>
      <c r="O1182" s="24">
        <f t="shared" si="209"/>
        <v>1</v>
      </c>
      <c r="P1182" s="674"/>
      <c r="Q1182" s="24">
        <f t="shared" si="210"/>
        <v>0</v>
      </c>
      <c r="R1182" s="670">
        <f t="shared" si="211"/>
        <v>0</v>
      </c>
      <c r="S1182" s="322">
        <f t="shared" si="212"/>
        <v>0</v>
      </c>
    </row>
    <row r="1183" spans="1:19">
      <c r="A1183" s="155"/>
      <c r="B1183" s="57"/>
      <c r="C1183" s="24">
        <f t="shared" si="203"/>
        <v>1</v>
      </c>
      <c r="D1183" s="674"/>
      <c r="E1183" s="24">
        <f t="shared" si="204"/>
        <v>1</v>
      </c>
      <c r="F1183" s="674"/>
      <c r="G1183" s="24">
        <f t="shared" si="205"/>
        <v>1</v>
      </c>
      <c r="H1183" s="674"/>
      <c r="I1183" s="24">
        <f t="shared" si="206"/>
        <v>1</v>
      </c>
      <c r="J1183" s="674"/>
      <c r="K1183" s="24">
        <f t="shared" si="207"/>
        <v>1</v>
      </c>
      <c r="L1183" s="674"/>
      <c r="M1183" s="24">
        <f t="shared" si="208"/>
        <v>1</v>
      </c>
      <c r="N1183" s="674"/>
      <c r="O1183" s="24">
        <f t="shared" si="209"/>
        <v>1</v>
      </c>
      <c r="P1183" s="674"/>
      <c r="Q1183" s="24">
        <f t="shared" si="210"/>
        <v>0</v>
      </c>
      <c r="R1183" s="670">
        <f t="shared" si="211"/>
        <v>0</v>
      </c>
      <c r="S1183" s="322">
        <f t="shared" si="212"/>
        <v>0</v>
      </c>
    </row>
    <row r="1184" spans="1:19">
      <c r="A1184" s="155"/>
      <c r="B1184" s="57"/>
      <c r="C1184" s="24">
        <f t="shared" si="203"/>
        <v>1</v>
      </c>
      <c r="D1184" s="674"/>
      <c r="E1184" s="24">
        <f t="shared" si="204"/>
        <v>1</v>
      </c>
      <c r="F1184" s="674"/>
      <c r="G1184" s="24">
        <f t="shared" si="205"/>
        <v>1</v>
      </c>
      <c r="H1184" s="674"/>
      <c r="I1184" s="24">
        <f t="shared" si="206"/>
        <v>1</v>
      </c>
      <c r="J1184" s="674"/>
      <c r="K1184" s="24">
        <f t="shared" si="207"/>
        <v>1</v>
      </c>
      <c r="L1184" s="674"/>
      <c r="M1184" s="24">
        <f t="shared" si="208"/>
        <v>1</v>
      </c>
      <c r="N1184" s="674"/>
      <c r="O1184" s="24">
        <f t="shared" si="209"/>
        <v>1</v>
      </c>
      <c r="P1184" s="674"/>
      <c r="Q1184" s="24">
        <f t="shared" si="210"/>
        <v>0</v>
      </c>
      <c r="R1184" s="670">
        <f t="shared" si="211"/>
        <v>0</v>
      </c>
      <c r="S1184" s="322">
        <f t="shared" si="212"/>
        <v>0</v>
      </c>
    </row>
    <row r="1185" spans="1:19">
      <c r="A1185" s="155"/>
      <c r="B1185" s="57"/>
      <c r="C1185" s="24">
        <f t="shared" si="203"/>
        <v>1</v>
      </c>
      <c r="D1185" s="674"/>
      <c r="E1185" s="24">
        <f t="shared" si="204"/>
        <v>1</v>
      </c>
      <c r="F1185" s="674"/>
      <c r="G1185" s="24">
        <f t="shared" si="205"/>
        <v>1</v>
      </c>
      <c r="H1185" s="674"/>
      <c r="I1185" s="24">
        <f t="shared" si="206"/>
        <v>1</v>
      </c>
      <c r="J1185" s="674"/>
      <c r="K1185" s="24">
        <f t="shared" si="207"/>
        <v>1</v>
      </c>
      <c r="L1185" s="674"/>
      <c r="M1185" s="24">
        <f t="shared" si="208"/>
        <v>1</v>
      </c>
      <c r="N1185" s="674"/>
      <c r="O1185" s="24">
        <f t="shared" si="209"/>
        <v>1</v>
      </c>
      <c r="P1185" s="674"/>
      <c r="Q1185" s="24">
        <f t="shared" si="210"/>
        <v>0</v>
      </c>
      <c r="R1185" s="670">
        <f t="shared" si="211"/>
        <v>0</v>
      </c>
      <c r="S1185" s="322">
        <f t="shared" si="212"/>
        <v>0</v>
      </c>
    </row>
    <row r="1186" spans="1:19">
      <c r="A1186" s="155"/>
      <c r="B1186" s="57"/>
      <c r="C1186" s="24">
        <f t="shared" si="203"/>
        <v>1</v>
      </c>
      <c r="D1186" s="674"/>
      <c r="E1186" s="24">
        <f t="shared" si="204"/>
        <v>1</v>
      </c>
      <c r="F1186" s="674"/>
      <c r="G1186" s="24">
        <f t="shared" si="205"/>
        <v>1</v>
      </c>
      <c r="H1186" s="674"/>
      <c r="I1186" s="24">
        <f t="shared" si="206"/>
        <v>1</v>
      </c>
      <c r="J1186" s="674"/>
      <c r="K1186" s="24">
        <f t="shared" si="207"/>
        <v>1</v>
      </c>
      <c r="L1186" s="674"/>
      <c r="M1186" s="24">
        <f t="shared" si="208"/>
        <v>1</v>
      </c>
      <c r="N1186" s="674"/>
      <c r="O1186" s="24">
        <f t="shared" si="209"/>
        <v>1</v>
      </c>
      <c r="P1186" s="674"/>
      <c r="Q1186" s="24">
        <f t="shared" si="210"/>
        <v>0</v>
      </c>
      <c r="R1186" s="670">
        <f t="shared" si="211"/>
        <v>0</v>
      </c>
      <c r="S1186" s="322">
        <f t="shared" si="212"/>
        <v>0</v>
      </c>
    </row>
    <row r="1187" spans="1:19">
      <c r="A1187" s="155"/>
      <c r="B1187" s="57"/>
      <c r="C1187" s="24">
        <f t="shared" si="203"/>
        <v>1</v>
      </c>
      <c r="D1187" s="674"/>
      <c r="E1187" s="24">
        <f t="shared" si="204"/>
        <v>1</v>
      </c>
      <c r="F1187" s="674"/>
      <c r="G1187" s="24">
        <f t="shared" si="205"/>
        <v>1</v>
      </c>
      <c r="H1187" s="674"/>
      <c r="I1187" s="24">
        <f t="shared" si="206"/>
        <v>1</v>
      </c>
      <c r="J1187" s="674"/>
      <c r="K1187" s="24">
        <f t="shared" si="207"/>
        <v>1</v>
      </c>
      <c r="L1187" s="674"/>
      <c r="M1187" s="24">
        <f t="shared" si="208"/>
        <v>1</v>
      </c>
      <c r="N1187" s="674"/>
      <c r="O1187" s="24">
        <f t="shared" si="209"/>
        <v>1</v>
      </c>
      <c r="P1187" s="674"/>
      <c r="Q1187" s="24">
        <f t="shared" si="210"/>
        <v>0</v>
      </c>
      <c r="R1187" s="670">
        <f t="shared" si="211"/>
        <v>0</v>
      </c>
      <c r="S1187" s="322">
        <f t="shared" si="212"/>
        <v>0</v>
      </c>
    </row>
    <row r="1188" spans="1:19">
      <c r="A1188" s="155"/>
      <c r="B1188" s="57"/>
      <c r="C1188" s="24">
        <f t="shared" si="203"/>
        <v>1</v>
      </c>
      <c r="D1188" s="674"/>
      <c r="E1188" s="24">
        <f t="shared" si="204"/>
        <v>1</v>
      </c>
      <c r="F1188" s="674"/>
      <c r="G1188" s="24">
        <f t="shared" si="205"/>
        <v>1</v>
      </c>
      <c r="H1188" s="674"/>
      <c r="I1188" s="24">
        <f t="shared" si="206"/>
        <v>1</v>
      </c>
      <c r="J1188" s="674"/>
      <c r="K1188" s="24">
        <f t="shared" si="207"/>
        <v>1</v>
      </c>
      <c r="L1188" s="674"/>
      <c r="M1188" s="24">
        <f t="shared" si="208"/>
        <v>1</v>
      </c>
      <c r="N1188" s="674"/>
      <c r="O1188" s="24">
        <f t="shared" si="209"/>
        <v>1</v>
      </c>
      <c r="P1188" s="674"/>
      <c r="Q1188" s="24">
        <f t="shared" si="210"/>
        <v>0</v>
      </c>
      <c r="R1188" s="670">
        <f t="shared" si="211"/>
        <v>0</v>
      </c>
      <c r="S1188" s="322">
        <f t="shared" si="212"/>
        <v>0</v>
      </c>
    </row>
    <row r="1189" spans="1:19">
      <c r="A1189" s="155"/>
      <c r="B1189" s="57"/>
      <c r="C1189" s="24">
        <f t="shared" si="203"/>
        <v>1</v>
      </c>
      <c r="D1189" s="674"/>
      <c r="E1189" s="24">
        <f t="shared" si="204"/>
        <v>1</v>
      </c>
      <c r="F1189" s="674"/>
      <c r="G1189" s="24">
        <f t="shared" si="205"/>
        <v>1</v>
      </c>
      <c r="H1189" s="674"/>
      <c r="I1189" s="24">
        <f t="shared" si="206"/>
        <v>1</v>
      </c>
      <c r="J1189" s="674"/>
      <c r="K1189" s="24">
        <f t="shared" si="207"/>
        <v>1</v>
      </c>
      <c r="L1189" s="674"/>
      <c r="M1189" s="24">
        <f t="shared" si="208"/>
        <v>1</v>
      </c>
      <c r="N1189" s="674"/>
      <c r="O1189" s="24">
        <f t="shared" si="209"/>
        <v>1</v>
      </c>
      <c r="P1189" s="674"/>
      <c r="Q1189" s="24">
        <f t="shared" si="210"/>
        <v>0</v>
      </c>
      <c r="R1189" s="670">
        <f t="shared" si="211"/>
        <v>0</v>
      </c>
      <c r="S1189" s="322">
        <f t="shared" si="212"/>
        <v>0</v>
      </c>
    </row>
    <row r="1190" spans="1:19">
      <c r="A1190" s="155"/>
      <c r="B1190" s="57"/>
      <c r="C1190" s="24">
        <f t="shared" si="203"/>
        <v>1</v>
      </c>
      <c r="D1190" s="674"/>
      <c r="E1190" s="24">
        <f t="shared" si="204"/>
        <v>1</v>
      </c>
      <c r="F1190" s="674"/>
      <c r="G1190" s="24">
        <f t="shared" si="205"/>
        <v>1</v>
      </c>
      <c r="H1190" s="674"/>
      <c r="I1190" s="24">
        <f t="shared" si="206"/>
        <v>1</v>
      </c>
      <c r="J1190" s="674"/>
      <c r="K1190" s="24">
        <f t="shared" si="207"/>
        <v>1</v>
      </c>
      <c r="L1190" s="674"/>
      <c r="M1190" s="24">
        <f t="shared" si="208"/>
        <v>1</v>
      </c>
      <c r="N1190" s="674"/>
      <c r="O1190" s="24">
        <f t="shared" si="209"/>
        <v>1</v>
      </c>
      <c r="P1190" s="674"/>
      <c r="Q1190" s="24">
        <f t="shared" si="210"/>
        <v>0</v>
      </c>
      <c r="R1190" s="670">
        <f t="shared" si="211"/>
        <v>0</v>
      </c>
      <c r="S1190" s="322">
        <f t="shared" si="212"/>
        <v>0</v>
      </c>
    </row>
    <row r="1191" spans="1:19">
      <c r="A1191" s="155"/>
      <c r="B1191" s="57"/>
      <c r="C1191" s="24">
        <f t="shared" si="203"/>
        <v>1</v>
      </c>
      <c r="D1191" s="674"/>
      <c r="E1191" s="24">
        <f t="shared" si="204"/>
        <v>1</v>
      </c>
      <c r="F1191" s="674"/>
      <c r="G1191" s="24">
        <f t="shared" si="205"/>
        <v>1</v>
      </c>
      <c r="H1191" s="674"/>
      <c r="I1191" s="24">
        <f t="shared" si="206"/>
        <v>1</v>
      </c>
      <c r="J1191" s="674"/>
      <c r="K1191" s="24">
        <f t="shared" si="207"/>
        <v>1</v>
      </c>
      <c r="L1191" s="674"/>
      <c r="M1191" s="24">
        <f t="shared" si="208"/>
        <v>1</v>
      </c>
      <c r="N1191" s="674"/>
      <c r="O1191" s="24">
        <f t="shared" si="209"/>
        <v>1</v>
      </c>
      <c r="P1191" s="674"/>
      <c r="Q1191" s="24">
        <f t="shared" si="210"/>
        <v>0</v>
      </c>
      <c r="R1191" s="670">
        <f t="shared" si="211"/>
        <v>0</v>
      </c>
      <c r="S1191" s="322">
        <f t="shared" si="212"/>
        <v>0</v>
      </c>
    </row>
    <row r="1192" spans="1:19">
      <c r="A1192" s="155"/>
      <c r="B1192" s="57"/>
      <c r="C1192" s="24">
        <f t="shared" si="203"/>
        <v>1</v>
      </c>
      <c r="D1192" s="674"/>
      <c r="E1192" s="24">
        <f t="shared" si="204"/>
        <v>1</v>
      </c>
      <c r="F1192" s="674"/>
      <c r="G1192" s="24">
        <f t="shared" si="205"/>
        <v>1</v>
      </c>
      <c r="H1192" s="674"/>
      <c r="I1192" s="24">
        <f t="shared" si="206"/>
        <v>1</v>
      </c>
      <c r="J1192" s="674"/>
      <c r="K1192" s="24">
        <f t="shared" si="207"/>
        <v>1</v>
      </c>
      <c r="L1192" s="674"/>
      <c r="M1192" s="24">
        <f t="shared" si="208"/>
        <v>1</v>
      </c>
      <c r="N1192" s="674"/>
      <c r="O1192" s="24">
        <f t="shared" si="209"/>
        <v>1</v>
      </c>
      <c r="P1192" s="674"/>
      <c r="Q1192" s="24">
        <f t="shared" si="210"/>
        <v>0</v>
      </c>
      <c r="R1192" s="670">
        <f t="shared" si="211"/>
        <v>0</v>
      </c>
      <c r="S1192" s="322">
        <f t="shared" si="212"/>
        <v>0</v>
      </c>
    </row>
    <row r="1193" spans="1:19">
      <c r="A1193" s="155"/>
      <c r="B1193" s="57"/>
      <c r="C1193" s="24">
        <f t="shared" si="203"/>
        <v>1</v>
      </c>
      <c r="D1193" s="674"/>
      <c r="E1193" s="24">
        <f t="shared" si="204"/>
        <v>1</v>
      </c>
      <c r="F1193" s="674"/>
      <c r="G1193" s="24">
        <f t="shared" si="205"/>
        <v>1</v>
      </c>
      <c r="H1193" s="674"/>
      <c r="I1193" s="24">
        <f t="shared" si="206"/>
        <v>1</v>
      </c>
      <c r="J1193" s="674"/>
      <c r="K1193" s="24">
        <f t="shared" si="207"/>
        <v>1</v>
      </c>
      <c r="L1193" s="674"/>
      <c r="M1193" s="24">
        <f t="shared" si="208"/>
        <v>1</v>
      </c>
      <c r="N1193" s="674"/>
      <c r="O1193" s="24">
        <f t="shared" si="209"/>
        <v>1</v>
      </c>
      <c r="P1193" s="674"/>
      <c r="Q1193" s="24">
        <f t="shared" si="210"/>
        <v>0</v>
      </c>
      <c r="R1193" s="670">
        <f t="shared" si="211"/>
        <v>0</v>
      </c>
      <c r="S1193" s="322">
        <f t="shared" si="212"/>
        <v>0</v>
      </c>
    </row>
    <row r="1194" spans="1:19">
      <c r="A1194" s="155"/>
      <c r="B1194" s="57"/>
      <c r="C1194" s="24">
        <f t="shared" si="203"/>
        <v>1</v>
      </c>
      <c r="D1194" s="674"/>
      <c r="E1194" s="24">
        <f t="shared" si="204"/>
        <v>1</v>
      </c>
      <c r="F1194" s="674"/>
      <c r="G1194" s="24">
        <f t="shared" si="205"/>
        <v>1</v>
      </c>
      <c r="H1194" s="674"/>
      <c r="I1194" s="24">
        <f t="shared" si="206"/>
        <v>1</v>
      </c>
      <c r="J1194" s="674"/>
      <c r="K1194" s="24">
        <f t="shared" si="207"/>
        <v>1</v>
      </c>
      <c r="L1194" s="674"/>
      <c r="M1194" s="24">
        <f t="shared" si="208"/>
        <v>1</v>
      </c>
      <c r="N1194" s="674"/>
      <c r="O1194" s="24">
        <f t="shared" si="209"/>
        <v>1</v>
      </c>
      <c r="P1194" s="674"/>
      <c r="Q1194" s="24">
        <f t="shared" si="210"/>
        <v>0</v>
      </c>
      <c r="R1194" s="670">
        <f t="shared" si="211"/>
        <v>0</v>
      </c>
      <c r="S1194" s="322">
        <f t="shared" si="212"/>
        <v>0</v>
      </c>
    </row>
    <row r="1195" spans="1:19">
      <c r="A1195" s="155"/>
      <c r="B1195" s="57"/>
      <c r="C1195" s="24">
        <f t="shared" si="203"/>
        <v>1</v>
      </c>
      <c r="D1195" s="674"/>
      <c r="E1195" s="24">
        <f t="shared" si="204"/>
        <v>1</v>
      </c>
      <c r="F1195" s="674"/>
      <c r="G1195" s="24">
        <f t="shared" si="205"/>
        <v>1</v>
      </c>
      <c r="H1195" s="674"/>
      <c r="I1195" s="24">
        <f t="shared" si="206"/>
        <v>1</v>
      </c>
      <c r="J1195" s="674"/>
      <c r="K1195" s="24">
        <f t="shared" si="207"/>
        <v>1</v>
      </c>
      <c r="L1195" s="674"/>
      <c r="M1195" s="24">
        <f t="shared" si="208"/>
        <v>1</v>
      </c>
      <c r="N1195" s="674"/>
      <c r="O1195" s="24">
        <f t="shared" si="209"/>
        <v>1</v>
      </c>
      <c r="P1195" s="674"/>
      <c r="Q1195" s="24">
        <f t="shared" si="210"/>
        <v>0</v>
      </c>
      <c r="R1195" s="670">
        <f t="shared" si="211"/>
        <v>0</v>
      </c>
      <c r="S1195" s="322">
        <f t="shared" si="212"/>
        <v>0</v>
      </c>
    </row>
    <row r="1196" spans="1:19">
      <c r="A1196" s="155"/>
      <c r="B1196" s="57"/>
      <c r="C1196" s="24">
        <f t="shared" si="203"/>
        <v>1</v>
      </c>
      <c r="D1196" s="674"/>
      <c r="E1196" s="24">
        <f t="shared" si="204"/>
        <v>1</v>
      </c>
      <c r="F1196" s="674"/>
      <c r="G1196" s="24">
        <f t="shared" si="205"/>
        <v>1</v>
      </c>
      <c r="H1196" s="674"/>
      <c r="I1196" s="24">
        <f t="shared" si="206"/>
        <v>1</v>
      </c>
      <c r="J1196" s="674"/>
      <c r="K1196" s="24">
        <f t="shared" si="207"/>
        <v>1</v>
      </c>
      <c r="L1196" s="674"/>
      <c r="M1196" s="24">
        <f t="shared" si="208"/>
        <v>1</v>
      </c>
      <c r="N1196" s="674"/>
      <c r="O1196" s="24">
        <f t="shared" si="209"/>
        <v>1</v>
      </c>
      <c r="P1196" s="674"/>
      <c r="Q1196" s="24">
        <f t="shared" si="210"/>
        <v>0</v>
      </c>
      <c r="R1196" s="670">
        <f t="shared" si="211"/>
        <v>0</v>
      </c>
      <c r="S1196" s="322">
        <f t="shared" si="212"/>
        <v>0</v>
      </c>
    </row>
    <row r="1197" spans="1:19">
      <c r="A1197" s="155"/>
      <c r="B1197" s="57"/>
      <c r="C1197" s="24">
        <f t="shared" si="203"/>
        <v>1</v>
      </c>
      <c r="D1197" s="674"/>
      <c r="E1197" s="24">
        <f t="shared" si="204"/>
        <v>1</v>
      </c>
      <c r="F1197" s="674"/>
      <c r="G1197" s="24">
        <f t="shared" si="205"/>
        <v>1</v>
      </c>
      <c r="H1197" s="674"/>
      <c r="I1197" s="24">
        <f t="shared" si="206"/>
        <v>1</v>
      </c>
      <c r="J1197" s="674"/>
      <c r="K1197" s="24">
        <f t="shared" si="207"/>
        <v>1</v>
      </c>
      <c r="L1197" s="674"/>
      <c r="M1197" s="24">
        <f t="shared" si="208"/>
        <v>1</v>
      </c>
      <c r="N1197" s="674"/>
      <c r="O1197" s="24">
        <f t="shared" si="209"/>
        <v>1</v>
      </c>
      <c r="P1197" s="674"/>
      <c r="Q1197" s="24">
        <f t="shared" si="210"/>
        <v>0</v>
      </c>
      <c r="R1197" s="670">
        <f t="shared" si="211"/>
        <v>0</v>
      </c>
      <c r="S1197" s="322">
        <f t="shared" si="212"/>
        <v>0</v>
      </c>
    </row>
    <row r="1198" spans="1:19">
      <c r="A1198" s="155"/>
      <c r="B1198" s="57"/>
      <c r="C1198" s="24">
        <f t="shared" si="203"/>
        <v>1</v>
      </c>
      <c r="D1198" s="674"/>
      <c r="E1198" s="24">
        <f t="shared" si="204"/>
        <v>1</v>
      </c>
      <c r="F1198" s="674"/>
      <c r="G1198" s="24">
        <f t="shared" si="205"/>
        <v>1</v>
      </c>
      <c r="H1198" s="674"/>
      <c r="I1198" s="24">
        <f t="shared" si="206"/>
        <v>1</v>
      </c>
      <c r="J1198" s="674"/>
      <c r="K1198" s="24">
        <f t="shared" si="207"/>
        <v>1</v>
      </c>
      <c r="L1198" s="674"/>
      <c r="M1198" s="24">
        <f t="shared" si="208"/>
        <v>1</v>
      </c>
      <c r="N1198" s="674"/>
      <c r="O1198" s="24">
        <f t="shared" si="209"/>
        <v>1</v>
      </c>
      <c r="P1198" s="674"/>
      <c r="Q1198" s="24">
        <f t="shared" si="210"/>
        <v>0</v>
      </c>
      <c r="R1198" s="670">
        <f t="shared" si="211"/>
        <v>0</v>
      </c>
      <c r="S1198" s="322">
        <f t="shared" si="212"/>
        <v>0</v>
      </c>
    </row>
    <row r="1199" spans="1:19">
      <c r="A1199" s="155"/>
      <c r="B1199" s="57"/>
      <c r="C1199" s="24">
        <f t="shared" si="203"/>
        <v>1</v>
      </c>
      <c r="D1199" s="674"/>
      <c r="E1199" s="24">
        <f t="shared" si="204"/>
        <v>1</v>
      </c>
      <c r="F1199" s="674"/>
      <c r="G1199" s="24">
        <f t="shared" si="205"/>
        <v>1</v>
      </c>
      <c r="H1199" s="674"/>
      <c r="I1199" s="24">
        <f t="shared" si="206"/>
        <v>1</v>
      </c>
      <c r="J1199" s="674"/>
      <c r="K1199" s="24">
        <f t="shared" si="207"/>
        <v>1</v>
      </c>
      <c r="L1199" s="674"/>
      <c r="M1199" s="24">
        <f t="shared" si="208"/>
        <v>1</v>
      </c>
      <c r="N1199" s="674"/>
      <c r="O1199" s="24">
        <f t="shared" si="209"/>
        <v>1</v>
      </c>
      <c r="P1199" s="674"/>
      <c r="Q1199" s="24">
        <f t="shared" si="210"/>
        <v>0</v>
      </c>
      <c r="R1199" s="670">
        <f t="shared" si="211"/>
        <v>0</v>
      </c>
      <c r="S1199" s="322">
        <f t="shared" si="212"/>
        <v>0</v>
      </c>
    </row>
    <row r="1200" spans="1:19">
      <c r="A1200" s="155"/>
      <c r="B1200" s="57"/>
      <c r="C1200" s="24">
        <f t="shared" si="203"/>
        <v>1</v>
      </c>
      <c r="D1200" s="674"/>
      <c r="E1200" s="24">
        <f t="shared" si="204"/>
        <v>1</v>
      </c>
      <c r="F1200" s="674"/>
      <c r="G1200" s="24">
        <f t="shared" si="205"/>
        <v>1</v>
      </c>
      <c r="H1200" s="674"/>
      <c r="I1200" s="24">
        <f t="shared" si="206"/>
        <v>1</v>
      </c>
      <c r="J1200" s="674"/>
      <c r="K1200" s="24">
        <f t="shared" si="207"/>
        <v>1</v>
      </c>
      <c r="L1200" s="674"/>
      <c r="M1200" s="24">
        <f t="shared" si="208"/>
        <v>1</v>
      </c>
      <c r="N1200" s="674"/>
      <c r="O1200" s="24">
        <f t="shared" si="209"/>
        <v>1</v>
      </c>
      <c r="P1200" s="674"/>
      <c r="Q1200" s="24">
        <f t="shared" si="210"/>
        <v>0</v>
      </c>
      <c r="R1200" s="670">
        <f t="shared" si="211"/>
        <v>0</v>
      </c>
      <c r="S1200" s="322">
        <f t="shared" si="212"/>
        <v>0</v>
      </c>
    </row>
    <row r="1201" spans="1:19">
      <c r="A1201" s="155"/>
      <c r="B1201" s="57"/>
      <c r="C1201" s="24">
        <f t="shared" si="203"/>
        <v>1</v>
      </c>
      <c r="D1201" s="674"/>
      <c r="E1201" s="24">
        <f t="shared" si="204"/>
        <v>1</v>
      </c>
      <c r="F1201" s="674"/>
      <c r="G1201" s="24">
        <f t="shared" si="205"/>
        <v>1</v>
      </c>
      <c r="H1201" s="674"/>
      <c r="I1201" s="24">
        <f t="shared" si="206"/>
        <v>1</v>
      </c>
      <c r="J1201" s="674"/>
      <c r="K1201" s="24">
        <f t="shared" si="207"/>
        <v>1</v>
      </c>
      <c r="L1201" s="674"/>
      <c r="M1201" s="24">
        <f t="shared" si="208"/>
        <v>1</v>
      </c>
      <c r="N1201" s="674"/>
      <c r="O1201" s="24">
        <f t="shared" si="209"/>
        <v>1</v>
      </c>
      <c r="P1201" s="674"/>
      <c r="Q1201" s="24">
        <f t="shared" si="210"/>
        <v>0</v>
      </c>
      <c r="R1201" s="670">
        <f t="shared" si="211"/>
        <v>0</v>
      </c>
      <c r="S1201" s="322">
        <f t="shared" si="212"/>
        <v>0</v>
      </c>
    </row>
    <row r="1202" spans="1:19">
      <c r="A1202" s="155"/>
      <c r="B1202" s="57"/>
      <c r="C1202" s="24">
        <f t="shared" si="203"/>
        <v>1</v>
      </c>
      <c r="D1202" s="674"/>
      <c r="E1202" s="24">
        <f t="shared" si="204"/>
        <v>1</v>
      </c>
      <c r="F1202" s="674"/>
      <c r="G1202" s="24">
        <f t="shared" si="205"/>
        <v>1</v>
      </c>
      <c r="H1202" s="674"/>
      <c r="I1202" s="24">
        <f t="shared" si="206"/>
        <v>1</v>
      </c>
      <c r="J1202" s="674"/>
      <c r="K1202" s="24">
        <f t="shared" si="207"/>
        <v>1</v>
      </c>
      <c r="L1202" s="674"/>
      <c r="M1202" s="24">
        <f t="shared" si="208"/>
        <v>1</v>
      </c>
      <c r="N1202" s="674"/>
      <c r="O1202" s="24">
        <f t="shared" si="209"/>
        <v>1</v>
      </c>
      <c r="P1202" s="674"/>
      <c r="Q1202" s="24">
        <f t="shared" si="210"/>
        <v>0</v>
      </c>
      <c r="R1202" s="670">
        <f t="shared" si="211"/>
        <v>0</v>
      </c>
      <c r="S1202" s="322">
        <f t="shared" si="212"/>
        <v>0</v>
      </c>
    </row>
    <row r="1203" spans="1:19">
      <c r="A1203" s="155"/>
      <c r="B1203" s="57"/>
      <c r="C1203" s="24">
        <f t="shared" si="203"/>
        <v>1</v>
      </c>
      <c r="D1203" s="674"/>
      <c r="E1203" s="24">
        <f t="shared" si="204"/>
        <v>1</v>
      </c>
      <c r="F1203" s="674"/>
      <c r="G1203" s="24">
        <f t="shared" si="205"/>
        <v>1</v>
      </c>
      <c r="H1203" s="674"/>
      <c r="I1203" s="24">
        <f t="shared" si="206"/>
        <v>1</v>
      </c>
      <c r="J1203" s="674"/>
      <c r="K1203" s="24">
        <f t="shared" si="207"/>
        <v>1</v>
      </c>
      <c r="L1203" s="674"/>
      <c r="M1203" s="24">
        <f t="shared" si="208"/>
        <v>1</v>
      </c>
      <c r="N1203" s="674"/>
      <c r="O1203" s="24">
        <f t="shared" si="209"/>
        <v>1</v>
      </c>
      <c r="P1203" s="674"/>
      <c r="Q1203" s="24">
        <f t="shared" si="210"/>
        <v>0</v>
      </c>
      <c r="R1203" s="670">
        <f t="shared" si="211"/>
        <v>0</v>
      </c>
      <c r="S1203" s="322">
        <f t="shared" si="212"/>
        <v>0</v>
      </c>
    </row>
    <row r="1204" spans="1:19">
      <c r="A1204" s="155"/>
      <c r="B1204" s="57"/>
      <c r="C1204" s="24">
        <f t="shared" si="203"/>
        <v>1</v>
      </c>
      <c r="D1204" s="674"/>
      <c r="E1204" s="24">
        <f t="shared" si="204"/>
        <v>1</v>
      </c>
      <c r="F1204" s="674"/>
      <c r="G1204" s="24">
        <f t="shared" si="205"/>
        <v>1</v>
      </c>
      <c r="H1204" s="674"/>
      <c r="I1204" s="24">
        <f t="shared" si="206"/>
        <v>1</v>
      </c>
      <c r="J1204" s="674"/>
      <c r="K1204" s="24">
        <f t="shared" si="207"/>
        <v>1</v>
      </c>
      <c r="L1204" s="674"/>
      <c r="M1204" s="24">
        <f t="shared" si="208"/>
        <v>1</v>
      </c>
      <c r="N1204" s="674"/>
      <c r="O1204" s="24">
        <f t="shared" si="209"/>
        <v>1</v>
      </c>
      <c r="P1204" s="674"/>
      <c r="Q1204" s="24">
        <f t="shared" si="210"/>
        <v>0</v>
      </c>
      <c r="R1204" s="670">
        <f t="shared" si="211"/>
        <v>0</v>
      </c>
      <c r="S1204" s="322">
        <f t="shared" si="212"/>
        <v>0</v>
      </c>
    </row>
    <row r="1205" spans="1:19">
      <c r="A1205" s="155"/>
      <c r="B1205" s="57"/>
      <c r="C1205" s="24">
        <f t="shared" si="203"/>
        <v>1</v>
      </c>
      <c r="D1205" s="674"/>
      <c r="E1205" s="24">
        <f t="shared" si="204"/>
        <v>1</v>
      </c>
      <c r="F1205" s="674"/>
      <c r="G1205" s="24">
        <f t="shared" si="205"/>
        <v>1</v>
      </c>
      <c r="H1205" s="674"/>
      <c r="I1205" s="24">
        <f t="shared" si="206"/>
        <v>1</v>
      </c>
      <c r="J1205" s="674"/>
      <c r="K1205" s="24">
        <f t="shared" si="207"/>
        <v>1</v>
      </c>
      <c r="L1205" s="674"/>
      <c r="M1205" s="24">
        <f t="shared" si="208"/>
        <v>1</v>
      </c>
      <c r="N1205" s="674"/>
      <c r="O1205" s="24">
        <f t="shared" si="209"/>
        <v>1</v>
      </c>
      <c r="P1205" s="674"/>
      <c r="Q1205" s="24">
        <f t="shared" si="210"/>
        <v>0</v>
      </c>
      <c r="R1205" s="670">
        <f t="shared" si="211"/>
        <v>0</v>
      </c>
      <c r="S1205" s="322">
        <f t="shared" si="212"/>
        <v>0</v>
      </c>
    </row>
    <row r="1206" spans="1:19">
      <c r="A1206" s="155"/>
      <c r="B1206" s="57"/>
      <c r="C1206" s="24">
        <f t="shared" si="203"/>
        <v>1</v>
      </c>
      <c r="D1206" s="674"/>
      <c r="E1206" s="24">
        <f t="shared" si="204"/>
        <v>1</v>
      </c>
      <c r="F1206" s="674"/>
      <c r="G1206" s="24">
        <f t="shared" si="205"/>
        <v>1</v>
      </c>
      <c r="H1206" s="674"/>
      <c r="I1206" s="24">
        <f t="shared" si="206"/>
        <v>1</v>
      </c>
      <c r="J1206" s="674"/>
      <c r="K1206" s="24">
        <f t="shared" si="207"/>
        <v>1</v>
      </c>
      <c r="L1206" s="674"/>
      <c r="M1206" s="24">
        <f t="shared" si="208"/>
        <v>1</v>
      </c>
      <c r="N1206" s="674"/>
      <c r="O1206" s="24">
        <f t="shared" si="209"/>
        <v>1</v>
      </c>
      <c r="P1206" s="674"/>
      <c r="Q1206" s="24">
        <f t="shared" si="210"/>
        <v>0</v>
      </c>
      <c r="R1206" s="670">
        <f t="shared" si="211"/>
        <v>0</v>
      </c>
      <c r="S1206" s="322">
        <f t="shared" si="212"/>
        <v>0</v>
      </c>
    </row>
    <row r="1207" spans="1:19">
      <c r="A1207" s="155"/>
      <c r="B1207" s="57"/>
      <c r="C1207" s="24">
        <f t="shared" si="203"/>
        <v>1</v>
      </c>
      <c r="D1207" s="674"/>
      <c r="E1207" s="24">
        <f t="shared" si="204"/>
        <v>1</v>
      </c>
      <c r="F1207" s="674"/>
      <c r="G1207" s="24">
        <f t="shared" si="205"/>
        <v>1</v>
      </c>
      <c r="H1207" s="674"/>
      <c r="I1207" s="24">
        <f t="shared" si="206"/>
        <v>1</v>
      </c>
      <c r="J1207" s="674"/>
      <c r="K1207" s="24">
        <f t="shared" si="207"/>
        <v>1</v>
      </c>
      <c r="L1207" s="674"/>
      <c r="M1207" s="24">
        <f t="shared" si="208"/>
        <v>1</v>
      </c>
      <c r="N1207" s="674"/>
      <c r="O1207" s="24">
        <f t="shared" si="209"/>
        <v>1</v>
      </c>
      <c r="P1207" s="674"/>
      <c r="Q1207" s="24">
        <f t="shared" si="210"/>
        <v>0</v>
      </c>
      <c r="R1207" s="670">
        <f t="shared" si="211"/>
        <v>0</v>
      </c>
      <c r="S1207" s="322">
        <f t="shared" si="212"/>
        <v>0</v>
      </c>
    </row>
    <row r="1208" spans="1:19">
      <c r="A1208" s="155"/>
      <c r="B1208" s="57"/>
      <c r="C1208" s="24">
        <f t="shared" si="203"/>
        <v>1</v>
      </c>
      <c r="D1208" s="674"/>
      <c r="E1208" s="24">
        <f t="shared" si="204"/>
        <v>1</v>
      </c>
      <c r="F1208" s="674"/>
      <c r="G1208" s="24">
        <f t="shared" si="205"/>
        <v>1</v>
      </c>
      <c r="H1208" s="674"/>
      <c r="I1208" s="24">
        <f t="shared" si="206"/>
        <v>1</v>
      </c>
      <c r="J1208" s="674"/>
      <c r="K1208" s="24">
        <f t="shared" si="207"/>
        <v>1</v>
      </c>
      <c r="L1208" s="674"/>
      <c r="M1208" s="24">
        <f t="shared" si="208"/>
        <v>1</v>
      </c>
      <c r="N1208" s="674"/>
      <c r="O1208" s="24">
        <f t="shared" si="209"/>
        <v>1</v>
      </c>
      <c r="P1208" s="674"/>
      <c r="Q1208" s="24">
        <f t="shared" si="210"/>
        <v>0</v>
      </c>
      <c r="R1208" s="670">
        <f t="shared" si="211"/>
        <v>0</v>
      </c>
      <c r="S1208" s="322">
        <f t="shared" si="212"/>
        <v>0</v>
      </c>
    </row>
    <row r="1209" spans="1:19">
      <c r="A1209" s="155"/>
      <c r="B1209" s="57"/>
      <c r="C1209" s="24">
        <f t="shared" si="203"/>
        <v>1</v>
      </c>
      <c r="D1209" s="674"/>
      <c r="E1209" s="24">
        <f t="shared" si="204"/>
        <v>1</v>
      </c>
      <c r="F1209" s="674"/>
      <c r="G1209" s="24">
        <f t="shared" si="205"/>
        <v>1</v>
      </c>
      <c r="H1209" s="674"/>
      <c r="I1209" s="24">
        <f t="shared" si="206"/>
        <v>1</v>
      </c>
      <c r="J1209" s="674"/>
      <c r="K1209" s="24">
        <f t="shared" si="207"/>
        <v>1</v>
      </c>
      <c r="L1209" s="674"/>
      <c r="M1209" s="24">
        <f t="shared" si="208"/>
        <v>1</v>
      </c>
      <c r="N1209" s="674"/>
      <c r="O1209" s="24">
        <f t="shared" si="209"/>
        <v>1</v>
      </c>
      <c r="P1209" s="674"/>
      <c r="Q1209" s="24">
        <f t="shared" si="210"/>
        <v>0</v>
      </c>
      <c r="R1209" s="670">
        <f t="shared" si="211"/>
        <v>0</v>
      </c>
      <c r="S1209" s="322">
        <f t="shared" si="212"/>
        <v>0</v>
      </c>
    </row>
    <row r="1210" spans="1:19">
      <c r="A1210" s="155"/>
      <c r="B1210" s="57"/>
      <c r="C1210" s="24">
        <f t="shared" si="203"/>
        <v>1</v>
      </c>
      <c r="D1210" s="674"/>
      <c r="E1210" s="24">
        <f t="shared" si="204"/>
        <v>1</v>
      </c>
      <c r="F1210" s="674"/>
      <c r="G1210" s="24">
        <f t="shared" si="205"/>
        <v>1</v>
      </c>
      <c r="H1210" s="674"/>
      <c r="I1210" s="24">
        <f t="shared" si="206"/>
        <v>1</v>
      </c>
      <c r="J1210" s="674"/>
      <c r="K1210" s="24">
        <f t="shared" si="207"/>
        <v>1</v>
      </c>
      <c r="L1210" s="674"/>
      <c r="M1210" s="24">
        <f t="shared" si="208"/>
        <v>1</v>
      </c>
      <c r="N1210" s="674"/>
      <c r="O1210" s="24">
        <f t="shared" si="209"/>
        <v>1</v>
      </c>
      <c r="P1210" s="674"/>
      <c r="Q1210" s="24">
        <f t="shared" si="210"/>
        <v>0</v>
      </c>
      <c r="R1210" s="670">
        <f t="shared" si="211"/>
        <v>0</v>
      </c>
      <c r="S1210" s="322">
        <f t="shared" si="212"/>
        <v>0</v>
      </c>
    </row>
    <row r="1211" spans="1:19">
      <c r="A1211" s="155"/>
      <c r="B1211" s="57"/>
      <c r="C1211" s="24">
        <f t="shared" si="203"/>
        <v>1</v>
      </c>
      <c r="D1211" s="674"/>
      <c r="E1211" s="24">
        <f t="shared" si="204"/>
        <v>1</v>
      </c>
      <c r="F1211" s="674"/>
      <c r="G1211" s="24">
        <f t="shared" si="205"/>
        <v>1</v>
      </c>
      <c r="H1211" s="674"/>
      <c r="I1211" s="24">
        <f t="shared" si="206"/>
        <v>1</v>
      </c>
      <c r="J1211" s="674"/>
      <c r="K1211" s="24">
        <f t="shared" si="207"/>
        <v>1</v>
      </c>
      <c r="L1211" s="674"/>
      <c r="M1211" s="24">
        <f t="shared" si="208"/>
        <v>1</v>
      </c>
      <c r="N1211" s="674"/>
      <c r="O1211" s="24">
        <f t="shared" si="209"/>
        <v>1</v>
      </c>
      <c r="P1211" s="674"/>
      <c r="Q1211" s="24">
        <f t="shared" si="210"/>
        <v>0</v>
      </c>
      <c r="R1211" s="670">
        <f t="shared" si="211"/>
        <v>0</v>
      </c>
      <c r="S1211" s="322">
        <f t="shared" si="212"/>
        <v>0</v>
      </c>
    </row>
    <row r="1212" spans="1:19">
      <c r="A1212" s="155"/>
      <c r="B1212" s="57"/>
      <c r="C1212" s="24">
        <f t="shared" si="203"/>
        <v>1</v>
      </c>
      <c r="D1212" s="674"/>
      <c r="E1212" s="24">
        <f t="shared" si="204"/>
        <v>1</v>
      </c>
      <c r="F1212" s="674"/>
      <c r="G1212" s="24">
        <f t="shared" si="205"/>
        <v>1</v>
      </c>
      <c r="H1212" s="674"/>
      <c r="I1212" s="24">
        <f t="shared" si="206"/>
        <v>1</v>
      </c>
      <c r="J1212" s="674"/>
      <c r="K1212" s="24">
        <f t="shared" si="207"/>
        <v>1</v>
      </c>
      <c r="L1212" s="674"/>
      <c r="M1212" s="24">
        <f t="shared" si="208"/>
        <v>1</v>
      </c>
      <c r="N1212" s="674"/>
      <c r="O1212" s="24">
        <f t="shared" si="209"/>
        <v>1</v>
      </c>
      <c r="P1212" s="674"/>
      <c r="Q1212" s="24">
        <f t="shared" si="210"/>
        <v>0</v>
      </c>
      <c r="R1212" s="670">
        <f t="shared" si="211"/>
        <v>0</v>
      </c>
      <c r="S1212" s="322">
        <f t="shared" si="212"/>
        <v>0</v>
      </c>
    </row>
    <row r="1213" spans="1:19">
      <c r="A1213" s="155"/>
      <c r="B1213" s="57"/>
      <c r="C1213" s="24">
        <f t="shared" si="203"/>
        <v>1</v>
      </c>
      <c r="D1213" s="674"/>
      <c r="E1213" s="24">
        <f t="shared" si="204"/>
        <v>1</v>
      </c>
      <c r="F1213" s="674"/>
      <c r="G1213" s="24">
        <f t="shared" si="205"/>
        <v>1</v>
      </c>
      <c r="H1213" s="674"/>
      <c r="I1213" s="24">
        <f t="shared" si="206"/>
        <v>1</v>
      </c>
      <c r="J1213" s="674"/>
      <c r="K1213" s="24">
        <f t="shared" si="207"/>
        <v>1</v>
      </c>
      <c r="L1213" s="674"/>
      <c r="M1213" s="24">
        <f t="shared" si="208"/>
        <v>1</v>
      </c>
      <c r="N1213" s="674"/>
      <c r="O1213" s="24">
        <f t="shared" si="209"/>
        <v>1</v>
      </c>
      <c r="P1213" s="674"/>
      <c r="Q1213" s="24">
        <f t="shared" si="210"/>
        <v>0</v>
      </c>
      <c r="R1213" s="670">
        <f t="shared" si="211"/>
        <v>0</v>
      </c>
      <c r="S1213" s="322">
        <f t="shared" si="212"/>
        <v>0</v>
      </c>
    </row>
    <row r="1214" spans="1:19">
      <c r="A1214" s="155"/>
      <c r="B1214" s="57"/>
      <c r="C1214" s="24">
        <f t="shared" si="203"/>
        <v>1</v>
      </c>
      <c r="D1214" s="674"/>
      <c r="E1214" s="24">
        <f t="shared" si="204"/>
        <v>1</v>
      </c>
      <c r="F1214" s="674"/>
      <c r="G1214" s="24">
        <f t="shared" si="205"/>
        <v>1</v>
      </c>
      <c r="H1214" s="674"/>
      <c r="I1214" s="24">
        <f t="shared" si="206"/>
        <v>1</v>
      </c>
      <c r="J1214" s="674"/>
      <c r="K1214" s="24">
        <f t="shared" si="207"/>
        <v>1</v>
      </c>
      <c r="L1214" s="674"/>
      <c r="M1214" s="24">
        <f t="shared" si="208"/>
        <v>1</v>
      </c>
      <c r="N1214" s="674"/>
      <c r="O1214" s="24">
        <f t="shared" si="209"/>
        <v>1</v>
      </c>
      <c r="P1214" s="674"/>
      <c r="Q1214" s="24">
        <f t="shared" si="210"/>
        <v>0</v>
      </c>
      <c r="R1214" s="670">
        <f t="shared" si="211"/>
        <v>0</v>
      </c>
      <c r="S1214" s="322">
        <f t="shared" si="212"/>
        <v>0</v>
      </c>
    </row>
    <row r="1215" spans="1:19">
      <c r="A1215" s="155"/>
      <c r="B1215" s="57"/>
      <c r="C1215" s="24">
        <f t="shared" si="203"/>
        <v>1</v>
      </c>
      <c r="D1215" s="674"/>
      <c r="E1215" s="24">
        <f t="shared" si="204"/>
        <v>1</v>
      </c>
      <c r="F1215" s="674"/>
      <c r="G1215" s="24">
        <f t="shared" si="205"/>
        <v>1</v>
      </c>
      <c r="H1215" s="674"/>
      <c r="I1215" s="24">
        <f t="shared" si="206"/>
        <v>1</v>
      </c>
      <c r="J1215" s="674"/>
      <c r="K1215" s="24">
        <f t="shared" si="207"/>
        <v>1</v>
      </c>
      <c r="L1215" s="674"/>
      <c r="M1215" s="24">
        <f t="shared" si="208"/>
        <v>1</v>
      </c>
      <c r="N1215" s="674"/>
      <c r="O1215" s="24">
        <f t="shared" si="209"/>
        <v>1</v>
      </c>
      <c r="P1215" s="674"/>
      <c r="Q1215" s="24">
        <f t="shared" si="210"/>
        <v>0</v>
      </c>
      <c r="R1215" s="670">
        <f t="shared" si="211"/>
        <v>0</v>
      </c>
      <c r="S1215" s="322">
        <f t="shared" si="212"/>
        <v>0</v>
      </c>
    </row>
    <row r="1216" spans="1:19">
      <c r="A1216" s="155"/>
      <c r="B1216" s="57"/>
      <c r="C1216" s="24">
        <f t="shared" si="203"/>
        <v>1</v>
      </c>
      <c r="D1216" s="674"/>
      <c r="E1216" s="24">
        <f t="shared" si="204"/>
        <v>1</v>
      </c>
      <c r="F1216" s="674"/>
      <c r="G1216" s="24">
        <f t="shared" si="205"/>
        <v>1</v>
      </c>
      <c r="H1216" s="674"/>
      <c r="I1216" s="24">
        <f t="shared" si="206"/>
        <v>1</v>
      </c>
      <c r="J1216" s="674"/>
      <c r="K1216" s="24">
        <f t="shared" si="207"/>
        <v>1</v>
      </c>
      <c r="L1216" s="674"/>
      <c r="M1216" s="24">
        <f t="shared" si="208"/>
        <v>1</v>
      </c>
      <c r="N1216" s="674"/>
      <c r="O1216" s="24">
        <f t="shared" si="209"/>
        <v>1</v>
      </c>
      <c r="P1216" s="674"/>
      <c r="Q1216" s="24">
        <f t="shared" si="210"/>
        <v>0</v>
      </c>
      <c r="R1216" s="670">
        <f t="shared" si="211"/>
        <v>0</v>
      </c>
      <c r="S1216" s="322">
        <f t="shared" si="212"/>
        <v>0</v>
      </c>
    </row>
    <row r="1217" spans="1:19">
      <c r="A1217" s="155"/>
      <c r="B1217" s="57"/>
      <c r="C1217" s="24">
        <f t="shared" si="203"/>
        <v>1</v>
      </c>
      <c r="D1217" s="674"/>
      <c r="E1217" s="24">
        <f t="shared" si="204"/>
        <v>1</v>
      </c>
      <c r="F1217" s="674"/>
      <c r="G1217" s="24">
        <f t="shared" si="205"/>
        <v>1</v>
      </c>
      <c r="H1217" s="674"/>
      <c r="I1217" s="24">
        <f t="shared" si="206"/>
        <v>1</v>
      </c>
      <c r="J1217" s="674"/>
      <c r="K1217" s="24">
        <f t="shared" si="207"/>
        <v>1</v>
      </c>
      <c r="L1217" s="674"/>
      <c r="M1217" s="24">
        <f t="shared" si="208"/>
        <v>1</v>
      </c>
      <c r="N1217" s="674"/>
      <c r="O1217" s="24">
        <f t="shared" si="209"/>
        <v>1</v>
      </c>
      <c r="P1217" s="674"/>
      <c r="Q1217" s="24">
        <f t="shared" si="210"/>
        <v>0</v>
      </c>
      <c r="R1217" s="670">
        <f t="shared" si="211"/>
        <v>0</v>
      </c>
      <c r="S1217" s="322">
        <f t="shared" si="212"/>
        <v>0</v>
      </c>
    </row>
    <row r="1218" spans="1:19">
      <c r="A1218" s="155"/>
      <c r="B1218" s="57"/>
      <c r="C1218" s="24">
        <f t="shared" si="203"/>
        <v>1</v>
      </c>
      <c r="D1218" s="674"/>
      <c r="E1218" s="24">
        <f t="shared" si="204"/>
        <v>1</v>
      </c>
      <c r="F1218" s="674"/>
      <c r="G1218" s="24">
        <f t="shared" si="205"/>
        <v>1</v>
      </c>
      <c r="H1218" s="674"/>
      <c r="I1218" s="24">
        <f t="shared" si="206"/>
        <v>1</v>
      </c>
      <c r="J1218" s="674"/>
      <c r="K1218" s="24">
        <f t="shared" si="207"/>
        <v>1</v>
      </c>
      <c r="L1218" s="674"/>
      <c r="M1218" s="24">
        <f t="shared" si="208"/>
        <v>1</v>
      </c>
      <c r="N1218" s="674"/>
      <c r="O1218" s="24">
        <f t="shared" si="209"/>
        <v>1</v>
      </c>
      <c r="P1218" s="674"/>
      <c r="Q1218" s="24">
        <f t="shared" si="210"/>
        <v>0</v>
      </c>
      <c r="R1218" s="670">
        <f t="shared" si="211"/>
        <v>0</v>
      </c>
      <c r="S1218" s="322">
        <f t="shared" si="212"/>
        <v>0</v>
      </c>
    </row>
    <row r="1219" spans="1:19">
      <c r="A1219" s="155"/>
      <c r="B1219" s="57"/>
      <c r="C1219" s="24">
        <f t="shared" si="203"/>
        <v>1</v>
      </c>
      <c r="D1219" s="674"/>
      <c r="E1219" s="24">
        <f t="shared" si="204"/>
        <v>1</v>
      </c>
      <c r="F1219" s="674"/>
      <c r="G1219" s="24">
        <f t="shared" si="205"/>
        <v>1</v>
      </c>
      <c r="H1219" s="674"/>
      <c r="I1219" s="24">
        <f t="shared" si="206"/>
        <v>1</v>
      </c>
      <c r="J1219" s="674"/>
      <c r="K1219" s="24">
        <f t="shared" si="207"/>
        <v>1</v>
      </c>
      <c r="L1219" s="674"/>
      <c r="M1219" s="24">
        <f t="shared" si="208"/>
        <v>1</v>
      </c>
      <c r="N1219" s="674"/>
      <c r="O1219" s="24">
        <f t="shared" si="209"/>
        <v>1</v>
      </c>
      <c r="P1219" s="674"/>
      <c r="Q1219" s="24">
        <f t="shared" si="210"/>
        <v>0</v>
      </c>
      <c r="R1219" s="670">
        <f t="shared" si="211"/>
        <v>0</v>
      </c>
      <c r="S1219" s="322">
        <f t="shared" si="212"/>
        <v>0</v>
      </c>
    </row>
    <row r="1220" spans="1:19">
      <c r="A1220" s="155"/>
      <c r="B1220" s="57"/>
      <c r="C1220" s="24">
        <f t="shared" si="203"/>
        <v>1</v>
      </c>
      <c r="D1220" s="674"/>
      <c r="E1220" s="24">
        <f t="shared" si="204"/>
        <v>1</v>
      </c>
      <c r="F1220" s="674"/>
      <c r="G1220" s="24">
        <f t="shared" si="205"/>
        <v>1</v>
      </c>
      <c r="H1220" s="674"/>
      <c r="I1220" s="24">
        <f t="shared" si="206"/>
        <v>1</v>
      </c>
      <c r="J1220" s="674"/>
      <c r="K1220" s="24">
        <f t="shared" si="207"/>
        <v>1</v>
      </c>
      <c r="L1220" s="674"/>
      <c r="M1220" s="24">
        <f t="shared" si="208"/>
        <v>1</v>
      </c>
      <c r="N1220" s="674"/>
      <c r="O1220" s="24">
        <f t="shared" si="209"/>
        <v>1</v>
      </c>
      <c r="P1220" s="674"/>
      <c r="Q1220" s="24">
        <f t="shared" si="210"/>
        <v>0</v>
      </c>
      <c r="R1220" s="670">
        <f t="shared" si="211"/>
        <v>0</v>
      </c>
      <c r="S1220" s="322">
        <f t="shared" si="212"/>
        <v>0</v>
      </c>
    </row>
    <row r="1221" spans="1:19">
      <c r="A1221" s="155"/>
      <c r="B1221" s="57"/>
      <c r="C1221" s="24">
        <f t="shared" si="203"/>
        <v>1</v>
      </c>
      <c r="D1221" s="674"/>
      <c r="E1221" s="24">
        <f t="shared" si="204"/>
        <v>1</v>
      </c>
      <c r="F1221" s="674"/>
      <c r="G1221" s="24">
        <f t="shared" si="205"/>
        <v>1</v>
      </c>
      <c r="H1221" s="674"/>
      <c r="I1221" s="24">
        <f t="shared" si="206"/>
        <v>1</v>
      </c>
      <c r="J1221" s="674"/>
      <c r="K1221" s="24">
        <f t="shared" si="207"/>
        <v>1</v>
      </c>
      <c r="L1221" s="674"/>
      <c r="M1221" s="24">
        <f t="shared" si="208"/>
        <v>1</v>
      </c>
      <c r="N1221" s="674"/>
      <c r="O1221" s="24">
        <f t="shared" si="209"/>
        <v>1</v>
      </c>
      <c r="P1221" s="674"/>
      <c r="Q1221" s="24">
        <f t="shared" si="210"/>
        <v>0</v>
      </c>
      <c r="R1221" s="670">
        <f t="shared" si="211"/>
        <v>0</v>
      </c>
      <c r="S1221" s="322">
        <f t="shared" si="212"/>
        <v>0</v>
      </c>
    </row>
    <row r="1222" spans="1:19">
      <c r="A1222" s="155"/>
      <c r="B1222" s="57"/>
      <c r="C1222" s="24">
        <f t="shared" si="203"/>
        <v>1</v>
      </c>
      <c r="D1222" s="674"/>
      <c r="E1222" s="24">
        <f t="shared" si="204"/>
        <v>1</v>
      </c>
      <c r="F1222" s="674"/>
      <c r="G1222" s="24">
        <f t="shared" si="205"/>
        <v>1</v>
      </c>
      <c r="H1222" s="674"/>
      <c r="I1222" s="24">
        <f t="shared" si="206"/>
        <v>1</v>
      </c>
      <c r="J1222" s="674"/>
      <c r="K1222" s="24">
        <f t="shared" si="207"/>
        <v>1</v>
      </c>
      <c r="L1222" s="674"/>
      <c r="M1222" s="24">
        <f t="shared" si="208"/>
        <v>1</v>
      </c>
      <c r="N1222" s="674"/>
      <c r="O1222" s="24">
        <f t="shared" si="209"/>
        <v>1</v>
      </c>
      <c r="P1222" s="674"/>
      <c r="Q1222" s="24">
        <f t="shared" si="210"/>
        <v>0</v>
      </c>
      <c r="R1222" s="670">
        <f t="shared" si="211"/>
        <v>0</v>
      </c>
      <c r="S1222" s="322">
        <f t="shared" si="212"/>
        <v>0</v>
      </c>
    </row>
    <row r="1223" spans="1:19">
      <c r="A1223" s="155"/>
      <c r="B1223" s="57"/>
      <c r="C1223" s="24">
        <f t="shared" si="203"/>
        <v>1</v>
      </c>
      <c r="D1223" s="674"/>
      <c r="E1223" s="24">
        <f t="shared" si="204"/>
        <v>1</v>
      </c>
      <c r="F1223" s="674"/>
      <c r="G1223" s="24">
        <f t="shared" si="205"/>
        <v>1</v>
      </c>
      <c r="H1223" s="674"/>
      <c r="I1223" s="24">
        <f t="shared" si="206"/>
        <v>1</v>
      </c>
      <c r="J1223" s="674"/>
      <c r="K1223" s="24">
        <f t="shared" si="207"/>
        <v>1</v>
      </c>
      <c r="L1223" s="674"/>
      <c r="M1223" s="24">
        <f t="shared" si="208"/>
        <v>1</v>
      </c>
      <c r="N1223" s="674"/>
      <c r="O1223" s="24">
        <f t="shared" si="209"/>
        <v>1</v>
      </c>
      <c r="P1223" s="674"/>
      <c r="Q1223" s="24">
        <f t="shared" si="210"/>
        <v>0</v>
      </c>
      <c r="R1223" s="670">
        <f t="shared" si="211"/>
        <v>0</v>
      </c>
      <c r="S1223" s="322">
        <f t="shared" si="212"/>
        <v>0</v>
      </c>
    </row>
    <row r="1224" spans="1:19">
      <c r="A1224" s="155"/>
      <c r="B1224" s="57"/>
      <c r="C1224" s="24">
        <f t="shared" si="203"/>
        <v>1</v>
      </c>
      <c r="D1224" s="674"/>
      <c r="E1224" s="24">
        <f t="shared" si="204"/>
        <v>1</v>
      </c>
      <c r="F1224" s="674"/>
      <c r="G1224" s="24">
        <f t="shared" si="205"/>
        <v>1</v>
      </c>
      <c r="H1224" s="674"/>
      <c r="I1224" s="24">
        <f t="shared" si="206"/>
        <v>1</v>
      </c>
      <c r="J1224" s="674"/>
      <c r="K1224" s="24">
        <f t="shared" si="207"/>
        <v>1</v>
      </c>
      <c r="L1224" s="674"/>
      <c r="M1224" s="24">
        <f t="shared" si="208"/>
        <v>1</v>
      </c>
      <c r="N1224" s="674"/>
      <c r="O1224" s="24">
        <f t="shared" si="209"/>
        <v>1</v>
      </c>
      <c r="P1224" s="674"/>
      <c r="Q1224" s="24">
        <f t="shared" si="210"/>
        <v>0</v>
      </c>
      <c r="R1224" s="670">
        <f t="shared" si="211"/>
        <v>0</v>
      </c>
      <c r="S1224" s="322">
        <f t="shared" si="212"/>
        <v>0</v>
      </c>
    </row>
    <row r="1225" spans="1:19">
      <c r="A1225" s="155"/>
      <c r="B1225" s="57"/>
      <c r="C1225" s="24">
        <f t="shared" si="203"/>
        <v>1</v>
      </c>
      <c r="D1225" s="674"/>
      <c r="E1225" s="24">
        <f t="shared" si="204"/>
        <v>1</v>
      </c>
      <c r="F1225" s="674"/>
      <c r="G1225" s="24">
        <f t="shared" si="205"/>
        <v>1</v>
      </c>
      <c r="H1225" s="674"/>
      <c r="I1225" s="24">
        <f t="shared" si="206"/>
        <v>1</v>
      </c>
      <c r="J1225" s="674"/>
      <c r="K1225" s="24">
        <f t="shared" si="207"/>
        <v>1</v>
      </c>
      <c r="L1225" s="674"/>
      <c r="M1225" s="24">
        <f t="shared" si="208"/>
        <v>1</v>
      </c>
      <c r="N1225" s="674"/>
      <c r="O1225" s="24">
        <f t="shared" si="209"/>
        <v>1</v>
      </c>
      <c r="P1225" s="674"/>
      <c r="Q1225" s="24">
        <f t="shared" si="210"/>
        <v>0</v>
      </c>
      <c r="R1225" s="670">
        <f t="shared" si="211"/>
        <v>0</v>
      </c>
      <c r="S1225" s="322">
        <f t="shared" si="212"/>
        <v>0</v>
      </c>
    </row>
    <row r="1226" spans="1:19">
      <c r="A1226" s="155"/>
      <c r="B1226" s="57"/>
      <c r="C1226" s="24">
        <f t="shared" si="203"/>
        <v>1</v>
      </c>
      <c r="D1226" s="674"/>
      <c r="E1226" s="24">
        <f t="shared" si="204"/>
        <v>1</v>
      </c>
      <c r="F1226" s="674"/>
      <c r="G1226" s="24">
        <f t="shared" si="205"/>
        <v>1</v>
      </c>
      <c r="H1226" s="674"/>
      <c r="I1226" s="24">
        <f t="shared" si="206"/>
        <v>1</v>
      </c>
      <c r="J1226" s="674"/>
      <c r="K1226" s="24">
        <f t="shared" si="207"/>
        <v>1</v>
      </c>
      <c r="L1226" s="674"/>
      <c r="M1226" s="24">
        <f t="shared" si="208"/>
        <v>1</v>
      </c>
      <c r="N1226" s="674"/>
      <c r="O1226" s="24">
        <f t="shared" si="209"/>
        <v>1</v>
      </c>
      <c r="P1226" s="674"/>
      <c r="Q1226" s="24">
        <f t="shared" si="210"/>
        <v>0</v>
      </c>
      <c r="R1226" s="670">
        <f t="shared" si="211"/>
        <v>0</v>
      </c>
      <c r="S1226" s="322">
        <f t="shared" si="212"/>
        <v>0</v>
      </c>
    </row>
    <row r="1227" spans="1:19">
      <c r="A1227" s="155"/>
      <c r="B1227" s="57"/>
      <c r="C1227" s="24">
        <f t="shared" si="203"/>
        <v>1</v>
      </c>
      <c r="D1227" s="674"/>
      <c r="E1227" s="24">
        <f t="shared" si="204"/>
        <v>1</v>
      </c>
      <c r="F1227" s="674"/>
      <c r="G1227" s="24">
        <f t="shared" si="205"/>
        <v>1</v>
      </c>
      <c r="H1227" s="674"/>
      <c r="I1227" s="24">
        <f t="shared" si="206"/>
        <v>1</v>
      </c>
      <c r="J1227" s="674"/>
      <c r="K1227" s="24">
        <f t="shared" si="207"/>
        <v>1</v>
      </c>
      <c r="L1227" s="674"/>
      <c r="M1227" s="24">
        <f t="shared" si="208"/>
        <v>1</v>
      </c>
      <c r="N1227" s="674"/>
      <c r="O1227" s="24">
        <f t="shared" si="209"/>
        <v>1</v>
      </c>
      <c r="P1227" s="674"/>
      <c r="Q1227" s="24">
        <f t="shared" si="210"/>
        <v>0</v>
      </c>
      <c r="R1227" s="670">
        <f t="shared" si="211"/>
        <v>0</v>
      </c>
      <c r="S1227" s="322">
        <f t="shared" si="212"/>
        <v>0</v>
      </c>
    </row>
    <row r="1228" spans="1:19">
      <c r="A1228" s="155"/>
      <c r="B1228" s="57"/>
      <c r="C1228" s="24">
        <f t="shared" si="203"/>
        <v>1</v>
      </c>
      <c r="D1228" s="674"/>
      <c r="E1228" s="24">
        <f t="shared" si="204"/>
        <v>1</v>
      </c>
      <c r="F1228" s="674"/>
      <c r="G1228" s="24">
        <f t="shared" si="205"/>
        <v>1</v>
      </c>
      <c r="H1228" s="674"/>
      <c r="I1228" s="24">
        <f t="shared" si="206"/>
        <v>1</v>
      </c>
      <c r="J1228" s="674"/>
      <c r="K1228" s="24">
        <f t="shared" si="207"/>
        <v>1</v>
      </c>
      <c r="L1228" s="674"/>
      <c r="M1228" s="24">
        <f t="shared" si="208"/>
        <v>1</v>
      </c>
      <c r="N1228" s="674"/>
      <c r="O1228" s="24">
        <f t="shared" si="209"/>
        <v>1</v>
      </c>
      <c r="P1228" s="674"/>
      <c r="Q1228" s="24">
        <f t="shared" si="210"/>
        <v>0</v>
      </c>
      <c r="R1228" s="670">
        <f t="shared" si="211"/>
        <v>0</v>
      </c>
      <c r="S1228" s="322">
        <f t="shared" si="212"/>
        <v>0</v>
      </c>
    </row>
    <row r="1229" spans="1:19">
      <c r="A1229" s="155"/>
      <c r="B1229" s="57"/>
      <c r="C1229" s="24">
        <f t="shared" si="203"/>
        <v>1</v>
      </c>
      <c r="D1229" s="674"/>
      <c r="E1229" s="24">
        <f t="shared" si="204"/>
        <v>1</v>
      </c>
      <c r="F1229" s="674"/>
      <c r="G1229" s="24">
        <f t="shared" si="205"/>
        <v>1</v>
      </c>
      <c r="H1229" s="674"/>
      <c r="I1229" s="24">
        <f t="shared" si="206"/>
        <v>1</v>
      </c>
      <c r="J1229" s="674"/>
      <c r="K1229" s="24">
        <f t="shared" si="207"/>
        <v>1</v>
      </c>
      <c r="L1229" s="674"/>
      <c r="M1229" s="24">
        <f t="shared" si="208"/>
        <v>1</v>
      </c>
      <c r="N1229" s="674"/>
      <c r="O1229" s="24">
        <f t="shared" si="209"/>
        <v>1</v>
      </c>
      <c r="P1229" s="674"/>
      <c r="Q1229" s="24">
        <f t="shared" si="210"/>
        <v>0</v>
      </c>
      <c r="R1229" s="670">
        <f t="shared" si="211"/>
        <v>0</v>
      </c>
      <c r="S1229" s="322">
        <f t="shared" si="212"/>
        <v>0</v>
      </c>
    </row>
    <row r="1230" spans="1:19">
      <c r="A1230" s="155"/>
      <c r="B1230" s="57"/>
      <c r="C1230" s="24">
        <f t="shared" ref="C1230:C1293" si="213">IF(B1230="",1,(LOOKUP(B1230,$3:$3,$4:$4)-LOOKUP($B$24,$3:$3,$4:$4)+100)/100)</f>
        <v>1</v>
      </c>
      <c r="D1230" s="674"/>
      <c r="E1230" s="24">
        <f t="shared" ref="E1230:E1293" si="214">(SUMIF($5:$5,D1230,$6:$6)-SUMIF($5:$5,$D$24,$6:$6)+100)/100</f>
        <v>1</v>
      </c>
      <c r="F1230" s="674"/>
      <c r="G1230" s="24">
        <f t="shared" ref="G1230:G1293" si="215">(SUMIF($7:$7,F1230,$8:$8)-SUMIF($7:$7,$F$24,$8:$8)+100)/100</f>
        <v>1</v>
      </c>
      <c r="H1230" s="674"/>
      <c r="I1230" s="24">
        <f t="shared" ref="I1230:I1293" si="216">(SUMIF($9:$9,H1230,$10:$10)-SUMIF($9:$9,$H$24,$10:$10)+100)/100</f>
        <v>1</v>
      </c>
      <c r="J1230" s="674"/>
      <c r="K1230" s="24">
        <f t="shared" ref="K1230:K1293" si="217">(SUMIF($11:$11,J1230,$12:$12)-SUMIF($11:$11,$J$24,$12:$12)+100)/100</f>
        <v>1</v>
      </c>
      <c r="L1230" s="674"/>
      <c r="M1230" s="24">
        <f t="shared" ref="M1230:M1293" si="218">(SUMIF($13:$13,L1230,$14:$14)-SUMIF($13:$13,$L$24,$14:$14)+100)/100</f>
        <v>1</v>
      </c>
      <c r="N1230" s="674"/>
      <c r="O1230" s="24">
        <f t="shared" ref="O1230:O1293" si="219">(SUMIF($15:$15,N1230,$16:$16)-SUMIF($15:$15,$N$24,$16:$16)+100)/100</f>
        <v>1</v>
      </c>
      <c r="P1230" s="674"/>
      <c r="Q1230" s="24">
        <f t="shared" ref="Q1230:Q1293" si="220">(SUMIF($17:$17,P1230,$18:$18)-SUMIF($17:$17,$P$24,$18:$18)+100)/100</f>
        <v>0</v>
      </c>
      <c r="R1230" s="670">
        <f t="shared" ref="R1230:R1293" si="221">IF(B1230="",0,ROUND($R$24*C1230*E1230*G1230*I1230*K1230*M1230*O1230*Q1230,0))</f>
        <v>0</v>
      </c>
      <c r="S1230" s="322">
        <f t="shared" ref="S1230:S1293" si="222">ROUND(R1230*B1230/10000,0)</f>
        <v>0</v>
      </c>
    </row>
    <row r="1231" spans="1:19">
      <c r="A1231" s="155"/>
      <c r="B1231" s="57"/>
      <c r="C1231" s="24">
        <f t="shared" si="213"/>
        <v>1</v>
      </c>
      <c r="D1231" s="674"/>
      <c r="E1231" s="24">
        <f t="shared" si="214"/>
        <v>1</v>
      </c>
      <c r="F1231" s="674"/>
      <c r="G1231" s="24">
        <f t="shared" si="215"/>
        <v>1</v>
      </c>
      <c r="H1231" s="674"/>
      <c r="I1231" s="24">
        <f t="shared" si="216"/>
        <v>1</v>
      </c>
      <c r="J1231" s="674"/>
      <c r="K1231" s="24">
        <f t="shared" si="217"/>
        <v>1</v>
      </c>
      <c r="L1231" s="674"/>
      <c r="M1231" s="24">
        <f t="shared" si="218"/>
        <v>1</v>
      </c>
      <c r="N1231" s="674"/>
      <c r="O1231" s="24">
        <f t="shared" si="219"/>
        <v>1</v>
      </c>
      <c r="P1231" s="674"/>
      <c r="Q1231" s="24">
        <f t="shared" si="220"/>
        <v>0</v>
      </c>
      <c r="R1231" s="670">
        <f t="shared" si="221"/>
        <v>0</v>
      </c>
      <c r="S1231" s="322">
        <f t="shared" si="222"/>
        <v>0</v>
      </c>
    </row>
    <row r="1232" spans="1:19">
      <c r="A1232" s="155"/>
      <c r="B1232" s="57"/>
      <c r="C1232" s="24">
        <f t="shared" si="213"/>
        <v>1</v>
      </c>
      <c r="D1232" s="674"/>
      <c r="E1232" s="24">
        <f t="shared" si="214"/>
        <v>1</v>
      </c>
      <c r="F1232" s="674"/>
      <c r="G1232" s="24">
        <f t="shared" si="215"/>
        <v>1</v>
      </c>
      <c r="H1232" s="674"/>
      <c r="I1232" s="24">
        <f t="shared" si="216"/>
        <v>1</v>
      </c>
      <c r="J1232" s="674"/>
      <c r="K1232" s="24">
        <f t="shared" si="217"/>
        <v>1</v>
      </c>
      <c r="L1232" s="674"/>
      <c r="M1232" s="24">
        <f t="shared" si="218"/>
        <v>1</v>
      </c>
      <c r="N1232" s="674"/>
      <c r="O1232" s="24">
        <f t="shared" si="219"/>
        <v>1</v>
      </c>
      <c r="P1232" s="674"/>
      <c r="Q1232" s="24">
        <f t="shared" si="220"/>
        <v>0</v>
      </c>
      <c r="R1232" s="670">
        <f t="shared" si="221"/>
        <v>0</v>
      </c>
      <c r="S1232" s="322">
        <f t="shared" si="222"/>
        <v>0</v>
      </c>
    </row>
    <row r="1233" spans="1:19">
      <c r="A1233" s="155"/>
      <c r="B1233" s="57"/>
      <c r="C1233" s="24">
        <f t="shared" si="213"/>
        <v>1</v>
      </c>
      <c r="D1233" s="674"/>
      <c r="E1233" s="24">
        <f t="shared" si="214"/>
        <v>1</v>
      </c>
      <c r="F1233" s="674"/>
      <c r="G1233" s="24">
        <f t="shared" si="215"/>
        <v>1</v>
      </c>
      <c r="H1233" s="674"/>
      <c r="I1233" s="24">
        <f t="shared" si="216"/>
        <v>1</v>
      </c>
      <c r="J1233" s="674"/>
      <c r="K1233" s="24">
        <f t="shared" si="217"/>
        <v>1</v>
      </c>
      <c r="L1233" s="674"/>
      <c r="M1233" s="24">
        <f t="shared" si="218"/>
        <v>1</v>
      </c>
      <c r="N1233" s="674"/>
      <c r="O1233" s="24">
        <f t="shared" si="219"/>
        <v>1</v>
      </c>
      <c r="P1233" s="674"/>
      <c r="Q1233" s="24">
        <f t="shared" si="220"/>
        <v>0</v>
      </c>
      <c r="R1233" s="670">
        <f t="shared" si="221"/>
        <v>0</v>
      </c>
      <c r="S1233" s="322">
        <f t="shared" si="222"/>
        <v>0</v>
      </c>
    </row>
    <row r="1234" spans="1:19">
      <c r="A1234" s="155"/>
      <c r="B1234" s="57"/>
      <c r="C1234" s="24">
        <f t="shared" si="213"/>
        <v>1</v>
      </c>
      <c r="D1234" s="674"/>
      <c r="E1234" s="24">
        <f t="shared" si="214"/>
        <v>1</v>
      </c>
      <c r="F1234" s="674"/>
      <c r="G1234" s="24">
        <f t="shared" si="215"/>
        <v>1</v>
      </c>
      <c r="H1234" s="674"/>
      <c r="I1234" s="24">
        <f t="shared" si="216"/>
        <v>1</v>
      </c>
      <c r="J1234" s="674"/>
      <c r="K1234" s="24">
        <f t="shared" si="217"/>
        <v>1</v>
      </c>
      <c r="L1234" s="674"/>
      <c r="M1234" s="24">
        <f t="shared" si="218"/>
        <v>1</v>
      </c>
      <c r="N1234" s="674"/>
      <c r="O1234" s="24">
        <f t="shared" si="219"/>
        <v>1</v>
      </c>
      <c r="P1234" s="674"/>
      <c r="Q1234" s="24">
        <f t="shared" si="220"/>
        <v>0</v>
      </c>
      <c r="R1234" s="670">
        <f t="shared" si="221"/>
        <v>0</v>
      </c>
      <c r="S1234" s="322">
        <f t="shared" si="222"/>
        <v>0</v>
      </c>
    </row>
    <row r="1235" spans="1:19">
      <c r="A1235" s="155"/>
      <c r="B1235" s="57"/>
      <c r="C1235" s="24">
        <f t="shared" si="213"/>
        <v>1</v>
      </c>
      <c r="D1235" s="674"/>
      <c r="E1235" s="24">
        <f t="shared" si="214"/>
        <v>1</v>
      </c>
      <c r="F1235" s="674"/>
      <c r="G1235" s="24">
        <f t="shared" si="215"/>
        <v>1</v>
      </c>
      <c r="H1235" s="674"/>
      <c r="I1235" s="24">
        <f t="shared" si="216"/>
        <v>1</v>
      </c>
      <c r="J1235" s="674"/>
      <c r="K1235" s="24">
        <f t="shared" si="217"/>
        <v>1</v>
      </c>
      <c r="L1235" s="674"/>
      <c r="M1235" s="24">
        <f t="shared" si="218"/>
        <v>1</v>
      </c>
      <c r="N1235" s="674"/>
      <c r="O1235" s="24">
        <f t="shared" si="219"/>
        <v>1</v>
      </c>
      <c r="P1235" s="674"/>
      <c r="Q1235" s="24">
        <f t="shared" si="220"/>
        <v>0</v>
      </c>
      <c r="R1235" s="670">
        <f t="shared" si="221"/>
        <v>0</v>
      </c>
      <c r="S1235" s="322">
        <f t="shared" si="222"/>
        <v>0</v>
      </c>
    </row>
    <row r="1236" spans="1:19">
      <c r="A1236" s="155"/>
      <c r="B1236" s="57"/>
      <c r="C1236" s="24">
        <f t="shared" si="213"/>
        <v>1</v>
      </c>
      <c r="D1236" s="674"/>
      <c r="E1236" s="24">
        <f t="shared" si="214"/>
        <v>1</v>
      </c>
      <c r="F1236" s="674"/>
      <c r="G1236" s="24">
        <f t="shared" si="215"/>
        <v>1</v>
      </c>
      <c r="H1236" s="674"/>
      <c r="I1236" s="24">
        <f t="shared" si="216"/>
        <v>1</v>
      </c>
      <c r="J1236" s="674"/>
      <c r="K1236" s="24">
        <f t="shared" si="217"/>
        <v>1</v>
      </c>
      <c r="L1236" s="674"/>
      <c r="M1236" s="24">
        <f t="shared" si="218"/>
        <v>1</v>
      </c>
      <c r="N1236" s="674"/>
      <c r="O1236" s="24">
        <f t="shared" si="219"/>
        <v>1</v>
      </c>
      <c r="P1236" s="674"/>
      <c r="Q1236" s="24">
        <f t="shared" si="220"/>
        <v>0</v>
      </c>
      <c r="R1236" s="670">
        <f t="shared" si="221"/>
        <v>0</v>
      </c>
      <c r="S1236" s="322">
        <f t="shared" si="222"/>
        <v>0</v>
      </c>
    </row>
    <row r="1237" spans="1:19">
      <c r="A1237" s="155"/>
      <c r="B1237" s="57"/>
      <c r="C1237" s="24">
        <f t="shared" si="213"/>
        <v>1</v>
      </c>
      <c r="D1237" s="674"/>
      <c r="E1237" s="24">
        <f t="shared" si="214"/>
        <v>1</v>
      </c>
      <c r="F1237" s="674"/>
      <c r="G1237" s="24">
        <f t="shared" si="215"/>
        <v>1</v>
      </c>
      <c r="H1237" s="674"/>
      <c r="I1237" s="24">
        <f t="shared" si="216"/>
        <v>1</v>
      </c>
      <c r="J1237" s="674"/>
      <c r="K1237" s="24">
        <f t="shared" si="217"/>
        <v>1</v>
      </c>
      <c r="L1237" s="674"/>
      <c r="M1237" s="24">
        <f t="shared" si="218"/>
        <v>1</v>
      </c>
      <c r="N1237" s="674"/>
      <c r="O1237" s="24">
        <f t="shared" si="219"/>
        <v>1</v>
      </c>
      <c r="P1237" s="674"/>
      <c r="Q1237" s="24">
        <f t="shared" si="220"/>
        <v>0</v>
      </c>
      <c r="R1237" s="670">
        <f t="shared" si="221"/>
        <v>0</v>
      </c>
      <c r="S1237" s="322">
        <f t="shared" si="222"/>
        <v>0</v>
      </c>
    </row>
    <row r="1238" spans="1:19">
      <c r="A1238" s="155"/>
      <c r="B1238" s="57"/>
      <c r="C1238" s="24">
        <f t="shared" si="213"/>
        <v>1</v>
      </c>
      <c r="D1238" s="674"/>
      <c r="E1238" s="24">
        <f t="shared" si="214"/>
        <v>1</v>
      </c>
      <c r="F1238" s="674"/>
      <c r="G1238" s="24">
        <f t="shared" si="215"/>
        <v>1</v>
      </c>
      <c r="H1238" s="674"/>
      <c r="I1238" s="24">
        <f t="shared" si="216"/>
        <v>1</v>
      </c>
      <c r="J1238" s="674"/>
      <c r="K1238" s="24">
        <f t="shared" si="217"/>
        <v>1</v>
      </c>
      <c r="L1238" s="674"/>
      <c r="M1238" s="24">
        <f t="shared" si="218"/>
        <v>1</v>
      </c>
      <c r="N1238" s="674"/>
      <c r="O1238" s="24">
        <f t="shared" si="219"/>
        <v>1</v>
      </c>
      <c r="P1238" s="674"/>
      <c r="Q1238" s="24">
        <f t="shared" si="220"/>
        <v>0</v>
      </c>
      <c r="R1238" s="670">
        <f t="shared" si="221"/>
        <v>0</v>
      </c>
      <c r="S1238" s="322">
        <f t="shared" si="222"/>
        <v>0</v>
      </c>
    </row>
    <row r="1239" spans="1:19">
      <c r="A1239" s="155"/>
      <c r="B1239" s="57"/>
      <c r="C1239" s="24">
        <f t="shared" si="213"/>
        <v>1</v>
      </c>
      <c r="D1239" s="674"/>
      <c r="E1239" s="24">
        <f t="shared" si="214"/>
        <v>1</v>
      </c>
      <c r="F1239" s="674"/>
      <c r="G1239" s="24">
        <f t="shared" si="215"/>
        <v>1</v>
      </c>
      <c r="H1239" s="674"/>
      <c r="I1239" s="24">
        <f t="shared" si="216"/>
        <v>1</v>
      </c>
      <c r="J1239" s="674"/>
      <c r="K1239" s="24">
        <f t="shared" si="217"/>
        <v>1</v>
      </c>
      <c r="L1239" s="674"/>
      <c r="M1239" s="24">
        <f t="shared" si="218"/>
        <v>1</v>
      </c>
      <c r="N1239" s="674"/>
      <c r="O1239" s="24">
        <f t="shared" si="219"/>
        <v>1</v>
      </c>
      <c r="P1239" s="674"/>
      <c r="Q1239" s="24">
        <f t="shared" si="220"/>
        <v>0</v>
      </c>
      <c r="R1239" s="670">
        <f t="shared" si="221"/>
        <v>0</v>
      </c>
      <c r="S1239" s="322">
        <f t="shared" si="222"/>
        <v>0</v>
      </c>
    </row>
    <row r="1240" spans="1:19">
      <c r="A1240" s="155"/>
      <c r="B1240" s="57"/>
      <c r="C1240" s="24">
        <f t="shared" si="213"/>
        <v>1</v>
      </c>
      <c r="D1240" s="674"/>
      <c r="E1240" s="24">
        <f t="shared" si="214"/>
        <v>1</v>
      </c>
      <c r="F1240" s="674"/>
      <c r="G1240" s="24">
        <f t="shared" si="215"/>
        <v>1</v>
      </c>
      <c r="H1240" s="674"/>
      <c r="I1240" s="24">
        <f t="shared" si="216"/>
        <v>1</v>
      </c>
      <c r="J1240" s="674"/>
      <c r="K1240" s="24">
        <f t="shared" si="217"/>
        <v>1</v>
      </c>
      <c r="L1240" s="674"/>
      <c r="M1240" s="24">
        <f t="shared" si="218"/>
        <v>1</v>
      </c>
      <c r="N1240" s="674"/>
      <c r="O1240" s="24">
        <f t="shared" si="219"/>
        <v>1</v>
      </c>
      <c r="P1240" s="674"/>
      <c r="Q1240" s="24">
        <f t="shared" si="220"/>
        <v>0</v>
      </c>
      <c r="R1240" s="670">
        <f t="shared" si="221"/>
        <v>0</v>
      </c>
      <c r="S1240" s="322">
        <f t="shared" si="222"/>
        <v>0</v>
      </c>
    </row>
    <row r="1241" spans="1:19">
      <c r="A1241" s="155"/>
      <c r="B1241" s="57"/>
      <c r="C1241" s="24">
        <f t="shared" si="213"/>
        <v>1</v>
      </c>
      <c r="D1241" s="674"/>
      <c r="E1241" s="24">
        <f t="shared" si="214"/>
        <v>1</v>
      </c>
      <c r="F1241" s="674"/>
      <c r="G1241" s="24">
        <f t="shared" si="215"/>
        <v>1</v>
      </c>
      <c r="H1241" s="674"/>
      <c r="I1241" s="24">
        <f t="shared" si="216"/>
        <v>1</v>
      </c>
      <c r="J1241" s="674"/>
      <c r="K1241" s="24">
        <f t="shared" si="217"/>
        <v>1</v>
      </c>
      <c r="L1241" s="674"/>
      <c r="M1241" s="24">
        <f t="shared" si="218"/>
        <v>1</v>
      </c>
      <c r="N1241" s="674"/>
      <c r="O1241" s="24">
        <f t="shared" si="219"/>
        <v>1</v>
      </c>
      <c r="P1241" s="674"/>
      <c r="Q1241" s="24">
        <f t="shared" si="220"/>
        <v>0</v>
      </c>
      <c r="R1241" s="670">
        <f t="shared" si="221"/>
        <v>0</v>
      </c>
      <c r="S1241" s="322">
        <f t="shared" si="222"/>
        <v>0</v>
      </c>
    </row>
    <row r="1242" spans="1:19">
      <c r="A1242" s="155"/>
      <c r="B1242" s="57"/>
      <c r="C1242" s="24">
        <f t="shared" si="213"/>
        <v>1</v>
      </c>
      <c r="D1242" s="674"/>
      <c r="E1242" s="24">
        <f t="shared" si="214"/>
        <v>1</v>
      </c>
      <c r="F1242" s="674"/>
      <c r="G1242" s="24">
        <f t="shared" si="215"/>
        <v>1</v>
      </c>
      <c r="H1242" s="674"/>
      <c r="I1242" s="24">
        <f t="shared" si="216"/>
        <v>1</v>
      </c>
      <c r="J1242" s="674"/>
      <c r="K1242" s="24">
        <f t="shared" si="217"/>
        <v>1</v>
      </c>
      <c r="L1242" s="674"/>
      <c r="M1242" s="24">
        <f t="shared" si="218"/>
        <v>1</v>
      </c>
      <c r="N1242" s="674"/>
      <c r="O1242" s="24">
        <f t="shared" si="219"/>
        <v>1</v>
      </c>
      <c r="P1242" s="674"/>
      <c r="Q1242" s="24">
        <f t="shared" si="220"/>
        <v>0</v>
      </c>
      <c r="R1242" s="670">
        <f t="shared" si="221"/>
        <v>0</v>
      </c>
      <c r="S1242" s="322">
        <f t="shared" si="222"/>
        <v>0</v>
      </c>
    </row>
    <row r="1243" spans="1:19">
      <c r="A1243" s="155"/>
      <c r="B1243" s="57"/>
      <c r="C1243" s="24">
        <f t="shared" si="213"/>
        <v>1</v>
      </c>
      <c r="D1243" s="674"/>
      <c r="E1243" s="24">
        <f t="shared" si="214"/>
        <v>1</v>
      </c>
      <c r="F1243" s="674"/>
      <c r="G1243" s="24">
        <f t="shared" si="215"/>
        <v>1</v>
      </c>
      <c r="H1243" s="674"/>
      <c r="I1243" s="24">
        <f t="shared" si="216"/>
        <v>1</v>
      </c>
      <c r="J1243" s="674"/>
      <c r="K1243" s="24">
        <f t="shared" si="217"/>
        <v>1</v>
      </c>
      <c r="L1243" s="674"/>
      <c r="M1243" s="24">
        <f t="shared" si="218"/>
        <v>1</v>
      </c>
      <c r="N1243" s="674"/>
      <c r="O1243" s="24">
        <f t="shared" si="219"/>
        <v>1</v>
      </c>
      <c r="P1243" s="674"/>
      <c r="Q1243" s="24">
        <f t="shared" si="220"/>
        <v>0</v>
      </c>
      <c r="R1243" s="670">
        <f t="shared" si="221"/>
        <v>0</v>
      </c>
      <c r="S1243" s="322">
        <f t="shared" si="222"/>
        <v>0</v>
      </c>
    </row>
    <row r="1244" spans="1:19">
      <c r="A1244" s="155"/>
      <c r="B1244" s="57"/>
      <c r="C1244" s="24">
        <f t="shared" si="213"/>
        <v>1</v>
      </c>
      <c r="D1244" s="674"/>
      <c r="E1244" s="24">
        <f t="shared" si="214"/>
        <v>1</v>
      </c>
      <c r="F1244" s="674"/>
      <c r="G1244" s="24">
        <f t="shared" si="215"/>
        <v>1</v>
      </c>
      <c r="H1244" s="674"/>
      <c r="I1244" s="24">
        <f t="shared" si="216"/>
        <v>1</v>
      </c>
      <c r="J1244" s="674"/>
      <c r="K1244" s="24">
        <f t="shared" si="217"/>
        <v>1</v>
      </c>
      <c r="L1244" s="674"/>
      <c r="M1244" s="24">
        <f t="shared" si="218"/>
        <v>1</v>
      </c>
      <c r="N1244" s="674"/>
      <c r="O1244" s="24">
        <f t="shared" si="219"/>
        <v>1</v>
      </c>
      <c r="P1244" s="674"/>
      <c r="Q1244" s="24">
        <f t="shared" si="220"/>
        <v>0</v>
      </c>
      <c r="R1244" s="670">
        <f t="shared" si="221"/>
        <v>0</v>
      </c>
      <c r="S1244" s="322">
        <f t="shared" si="222"/>
        <v>0</v>
      </c>
    </row>
    <row r="1245" spans="1:19">
      <c r="A1245" s="155"/>
      <c r="B1245" s="57"/>
      <c r="C1245" s="24">
        <f t="shared" si="213"/>
        <v>1</v>
      </c>
      <c r="D1245" s="674"/>
      <c r="E1245" s="24">
        <f t="shared" si="214"/>
        <v>1</v>
      </c>
      <c r="F1245" s="674"/>
      <c r="G1245" s="24">
        <f t="shared" si="215"/>
        <v>1</v>
      </c>
      <c r="H1245" s="674"/>
      <c r="I1245" s="24">
        <f t="shared" si="216"/>
        <v>1</v>
      </c>
      <c r="J1245" s="674"/>
      <c r="K1245" s="24">
        <f t="shared" si="217"/>
        <v>1</v>
      </c>
      <c r="L1245" s="674"/>
      <c r="M1245" s="24">
        <f t="shared" si="218"/>
        <v>1</v>
      </c>
      <c r="N1245" s="674"/>
      <c r="O1245" s="24">
        <f t="shared" si="219"/>
        <v>1</v>
      </c>
      <c r="P1245" s="674"/>
      <c r="Q1245" s="24">
        <f t="shared" si="220"/>
        <v>0</v>
      </c>
      <c r="R1245" s="670">
        <f t="shared" si="221"/>
        <v>0</v>
      </c>
      <c r="S1245" s="322">
        <f t="shared" si="222"/>
        <v>0</v>
      </c>
    </row>
    <row r="1246" spans="1:19">
      <c r="A1246" s="155"/>
      <c r="B1246" s="57"/>
      <c r="C1246" s="24">
        <f t="shared" si="213"/>
        <v>1</v>
      </c>
      <c r="D1246" s="674"/>
      <c r="E1246" s="24">
        <f t="shared" si="214"/>
        <v>1</v>
      </c>
      <c r="F1246" s="674"/>
      <c r="G1246" s="24">
        <f t="shared" si="215"/>
        <v>1</v>
      </c>
      <c r="H1246" s="674"/>
      <c r="I1246" s="24">
        <f t="shared" si="216"/>
        <v>1</v>
      </c>
      <c r="J1246" s="674"/>
      <c r="K1246" s="24">
        <f t="shared" si="217"/>
        <v>1</v>
      </c>
      <c r="L1246" s="674"/>
      <c r="M1246" s="24">
        <f t="shared" si="218"/>
        <v>1</v>
      </c>
      <c r="N1246" s="674"/>
      <c r="O1246" s="24">
        <f t="shared" si="219"/>
        <v>1</v>
      </c>
      <c r="P1246" s="674"/>
      <c r="Q1246" s="24">
        <f t="shared" si="220"/>
        <v>0</v>
      </c>
      <c r="R1246" s="670">
        <f t="shared" si="221"/>
        <v>0</v>
      </c>
      <c r="S1246" s="322">
        <f t="shared" si="222"/>
        <v>0</v>
      </c>
    </row>
    <row r="1247" spans="1:19">
      <c r="A1247" s="155"/>
      <c r="B1247" s="57"/>
      <c r="C1247" s="24">
        <f t="shared" si="213"/>
        <v>1</v>
      </c>
      <c r="D1247" s="674"/>
      <c r="E1247" s="24">
        <f t="shared" si="214"/>
        <v>1</v>
      </c>
      <c r="F1247" s="674"/>
      <c r="G1247" s="24">
        <f t="shared" si="215"/>
        <v>1</v>
      </c>
      <c r="H1247" s="674"/>
      <c r="I1247" s="24">
        <f t="shared" si="216"/>
        <v>1</v>
      </c>
      <c r="J1247" s="674"/>
      <c r="K1247" s="24">
        <f t="shared" si="217"/>
        <v>1</v>
      </c>
      <c r="L1247" s="674"/>
      <c r="M1247" s="24">
        <f t="shared" si="218"/>
        <v>1</v>
      </c>
      <c r="N1247" s="674"/>
      <c r="O1247" s="24">
        <f t="shared" si="219"/>
        <v>1</v>
      </c>
      <c r="P1247" s="674"/>
      <c r="Q1247" s="24">
        <f t="shared" si="220"/>
        <v>0</v>
      </c>
      <c r="R1247" s="670">
        <f t="shared" si="221"/>
        <v>0</v>
      </c>
      <c r="S1247" s="322">
        <f t="shared" si="222"/>
        <v>0</v>
      </c>
    </row>
    <row r="1248" spans="1:19">
      <c r="A1248" s="155"/>
      <c r="B1248" s="57"/>
      <c r="C1248" s="24">
        <f t="shared" si="213"/>
        <v>1</v>
      </c>
      <c r="D1248" s="674"/>
      <c r="E1248" s="24">
        <f t="shared" si="214"/>
        <v>1</v>
      </c>
      <c r="F1248" s="674"/>
      <c r="G1248" s="24">
        <f t="shared" si="215"/>
        <v>1</v>
      </c>
      <c r="H1248" s="674"/>
      <c r="I1248" s="24">
        <f t="shared" si="216"/>
        <v>1</v>
      </c>
      <c r="J1248" s="674"/>
      <c r="K1248" s="24">
        <f t="shared" si="217"/>
        <v>1</v>
      </c>
      <c r="L1248" s="674"/>
      <c r="M1248" s="24">
        <f t="shared" si="218"/>
        <v>1</v>
      </c>
      <c r="N1248" s="674"/>
      <c r="O1248" s="24">
        <f t="shared" si="219"/>
        <v>1</v>
      </c>
      <c r="P1248" s="674"/>
      <c r="Q1248" s="24">
        <f t="shared" si="220"/>
        <v>0</v>
      </c>
      <c r="R1248" s="670">
        <f t="shared" si="221"/>
        <v>0</v>
      </c>
      <c r="S1248" s="322">
        <f t="shared" si="222"/>
        <v>0</v>
      </c>
    </row>
    <row r="1249" spans="1:19">
      <c r="A1249" s="155"/>
      <c r="B1249" s="57"/>
      <c r="C1249" s="24">
        <f t="shared" si="213"/>
        <v>1</v>
      </c>
      <c r="D1249" s="674"/>
      <c r="E1249" s="24">
        <f t="shared" si="214"/>
        <v>1</v>
      </c>
      <c r="F1249" s="674"/>
      <c r="G1249" s="24">
        <f t="shared" si="215"/>
        <v>1</v>
      </c>
      <c r="H1249" s="674"/>
      <c r="I1249" s="24">
        <f t="shared" si="216"/>
        <v>1</v>
      </c>
      <c r="J1249" s="674"/>
      <c r="K1249" s="24">
        <f t="shared" si="217"/>
        <v>1</v>
      </c>
      <c r="L1249" s="674"/>
      <c r="M1249" s="24">
        <f t="shared" si="218"/>
        <v>1</v>
      </c>
      <c r="N1249" s="674"/>
      <c r="O1249" s="24">
        <f t="shared" si="219"/>
        <v>1</v>
      </c>
      <c r="P1249" s="674"/>
      <c r="Q1249" s="24">
        <f t="shared" si="220"/>
        <v>0</v>
      </c>
      <c r="R1249" s="670">
        <f t="shared" si="221"/>
        <v>0</v>
      </c>
      <c r="S1249" s="322">
        <f t="shared" si="222"/>
        <v>0</v>
      </c>
    </row>
    <row r="1250" spans="1:19">
      <c r="A1250" s="155"/>
      <c r="B1250" s="57"/>
      <c r="C1250" s="24">
        <f t="shared" si="213"/>
        <v>1</v>
      </c>
      <c r="D1250" s="674"/>
      <c r="E1250" s="24">
        <f t="shared" si="214"/>
        <v>1</v>
      </c>
      <c r="F1250" s="674"/>
      <c r="G1250" s="24">
        <f t="shared" si="215"/>
        <v>1</v>
      </c>
      <c r="H1250" s="674"/>
      <c r="I1250" s="24">
        <f t="shared" si="216"/>
        <v>1</v>
      </c>
      <c r="J1250" s="674"/>
      <c r="K1250" s="24">
        <f t="shared" si="217"/>
        <v>1</v>
      </c>
      <c r="L1250" s="674"/>
      <c r="M1250" s="24">
        <f t="shared" si="218"/>
        <v>1</v>
      </c>
      <c r="N1250" s="674"/>
      <c r="O1250" s="24">
        <f t="shared" si="219"/>
        <v>1</v>
      </c>
      <c r="P1250" s="674"/>
      <c r="Q1250" s="24">
        <f t="shared" si="220"/>
        <v>0</v>
      </c>
      <c r="R1250" s="670">
        <f t="shared" si="221"/>
        <v>0</v>
      </c>
      <c r="S1250" s="322">
        <f t="shared" si="222"/>
        <v>0</v>
      </c>
    </row>
    <row r="1251" spans="1:19">
      <c r="A1251" s="155"/>
      <c r="B1251" s="57"/>
      <c r="C1251" s="24">
        <f t="shared" si="213"/>
        <v>1</v>
      </c>
      <c r="D1251" s="674"/>
      <c r="E1251" s="24">
        <f t="shared" si="214"/>
        <v>1</v>
      </c>
      <c r="F1251" s="674"/>
      <c r="G1251" s="24">
        <f t="shared" si="215"/>
        <v>1</v>
      </c>
      <c r="H1251" s="674"/>
      <c r="I1251" s="24">
        <f t="shared" si="216"/>
        <v>1</v>
      </c>
      <c r="J1251" s="674"/>
      <c r="K1251" s="24">
        <f t="shared" si="217"/>
        <v>1</v>
      </c>
      <c r="L1251" s="674"/>
      <c r="M1251" s="24">
        <f t="shared" si="218"/>
        <v>1</v>
      </c>
      <c r="N1251" s="674"/>
      <c r="O1251" s="24">
        <f t="shared" si="219"/>
        <v>1</v>
      </c>
      <c r="P1251" s="674"/>
      <c r="Q1251" s="24">
        <f t="shared" si="220"/>
        <v>0</v>
      </c>
      <c r="R1251" s="670">
        <f t="shared" si="221"/>
        <v>0</v>
      </c>
      <c r="S1251" s="322">
        <f t="shared" si="222"/>
        <v>0</v>
      </c>
    </row>
    <row r="1252" spans="1:19">
      <c r="A1252" s="155"/>
      <c r="B1252" s="57"/>
      <c r="C1252" s="24">
        <f t="shared" si="213"/>
        <v>1</v>
      </c>
      <c r="D1252" s="674"/>
      <c r="E1252" s="24">
        <f t="shared" si="214"/>
        <v>1</v>
      </c>
      <c r="F1252" s="674"/>
      <c r="G1252" s="24">
        <f t="shared" si="215"/>
        <v>1</v>
      </c>
      <c r="H1252" s="674"/>
      <c r="I1252" s="24">
        <f t="shared" si="216"/>
        <v>1</v>
      </c>
      <c r="J1252" s="674"/>
      <c r="K1252" s="24">
        <f t="shared" si="217"/>
        <v>1</v>
      </c>
      <c r="L1252" s="674"/>
      <c r="M1252" s="24">
        <f t="shared" si="218"/>
        <v>1</v>
      </c>
      <c r="N1252" s="674"/>
      <c r="O1252" s="24">
        <f t="shared" si="219"/>
        <v>1</v>
      </c>
      <c r="P1252" s="674"/>
      <c r="Q1252" s="24">
        <f t="shared" si="220"/>
        <v>0</v>
      </c>
      <c r="R1252" s="670">
        <f t="shared" si="221"/>
        <v>0</v>
      </c>
      <c r="S1252" s="322">
        <f t="shared" si="222"/>
        <v>0</v>
      </c>
    </row>
    <row r="1253" spans="1:19">
      <c r="A1253" s="155"/>
      <c r="B1253" s="57"/>
      <c r="C1253" s="24">
        <f t="shared" si="213"/>
        <v>1</v>
      </c>
      <c r="D1253" s="674"/>
      <c r="E1253" s="24">
        <f t="shared" si="214"/>
        <v>1</v>
      </c>
      <c r="F1253" s="674"/>
      <c r="G1253" s="24">
        <f t="shared" si="215"/>
        <v>1</v>
      </c>
      <c r="H1253" s="674"/>
      <c r="I1253" s="24">
        <f t="shared" si="216"/>
        <v>1</v>
      </c>
      <c r="J1253" s="674"/>
      <c r="K1253" s="24">
        <f t="shared" si="217"/>
        <v>1</v>
      </c>
      <c r="L1253" s="674"/>
      <c r="M1253" s="24">
        <f t="shared" si="218"/>
        <v>1</v>
      </c>
      <c r="N1253" s="674"/>
      <c r="O1253" s="24">
        <f t="shared" si="219"/>
        <v>1</v>
      </c>
      <c r="P1253" s="674"/>
      <c r="Q1253" s="24">
        <f t="shared" si="220"/>
        <v>0</v>
      </c>
      <c r="R1253" s="670">
        <f t="shared" si="221"/>
        <v>0</v>
      </c>
      <c r="S1253" s="322">
        <f t="shared" si="222"/>
        <v>0</v>
      </c>
    </row>
    <row r="1254" spans="1:19">
      <c r="A1254" s="155"/>
      <c r="B1254" s="57"/>
      <c r="C1254" s="24">
        <f t="shared" si="213"/>
        <v>1</v>
      </c>
      <c r="D1254" s="674"/>
      <c r="E1254" s="24">
        <f t="shared" si="214"/>
        <v>1</v>
      </c>
      <c r="F1254" s="674"/>
      <c r="G1254" s="24">
        <f t="shared" si="215"/>
        <v>1</v>
      </c>
      <c r="H1254" s="674"/>
      <c r="I1254" s="24">
        <f t="shared" si="216"/>
        <v>1</v>
      </c>
      <c r="J1254" s="674"/>
      <c r="K1254" s="24">
        <f t="shared" si="217"/>
        <v>1</v>
      </c>
      <c r="L1254" s="674"/>
      <c r="M1254" s="24">
        <f t="shared" si="218"/>
        <v>1</v>
      </c>
      <c r="N1254" s="674"/>
      <c r="O1254" s="24">
        <f t="shared" si="219"/>
        <v>1</v>
      </c>
      <c r="P1254" s="674"/>
      <c r="Q1254" s="24">
        <f t="shared" si="220"/>
        <v>0</v>
      </c>
      <c r="R1254" s="670">
        <f t="shared" si="221"/>
        <v>0</v>
      </c>
      <c r="S1254" s="322">
        <f t="shared" si="222"/>
        <v>0</v>
      </c>
    </row>
    <row r="1255" spans="1:19">
      <c r="A1255" s="155"/>
      <c r="B1255" s="57"/>
      <c r="C1255" s="24">
        <f t="shared" si="213"/>
        <v>1</v>
      </c>
      <c r="D1255" s="674"/>
      <c r="E1255" s="24">
        <f t="shared" si="214"/>
        <v>1</v>
      </c>
      <c r="F1255" s="674"/>
      <c r="G1255" s="24">
        <f t="shared" si="215"/>
        <v>1</v>
      </c>
      <c r="H1255" s="674"/>
      <c r="I1255" s="24">
        <f t="shared" si="216"/>
        <v>1</v>
      </c>
      <c r="J1255" s="674"/>
      <c r="K1255" s="24">
        <f t="shared" si="217"/>
        <v>1</v>
      </c>
      <c r="L1255" s="674"/>
      <c r="M1255" s="24">
        <f t="shared" si="218"/>
        <v>1</v>
      </c>
      <c r="N1255" s="674"/>
      <c r="O1255" s="24">
        <f t="shared" si="219"/>
        <v>1</v>
      </c>
      <c r="P1255" s="674"/>
      <c r="Q1255" s="24">
        <f t="shared" si="220"/>
        <v>0</v>
      </c>
      <c r="R1255" s="670">
        <f t="shared" si="221"/>
        <v>0</v>
      </c>
      <c r="S1255" s="322">
        <f t="shared" si="222"/>
        <v>0</v>
      </c>
    </row>
    <row r="1256" spans="1:19">
      <c r="A1256" s="155"/>
      <c r="B1256" s="57"/>
      <c r="C1256" s="24">
        <f t="shared" si="213"/>
        <v>1</v>
      </c>
      <c r="D1256" s="674"/>
      <c r="E1256" s="24">
        <f t="shared" si="214"/>
        <v>1</v>
      </c>
      <c r="F1256" s="674"/>
      <c r="G1256" s="24">
        <f t="shared" si="215"/>
        <v>1</v>
      </c>
      <c r="H1256" s="674"/>
      <c r="I1256" s="24">
        <f t="shared" si="216"/>
        <v>1</v>
      </c>
      <c r="J1256" s="674"/>
      <c r="K1256" s="24">
        <f t="shared" si="217"/>
        <v>1</v>
      </c>
      <c r="L1256" s="674"/>
      <c r="M1256" s="24">
        <f t="shared" si="218"/>
        <v>1</v>
      </c>
      <c r="N1256" s="674"/>
      <c r="O1256" s="24">
        <f t="shared" si="219"/>
        <v>1</v>
      </c>
      <c r="P1256" s="674"/>
      <c r="Q1256" s="24">
        <f t="shared" si="220"/>
        <v>0</v>
      </c>
      <c r="R1256" s="670">
        <f t="shared" si="221"/>
        <v>0</v>
      </c>
      <c r="S1256" s="322">
        <f t="shared" si="222"/>
        <v>0</v>
      </c>
    </row>
    <row r="1257" spans="1:19">
      <c r="A1257" s="155"/>
      <c r="B1257" s="57"/>
      <c r="C1257" s="24">
        <f t="shared" si="213"/>
        <v>1</v>
      </c>
      <c r="D1257" s="674"/>
      <c r="E1257" s="24">
        <f t="shared" si="214"/>
        <v>1</v>
      </c>
      <c r="F1257" s="674"/>
      <c r="G1257" s="24">
        <f t="shared" si="215"/>
        <v>1</v>
      </c>
      <c r="H1257" s="674"/>
      <c r="I1257" s="24">
        <f t="shared" si="216"/>
        <v>1</v>
      </c>
      <c r="J1257" s="674"/>
      <c r="K1257" s="24">
        <f t="shared" si="217"/>
        <v>1</v>
      </c>
      <c r="L1257" s="674"/>
      <c r="M1257" s="24">
        <f t="shared" si="218"/>
        <v>1</v>
      </c>
      <c r="N1257" s="674"/>
      <c r="O1257" s="24">
        <f t="shared" si="219"/>
        <v>1</v>
      </c>
      <c r="P1257" s="674"/>
      <c r="Q1257" s="24">
        <f t="shared" si="220"/>
        <v>0</v>
      </c>
      <c r="R1257" s="670">
        <f t="shared" si="221"/>
        <v>0</v>
      </c>
      <c r="S1257" s="322">
        <f t="shared" si="222"/>
        <v>0</v>
      </c>
    </row>
    <row r="1258" spans="1:19">
      <c r="A1258" s="155"/>
      <c r="B1258" s="57"/>
      <c r="C1258" s="24">
        <f t="shared" si="213"/>
        <v>1</v>
      </c>
      <c r="D1258" s="674"/>
      <c r="E1258" s="24">
        <f t="shared" si="214"/>
        <v>1</v>
      </c>
      <c r="F1258" s="674"/>
      <c r="G1258" s="24">
        <f t="shared" si="215"/>
        <v>1</v>
      </c>
      <c r="H1258" s="674"/>
      <c r="I1258" s="24">
        <f t="shared" si="216"/>
        <v>1</v>
      </c>
      <c r="J1258" s="674"/>
      <c r="K1258" s="24">
        <f t="shared" si="217"/>
        <v>1</v>
      </c>
      <c r="L1258" s="674"/>
      <c r="M1258" s="24">
        <f t="shared" si="218"/>
        <v>1</v>
      </c>
      <c r="N1258" s="674"/>
      <c r="O1258" s="24">
        <f t="shared" si="219"/>
        <v>1</v>
      </c>
      <c r="P1258" s="674"/>
      <c r="Q1258" s="24">
        <f t="shared" si="220"/>
        <v>0</v>
      </c>
      <c r="R1258" s="670">
        <f t="shared" si="221"/>
        <v>0</v>
      </c>
      <c r="S1258" s="322">
        <f t="shared" si="222"/>
        <v>0</v>
      </c>
    </row>
    <row r="1259" spans="1:19">
      <c r="A1259" s="155"/>
      <c r="B1259" s="57"/>
      <c r="C1259" s="24">
        <f t="shared" si="213"/>
        <v>1</v>
      </c>
      <c r="D1259" s="674"/>
      <c r="E1259" s="24">
        <f t="shared" si="214"/>
        <v>1</v>
      </c>
      <c r="F1259" s="674"/>
      <c r="G1259" s="24">
        <f t="shared" si="215"/>
        <v>1</v>
      </c>
      <c r="H1259" s="674"/>
      <c r="I1259" s="24">
        <f t="shared" si="216"/>
        <v>1</v>
      </c>
      <c r="J1259" s="674"/>
      <c r="K1259" s="24">
        <f t="shared" si="217"/>
        <v>1</v>
      </c>
      <c r="L1259" s="674"/>
      <c r="M1259" s="24">
        <f t="shared" si="218"/>
        <v>1</v>
      </c>
      <c r="N1259" s="674"/>
      <c r="O1259" s="24">
        <f t="shared" si="219"/>
        <v>1</v>
      </c>
      <c r="P1259" s="674"/>
      <c r="Q1259" s="24">
        <f t="shared" si="220"/>
        <v>0</v>
      </c>
      <c r="R1259" s="670">
        <f t="shared" si="221"/>
        <v>0</v>
      </c>
      <c r="S1259" s="322">
        <f t="shared" si="222"/>
        <v>0</v>
      </c>
    </row>
    <row r="1260" spans="1:19">
      <c r="A1260" s="155"/>
      <c r="B1260" s="57"/>
      <c r="C1260" s="24">
        <f t="shared" si="213"/>
        <v>1</v>
      </c>
      <c r="D1260" s="674"/>
      <c r="E1260" s="24">
        <f t="shared" si="214"/>
        <v>1</v>
      </c>
      <c r="F1260" s="674"/>
      <c r="G1260" s="24">
        <f t="shared" si="215"/>
        <v>1</v>
      </c>
      <c r="H1260" s="674"/>
      <c r="I1260" s="24">
        <f t="shared" si="216"/>
        <v>1</v>
      </c>
      <c r="J1260" s="674"/>
      <c r="K1260" s="24">
        <f t="shared" si="217"/>
        <v>1</v>
      </c>
      <c r="L1260" s="674"/>
      <c r="M1260" s="24">
        <f t="shared" si="218"/>
        <v>1</v>
      </c>
      <c r="N1260" s="674"/>
      <c r="O1260" s="24">
        <f t="shared" si="219"/>
        <v>1</v>
      </c>
      <c r="P1260" s="674"/>
      <c r="Q1260" s="24">
        <f t="shared" si="220"/>
        <v>0</v>
      </c>
      <c r="R1260" s="670">
        <f t="shared" si="221"/>
        <v>0</v>
      </c>
      <c r="S1260" s="322">
        <f t="shared" si="222"/>
        <v>0</v>
      </c>
    </row>
    <row r="1261" spans="1:19">
      <c r="A1261" s="155"/>
      <c r="B1261" s="57"/>
      <c r="C1261" s="24">
        <f t="shared" si="213"/>
        <v>1</v>
      </c>
      <c r="D1261" s="674"/>
      <c r="E1261" s="24">
        <f t="shared" si="214"/>
        <v>1</v>
      </c>
      <c r="F1261" s="674"/>
      <c r="G1261" s="24">
        <f t="shared" si="215"/>
        <v>1</v>
      </c>
      <c r="H1261" s="674"/>
      <c r="I1261" s="24">
        <f t="shared" si="216"/>
        <v>1</v>
      </c>
      <c r="J1261" s="674"/>
      <c r="K1261" s="24">
        <f t="shared" si="217"/>
        <v>1</v>
      </c>
      <c r="L1261" s="674"/>
      <c r="M1261" s="24">
        <f t="shared" si="218"/>
        <v>1</v>
      </c>
      <c r="N1261" s="674"/>
      <c r="O1261" s="24">
        <f t="shared" si="219"/>
        <v>1</v>
      </c>
      <c r="P1261" s="674"/>
      <c r="Q1261" s="24">
        <f t="shared" si="220"/>
        <v>0</v>
      </c>
      <c r="R1261" s="670">
        <f t="shared" si="221"/>
        <v>0</v>
      </c>
      <c r="S1261" s="322">
        <f t="shared" si="222"/>
        <v>0</v>
      </c>
    </row>
    <row r="1262" spans="1:19">
      <c r="A1262" s="155"/>
      <c r="B1262" s="57"/>
      <c r="C1262" s="24">
        <f t="shared" si="213"/>
        <v>1</v>
      </c>
      <c r="D1262" s="674"/>
      <c r="E1262" s="24">
        <f t="shared" si="214"/>
        <v>1</v>
      </c>
      <c r="F1262" s="674"/>
      <c r="G1262" s="24">
        <f t="shared" si="215"/>
        <v>1</v>
      </c>
      <c r="H1262" s="674"/>
      <c r="I1262" s="24">
        <f t="shared" si="216"/>
        <v>1</v>
      </c>
      <c r="J1262" s="674"/>
      <c r="K1262" s="24">
        <f t="shared" si="217"/>
        <v>1</v>
      </c>
      <c r="L1262" s="674"/>
      <c r="M1262" s="24">
        <f t="shared" si="218"/>
        <v>1</v>
      </c>
      <c r="N1262" s="674"/>
      <c r="O1262" s="24">
        <f t="shared" si="219"/>
        <v>1</v>
      </c>
      <c r="P1262" s="674"/>
      <c r="Q1262" s="24">
        <f t="shared" si="220"/>
        <v>0</v>
      </c>
      <c r="R1262" s="670">
        <f t="shared" si="221"/>
        <v>0</v>
      </c>
      <c r="S1262" s="322">
        <f t="shared" si="222"/>
        <v>0</v>
      </c>
    </row>
    <row r="1263" spans="1:19">
      <c r="A1263" s="155"/>
      <c r="B1263" s="57"/>
      <c r="C1263" s="24">
        <f t="shared" si="213"/>
        <v>1</v>
      </c>
      <c r="D1263" s="674"/>
      <c r="E1263" s="24">
        <f t="shared" si="214"/>
        <v>1</v>
      </c>
      <c r="F1263" s="674"/>
      <c r="G1263" s="24">
        <f t="shared" si="215"/>
        <v>1</v>
      </c>
      <c r="H1263" s="674"/>
      <c r="I1263" s="24">
        <f t="shared" si="216"/>
        <v>1</v>
      </c>
      <c r="J1263" s="674"/>
      <c r="K1263" s="24">
        <f t="shared" si="217"/>
        <v>1</v>
      </c>
      <c r="L1263" s="674"/>
      <c r="M1263" s="24">
        <f t="shared" si="218"/>
        <v>1</v>
      </c>
      <c r="N1263" s="674"/>
      <c r="O1263" s="24">
        <f t="shared" si="219"/>
        <v>1</v>
      </c>
      <c r="P1263" s="674"/>
      <c r="Q1263" s="24">
        <f t="shared" si="220"/>
        <v>0</v>
      </c>
      <c r="R1263" s="670">
        <f t="shared" si="221"/>
        <v>0</v>
      </c>
      <c r="S1263" s="322">
        <f t="shared" si="222"/>
        <v>0</v>
      </c>
    </row>
    <row r="1264" spans="1:19">
      <c r="A1264" s="155"/>
      <c r="B1264" s="57"/>
      <c r="C1264" s="24">
        <f t="shared" si="213"/>
        <v>1</v>
      </c>
      <c r="D1264" s="674"/>
      <c r="E1264" s="24">
        <f t="shared" si="214"/>
        <v>1</v>
      </c>
      <c r="F1264" s="674"/>
      <c r="G1264" s="24">
        <f t="shared" si="215"/>
        <v>1</v>
      </c>
      <c r="H1264" s="674"/>
      <c r="I1264" s="24">
        <f t="shared" si="216"/>
        <v>1</v>
      </c>
      <c r="J1264" s="674"/>
      <c r="K1264" s="24">
        <f t="shared" si="217"/>
        <v>1</v>
      </c>
      <c r="L1264" s="674"/>
      <c r="M1264" s="24">
        <f t="shared" si="218"/>
        <v>1</v>
      </c>
      <c r="N1264" s="674"/>
      <c r="O1264" s="24">
        <f t="shared" si="219"/>
        <v>1</v>
      </c>
      <c r="P1264" s="674"/>
      <c r="Q1264" s="24">
        <f t="shared" si="220"/>
        <v>0</v>
      </c>
      <c r="R1264" s="670">
        <f t="shared" si="221"/>
        <v>0</v>
      </c>
      <c r="S1264" s="322">
        <f t="shared" si="222"/>
        <v>0</v>
      </c>
    </row>
    <row r="1265" spans="1:19">
      <c r="A1265" s="155"/>
      <c r="B1265" s="57"/>
      <c r="C1265" s="24">
        <f t="shared" si="213"/>
        <v>1</v>
      </c>
      <c r="D1265" s="674"/>
      <c r="E1265" s="24">
        <f t="shared" si="214"/>
        <v>1</v>
      </c>
      <c r="F1265" s="674"/>
      <c r="G1265" s="24">
        <f t="shared" si="215"/>
        <v>1</v>
      </c>
      <c r="H1265" s="674"/>
      <c r="I1265" s="24">
        <f t="shared" si="216"/>
        <v>1</v>
      </c>
      <c r="J1265" s="674"/>
      <c r="K1265" s="24">
        <f t="shared" si="217"/>
        <v>1</v>
      </c>
      <c r="L1265" s="674"/>
      <c r="M1265" s="24">
        <f t="shared" si="218"/>
        <v>1</v>
      </c>
      <c r="N1265" s="674"/>
      <c r="O1265" s="24">
        <f t="shared" si="219"/>
        <v>1</v>
      </c>
      <c r="P1265" s="674"/>
      <c r="Q1265" s="24">
        <f t="shared" si="220"/>
        <v>0</v>
      </c>
      <c r="R1265" s="670">
        <f t="shared" si="221"/>
        <v>0</v>
      </c>
      <c r="S1265" s="322">
        <f t="shared" si="222"/>
        <v>0</v>
      </c>
    </row>
    <row r="1266" spans="1:19">
      <c r="A1266" s="155"/>
      <c r="B1266" s="57"/>
      <c r="C1266" s="24">
        <f t="shared" si="213"/>
        <v>1</v>
      </c>
      <c r="D1266" s="674"/>
      <c r="E1266" s="24">
        <f t="shared" si="214"/>
        <v>1</v>
      </c>
      <c r="F1266" s="674"/>
      <c r="G1266" s="24">
        <f t="shared" si="215"/>
        <v>1</v>
      </c>
      <c r="H1266" s="674"/>
      <c r="I1266" s="24">
        <f t="shared" si="216"/>
        <v>1</v>
      </c>
      <c r="J1266" s="674"/>
      <c r="K1266" s="24">
        <f t="shared" si="217"/>
        <v>1</v>
      </c>
      <c r="L1266" s="674"/>
      <c r="M1266" s="24">
        <f t="shared" si="218"/>
        <v>1</v>
      </c>
      <c r="N1266" s="674"/>
      <c r="O1266" s="24">
        <f t="shared" si="219"/>
        <v>1</v>
      </c>
      <c r="P1266" s="674"/>
      <c r="Q1266" s="24">
        <f t="shared" si="220"/>
        <v>0</v>
      </c>
      <c r="R1266" s="670">
        <f t="shared" si="221"/>
        <v>0</v>
      </c>
      <c r="S1266" s="322">
        <f t="shared" si="222"/>
        <v>0</v>
      </c>
    </row>
    <row r="1267" spans="1:19">
      <c r="A1267" s="155"/>
      <c r="B1267" s="57"/>
      <c r="C1267" s="24">
        <f t="shared" si="213"/>
        <v>1</v>
      </c>
      <c r="D1267" s="674"/>
      <c r="E1267" s="24">
        <f t="shared" si="214"/>
        <v>1</v>
      </c>
      <c r="F1267" s="674"/>
      <c r="G1267" s="24">
        <f t="shared" si="215"/>
        <v>1</v>
      </c>
      <c r="H1267" s="674"/>
      <c r="I1267" s="24">
        <f t="shared" si="216"/>
        <v>1</v>
      </c>
      <c r="J1267" s="674"/>
      <c r="K1267" s="24">
        <f t="shared" si="217"/>
        <v>1</v>
      </c>
      <c r="L1267" s="674"/>
      <c r="M1267" s="24">
        <f t="shared" si="218"/>
        <v>1</v>
      </c>
      <c r="N1267" s="674"/>
      <c r="O1267" s="24">
        <f t="shared" si="219"/>
        <v>1</v>
      </c>
      <c r="P1267" s="674"/>
      <c r="Q1267" s="24">
        <f t="shared" si="220"/>
        <v>0</v>
      </c>
      <c r="R1267" s="670">
        <f t="shared" si="221"/>
        <v>0</v>
      </c>
      <c r="S1267" s="322">
        <f t="shared" si="222"/>
        <v>0</v>
      </c>
    </row>
    <row r="1268" spans="1:19">
      <c r="A1268" s="155"/>
      <c r="B1268" s="57"/>
      <c r="C1268" s="24">
        <f t="shared" si="213"/>
        <v>1</v>
      </c>
      <c r="D1268" s="674"/>
      <c r="E1268" s="24">
        <f t="shared" si="214"/>
        <v>1</v>
      </c>
      <c r="F1268" s="674"/>
      <c r="G1268" s="24">
        <f t="shared" si="215"/>
        <v>1</v>
      </c>
      <c r="H1268" s="674"/>
      <c r="I1268" s="24">
        <f t="shared" si="216"/>
        <v>1</v>
      </c>
      <c r="J1268" s="674"/>
      <c r="K1268" s="24">
        <f t="shared" si="217"/>
        <v>1</v>
      </c>
      <c r="L1268" s="674"/>
      <c r="M1268" s="24">
        <f t="shared" si="218"/>
        <v>1</v>
      </c>
      <c r="N1268" s="674"/>
      <c r="O1268" s="24">
        <f t="shared" si="219"/>
        <v>1</v>
      </c>
      <c r="P1268" s="674"/>
      <c r="Q1268" s="24">
        <f t="shared" si="220"/>
        <v>0</v>
      </c>
      <c r="R1268" s="670">
        <f t="shared" si="221"/>
        <v>0</v>
      </c>
      <c r="S1268" s="322">
        <f t="shared" si="222"/>
        <v>0</v>
      </c>
    </row>
    <row r="1269" spans="1:19">
      <c r="A1269" s="155"/>
      <c r="B1269" s="57"/>
      <c r="C1269" s="24">
        <f t="shared" si="213"/>
        <v>1</v>
      </c>
      <c r="D1269" s="674"/>
      <c r="E1269" s="24">
        <f t="shared" si="214"/>
        <v>1</v>
      </c>
      <c r="F1269" s="674"/>
      <c r="G1269" s="24">
        <f t="shared" si="215"/>
        <v>1</v>
      </c>
      <c r="H1269" s="674"/>
      <c r="I1269" s="24">
        <f t="shared" si="216"/>
        <v>1</v>
      </c>
      <c r="J1269" s="674"/>
      <c r="K1269" s="24">
        <f t="shared" si="217"/>
        <v>1</v>
      </c>
      <c r="L1269" s="674"/>
      <c r="M1269" s="24">
        <f t="shared" si="218"/>
        <v>1</v>
      </c>
      <c r="N1269" s="674"/>
      <c r="O1269" s="24">
        <f t="shared" si="219"/>
        <v>1</v>
      </c>
      <c r="P1269" s="674"/>
      <c r="Q1269" s="24">
        <f t="shared" si="220"/>
        <v>0</v>
      </c>
      <c r="R1269" s="670">
        <f t="shared" si="221"/>
        <v>0</v>
      </c>
      <c r="S1269" s="322">
        <f t="shared" si="222"/>
        <v>0</v>
      </c>
    </row>
    <row r="1270" spans="1:19">
      <c r="A1270" s="155"/>
      <c r="B1270" s="57"/>
      <c r="C1270" s="24">
        <f t="shared" si="213"/>
        <v>1</v>
      </c>
      <c r="D1270" s="674"/>
      <c r="E1270" s="24">
        <f t="shared" si="214"/>
        <v>1</v>
      </c>
      <c r="F1270" s="674"/>
      <c r="G1270" s="24">
        <f t="shared" si="215"/>
        <v>1</v>
      </c>
      <c r="H1270" s="674"/>
      <c r="I1270" s="24">
        <f t="shared" si="216"/>
        <v>1</v>
      </c>
      <c r="J1270" s="674"/>
      <c r="K1270" s="24">
        <f t="shared" si="217"/>
        <v>1</v>
      </c>
      <c r="L1270" s="674"/>
      <c r="M1270" s="24">
        <f t="shared" si="218"/>
        <v>1</v>
      </c>
      <c r="N1270" s="674"/>
      <c r="O1270" s="24">
        <f t="shared" si="219"/>
        <v>1</v>
      </c>
      <c r="P1270" s="674"/>
      <c r="Q1270" s="24">
        <f t="shared" si="220"/>
        <v>0</v>
      </c>
      <c r="R1270" s="670">
        <f t="shared" si="221"/>
        <v>0</v>
      </c>
      <c r="S1270" s="322">
        <f t="shared" si="222"/>
        <v>0</v>
      </c>
    </row>
    <row r="1271" spans="1:19">
      <c r="A1271" s="155"/>
      <c r="B1271" s="57"/>
      <c r="C1271" s="24">
        <f t="shared" si="213"/>
        <v>1</v>
      </c>
      <c r="D1271" s="674"/>
      <c r="E1271" s="24">
        <f t="shared" si="214"/>
        <v>1</v>
      </c>
      <c r="F1271" s="674"/>
      <c r="G1271" s="24">
        <f t="shared" si="215"/>
        <v>1</v>
      </c>
      <c r="H1271" s="674"/>
      <c r="I1271" s="24">
        <f t="shared" si="216"/>
        <v>1</v>
      </c>
      <c r="J1271" s="674"/>
      <c r="K1271" s="24">
        <f t="shared" si="217"/>
        <v>1</v>
      </c>
      <c r="L1271" s="674"/>
      <c r="M1271" s="24">
        <f t="shared" si="218"/>
        <v>1</v>
      </c>
      <c r="N1271" s="674"/>
      <c r="O1271" s="24">
        <f t="shared" si="219"/>
        <v>1</v>
      </c>
      <c r="P1271" s="674"/>
      <c r="Q1271" s="24">
        <f t="shared" si="220"/>
        <v>0</v>
      </c>
      <c r="R1271" s="670">
        <f t="shared" si="221"/>
        <v>0</v>
      </c>
      <c r="S1271" s="322">
        <f t="shared" si="222"/>
        <v>0</v>
      </c>
    </row>
    <row r="1272" spans="1:19">
      <c r="A1272" s="155"/>
      <c r="B1272" s="57"/>
      <c r="C1272" s="24">
        <f t="shared" si="213"/>
        <v>1</v>
      </c>
      <c r="D1272" s="674"/>
      <c r="E1272" s="24">
        <f t="shared" si="214"/>
        <v>1</v>
      </c>
      <c r="F1272" s="674"/>
      <c r="G1272" s="24">
        <f t="shared" si="215"/>
        <v>1</v>
      </c>
      <c r="H1272" s="674"/>
      <c r="I1272" s="24">
        <f t="shared" si="216"/>
        <v>1</v>
      </c>
      <c r="J1272" s="674"/>
      <c r="K1272" s="24">
        <f t="shared" si="217"/>
        <v>1</v>
      </c>
      <c r="L1272" s="674"/>
      <c r="M1272" s="24">
        <f t="shared" si="218"/>
        <v>1</v>
      </c>
      <c r="N1272" s="674"/>
      <c r="O1272" s="24">
        <f t="shared" si="219"/>
        <v>1</v>
      </c>
      <c r="P1272" s="674"/>
      <c r="Q1272" s="24">
        <f t="shared" si="220"/>
        <v>0</v>
      </c>
      <c r="R1272" s="670">
        <f t="shared" si="221"/>
        <v>0</v>
      </c>
      <c r="S1272" s="322">
        <f t="shared" si="222"/>
        <v>0</v>
      </c>
    </row>
    <row r="1273" spans="1:19">
      <c r="A1273" s="155"/>
      <c r="B1273" s="57"/>
      <c r="C1273" s="24">
        <f t="shared" si="213"/>
        <v>1</v>
      </c>
      <c r="D1273" s="674"/>
      <c r="E1273" s="24">
        <f t="shared" si="214"/>
        <v>1</v>
      </c>
      <c r="F1273" s="674"/>
      <c r="G1273" s="24">
        <f t="shared" si="215"/>
        <v>1</v>
      </c>
      <c r="H1273" s="674"/>
      <c r="I1273" s="24">
        <f t="shared" si="216"/>
        <v>1</v>
      </c>
      <c r="J1273" s="674"/>
      <c r="K1273" s="24">
        <f t="shared" si="217"/>
        <v>1</v>
      </c>
      <c r="L1273" s="674"/>
      <c r="M1273" s="24">
        <f t="shared" si="218"/>
        <v>1</v>
      </c>
      <c r="N1273" s="674"/>
      <c r="O1273" s="24">
        <f t="shared" si="219"/>
        <v>1</v>
      </c>
      <c r="P1273" s="674"/>
      <c r="Q1273" s="24">
        <f t="shared" si="220"/>
        <v>0</v>
      </c>
      <c r="R1273" s="670">
        <f t="shared" si="221"/>
        <v>0</v>
      </c>
      <c r="S1273" s="322">
        <f t="shared" si="222"/>
        <v>0</v>
      </c>
    </row>
    <row r="1274" spans="1:19">
      <c r="A1274" s="155"/>
      <c r="B1274" s="57"/>
      <c r="C1274" s="24">
        <f t="shared" si="213"/>
        <v>1</v>
      </c>
      <c r="D1274" s="674"/>
      <c r="E1274" s="24">
        <f t="shared" si="214"/>
        <v>1</v>
      </c>
      <c r="F1274" s="674"/>
      <c r="G1274" s="24">
        <f t="shared" si="215"/>
        <v>1</v>
      </c>
      <c r="H1274" s="674"/>
      <c r="I1274" s="24">
        <f t="shared" si="216"/>
        <v>1</v>
      </c>
      <c r="J1274" s="674"/>
      <c r="K1274" s="24">
        <f t="shared" si="217"/>
        <v>1</v>
      </c>
      <c r="L1274" s="674"/>
      <c r="M1274" s="24">
        <f t="shared" si="218"/>
        <v>1</v>
      </c>
      <c r="N1274" s="674"/>
      <c r="O1274" s="24">
        <f t="shared" si="219"/>
        <v>1</v>
      </c>
      <c r="P1274" s="674"/>
      <c r="Q1274" s="24">
        <f t="shared" si="220"/>
        <v>0</v>
      </c>
      <c r="R1274" s="670">
        <f t="shared" si="221"/>
        <v>0</v>
      </c>
      <c r="S1274" s="322">
        <f t="shared" si="222"/>
        <v>0</v>
      </c>
    </row>
    <row r="1275" spans="1:19">
      <c r="A1275" s="155"/>
      <c r="B1275" s="57"/>
      <c r="C1275" s="24">
        <f t="shared" si="213"/>
        <v>1</v>
      </c>
      <c r="D1275" s="674"/>
      <c r="E1275" s="24">
        <f t="shared" si="214"/>
        <v>1</v>
      </c>
      <c r="F1275" s="674"/>
      <c r="G1275" s="24">
        <f t="shared" si="215"/>
        <v>1</v>
      </c>
      <c r="H1275" s="674"/>
      <c r="I1275" s="24">
        <f t="shared" si="216"/>
        <v>1</v>
      </c>
      <c r="J1275" s="674"/>
      <c r="K1275" s="24">
        <f t="shared" si="217"/>
        <v>1</v>
      </c>
      <c r="L1275" s="674"/>
      <c r="M1275" s="24">
        <f t="shared" si="218"/>
        <v>1</v>
      </c>
      <c r="N1275" s="674"/>
      <c r="O1275" s="24">
        <f t="shared" si="219"/>
        <v>1</v>
      </c>
      <c r="P1275" s="674"/>
      <c r="Q1275" s="24">
        <f t="shared" si="220"/>
        <v>0</v>
      </c>
      <c r="R1275" s="670">
        <f t="shared" si="221"/>
        <v>0</v>
      </c>
      <c r="S1275" s="322">
        <f t="shared" si="222"/>
        <v>0</v>
      </c>
    </row>
    <row r="1276" spans="1:19">
      <c r="A1276" s="155"/>
      <c r="B1276" s="57"/>
      <c r="C1276" s="24">
        <f t="shared" si="213"/>
        <v>1</v>
      </c>
      <c r="D1276" s="674"/>
      <c r="E1276" s="24">
        <f t="shared" si="214"/>
        <v>1</v>
      </c>
      <c r="F1276" s="674"/>
      <c r="G1276" s="24">
        <f t="shared" si="215"/>
        <v>1</v>
      </c>
      <c r="H1276" s="674"/>
      <c r="I1276" s="24">
        <f t="shared" si="216"/>
        <v>1</v>
      </c>
      <c r="J1276" s="674"/>
      <c r="K1276" s="24">
        <f t="shared" si="217"/>
        <v>1</v>
      </c>
      <c r="L1276" s="674"/>
      <c r="M1276" s="24">
        <f t="shared" si="218"/>
        <v>1</v>
      </c>
      <c r="N1276" s="674"/>
      <c r="O1276" s="24">
        <f t="shared" si="219"/>
        <v>1</v>
      </c>
      <c r="P1276" s="674"/>
      <c r="Q1276" s="24">
        <f t="shared" si="220"/>
        <v>0</v>
      </c>
      <c r="R1276" s="670">
        <f t="shared" si="221"/>
        <v>0</v>
      </c>
      <c r="S1276" s="322">
        <f t="shared" si="222"/>
        <v>0</v>
      </c>
    </row>
    <row r="1277" spans="1:19">
      <c r="A1277" s="155"/>
      <c r="B1277" s="57"/>
      <c r="C1277" s="24">
        <f t="shared" si="213"/>
        <v>1</v>
      </c>
      <c r="D1277" s="674"/>
      <c r="E1277" s="24">
        <f t="shared" si="214"/>
        <v>1</v>
      </c>
      <c r="F1277" s="674"/>
      <c r="G1277" s="24">
        <f t="shared" si="215"/>
        <v>1</v>
      </c>
      <c r="H1277" s="674"/>
      <c r="I1277" s="24">
        <f t="shared" si="216"/>
        <v>1</v>
      </c>
      <c r="J1277" s="674"/>
      <c r="K1277" s="24">
        <f t="shared" si="217"/>
        <v>1</v>
      </c>
      <c r="L1277" s="674"/>
      <c r="M1277" s="24">
        <f t="shared" si="218"/>
        <v>1</v>
      </c>
      <c r="N1277" s="674"/>
      <c r="O1277" s="24">
        <f t="shared" si="219"/>
        <v>1</v>
      </c>
      <c r="P1277" s="674"/>
      <c r="Q1277" s="24">
        <f t="shared" si="220"/>
        <v>0</v>
      </c>
      <c r="R1277" s="670">
        <f t="shared" si="221"/>
        <v>0</v>
      </c>
      <c r="S1277" s="322">
        <f t="shared" si="222"/>
        <v>0</v>
      </c>
    </row>
    <row r="1278" spans="1:19">
      <c r="A1278" s="155"/>
      <c r="B1278" s="57"/>
      <c r="C1278" s="24">
        <f t="shared" si="213"/>
        <v>1</v>
      </c>
      <c r="D1278" s="674"/>
      <c r="E1278" s="24">
        <f t="shared" si="214"/>
        <v>1</v>
      </c>
      <c r="F1278" s="674"/>
      <c r="G1278" s="24">
        <f t="shared" si="215"/>
        <v>1</v>
      </c>
      <c r="H1278" s="674"/>
      <c r="I1278" s="24">
        <f t="shared" si="216"/>
        <v>1</v>
      </c>
      <c r="J1278" s="674"/>
      <c r="K1278" s="24">
        <f t="shared" si="217"/>
        <v>1</v>
      </c>
      <c r="L1278" s="674"/>
      <c r="M1278" s="24">
        <f t="shared" si="218"/>
        <v>1</v>
      </c>
      <c r="N1278" s="674"/>
      <c r="O1278" s="24">
        <f t="shared" si="219"/>
        <v>1</v>
      </c>
      <c r="P1278" s="674"/>
      <c r="Q1278" s="24">
        <f t="shared" si="220"/>
        <v>0</v>
      </c>
      <c r="R1278" s="670">
        <f t="shared" si="221"/>
        <v>0</v>
      </c>
      <c r="S1278" s="322">
        <f t="shared" si="222"/>
        <v>0</v>
      </c>
    </row>
    <row r="1279" spans="1:19">
      <c r="A1279" s="155"/>
      <c r="B1279" s="57"/>
      <c r="C1279" s="24">
        <f t="shared" si="213"/>
        <v>1</v>
      </c>
      <c r="D1279" s="674"/>
      <c r="E1279" s="24">
        <f t="shared" si="214"/>
        <v>1</v>
      </c>
      <c r="F1279" s="674"/>
      <c r="G1279" s="24">
        <f t="shared" si="215"/>
        <v>1</v>
      </c>
      <c r="H1279" s="674"/>
      <c r="I1279" s="24">
        <f t="shared" si="216"/>
        <v>1</v>
      </c>
      <c r="J1279" s="674"/>
      <c r="K1279" s="24">
        <f t="shared" si="217"/>
        <v>1</v>
      </c>
      <c r="L1279" s="674"/>
      <c r="M1279" s="24">
        <f t="shared" si="218"/>
        <v>1</v>
      </c>
      <c r="N1279" s="674"/>
      <c r="O1279" s="24">
        <f t="shared" si="219"/>
        <v>1</v>
      </c>
      <c r="P1279" s="674"/>
      <c r="Q1279" s="24">
        <f t="shared" si="220"/>
        <v>0</v>
      </c>
      <c r="R1279" s="670">
        <f t="shared" si="221"/>
        <v>0</v>
      </c>
      <c r="S1279" s="322">
        <f t="shared" si="222"/>
        <v>0</v>
      </c>
    </row>
    <row r="1280" spans="1:19">
      <c r="A1280" s="155"/>
      <c r="B1280" s="57"/>
      <c r="C1280" s="24">
        <f t="shared" si="213"/>
        <v>1</v>
      </c>
      <c r="D1280" s="674"/>
      <c r="E1280" s="24">
        <f t="shared" si="214"/>
        <v>1</v>
      </c>
      <c r="F1280" s="674"/>
      <c r="G1280" s="24">
        <f t="shared" si="215"/>
        <v>1</v>
      </c>
      <c r="H1280" s="674"/>
      <c r="I1280" s="24">
        <f t="shared" si="216"/>
        <v>1</v>
      </c>
      <c r="J1280" s="674"/>
      <c r="K1280" s="24">
        <f t="shared" si="217"/>
        <v>1</v>
      </c>
      <c r="L1280" s="674"/>
      <c r="M1280" s="24">
        <f t="shared" si="218"/>
        <v>1</v>
      </c>
      <c r="N1280" s="674"/>
      <c r="O1280" s="24">
        <f t="shared" si="219"/>
        <v>1</v>
      </c>
      <c r="P1280" s="674"/>
      <c r="Q1280" s="24">
        <f t="shared" si="220"/>
        <v>0</v>
      </c>
      <c r="R1280" s="670">
        <f t="shared" si="221"/>
        <v>0</v>
      </c>
      <c r="S1280" s="322">
        <f t="shared" si="222"/>
        <v>0</v>
      </c>
    </row>
    <row r="1281" spans="1:19">
      <c r="A1281" s="155"/>
      <c r="B1281" s="57"/>
      <c r="C1281" s="24">
        <f t="shared" si="213"/>
        <v>1</v>
      </c>
      <c r="D1281" s="674"/>
      <c r="E1281" s="24">
        <f t="shared" si="214"/>
        <v>1</v>
      </c>
      <c r="F1281" s="674"/>
      <c r="G1281" s="24">
        <f t="shared" si="215"/>
        <v>1</v>
      </c>
      <c r="H1281" s="674"/>
      <c r="I1281" s="24">
        <f t="shared" si="216"/>
        <v>1</v>
      </c>
      <c r="J1281" s="674"/>
      <c r="K1281" s="24">
        <f t="shared" si="217"/>
        <v>1</v>
      </c>
      <c r="L1281" s="674"/>
      <c r="M1281" s="24">
        <f t="shared" si="218"/>
        <v>1</v>
      </c>
      <c r="N1281" s="674"/>
      <c r="O1281" s="24">
        <f t="shared" si="219"/>
        <v>1</v>
      </c>
      <c r="P1281" s="674"/>
      <c r="Q1281" s="24">
        <f t="shared" si="220"/>
        <v>0</v>
      </c>
      <c r="R1281" s="670">
        <f t="shared" si="221"/>
        <v>0</v>
      </c>
      <c r="S1281" s="322">
        <f t="shared" si="222"/>
        <v>0</v>
      </c>
    </row>
    <row r="1282" spans="1:19">
      <c r="A1282" s="155"/>
      <c r="B1282" s="57"/>
      <c r="C1282" s="24">
        <f t="shared" si="213"/>
        <v>1</v>
      </c>
      <c r="D1282" s="674"/>
      <c r="E1282" s="24">
        <f t="shared" si="214"/>
        <v>1</v>
      </c>
      <c r="F1282" s="674"/>
      <c r="G1282" s="24">
        <f t="shared" si="215"/>
        <v>1</v>
      </c>
      <c r="H1282" s="674"/>
      <c r="I1282" s="24">
        <f t="shared" si="216"/>
        <v>1</v>
      </c>
      <c r="J1282" s="674"/>
      <c r="K1282" s="24">
        <f t="shared" si="217"/>
        <v>1</v>
      </c>
      <c r="L1282" s="674"/>
      <c r="M1282" s="24">
        <f t="shared" si="218"/>
        <v>1</v>
      </c>
      <c r="N1282" s="674"/>
      <c r="O1282" s="24">
        <f t="shared" si="219"/>
        <v>1</v>
      </c>
      <c r="P1282" s="674"/>
      <c r="Q1282" s="24">
        <f t="shared" si="220"/>
        <v>0</v>
      </c>
      <c r="R1282" s="670">
        <f t="shared" si="221"/>
        <v>0</v>
      </c>
      <c r="S1282" s="322">
        <f t="shared" si="222"/>
        <v>0</v>
      </c>
    </row>
    <row r="1283" spans="1:19">
      <c r="A1283" s="155"/>
      <c r="B1283" s="57"/>
      <c r="C1283" s="24">
        <f t="shared" si="213"/>
        <v>1</v>
      </c>
      <c r="D1283" s="674"/>
      <c r="E1283" s="24">
        <f t="shared" si="214"/>
        <v>1</v>
      </c>
      <c r="F1283" s="674"/>
      <c r="G1283" s="24">
        <f t="shared" si="215"/>
        <v>1</v>
      </c>
      <c r="H1283" s="674"/>
      <c r="I1283" s="24">
        <f t="shared" si="216"/>
        <v>1</v>
      </c>
      <c r="J1283" s="674"/>
      <c r="K1283" s="24">
        <f t="shared" si="217"/>
        <v>1</v>
      </c>
      <c r="L1283" s="674"/>
      <c r="M1283" s="24">
        <f t="shared" si="218"/>
        <v>1</v>
      </c>
      <c r="N1283" s="674"/>
      <c r="O1283" s="24">
        <f t="shared" si="219"/>
        <v>1</v>
      </c>
      <c r="P1283" s="674"/>
      <c r="Q1283" s="24">
        <f t="shared" si="220"/>
        <v>0</v>
      </c>
      <c r="R1283" s="670">
        <f t="shared" si="221"/>
        <v>0</v>
      </c>
      <c r="S1283" s="322">
        <f t="shared" si="222"/>
        <v>0</v>
      </c>
    </row>
    <row r="1284" spans="1:19">
      <c r="A1284" s="155"/>
      <c r="B1284" s="57"/>
      <c r="C1284" s="24">
        <f t="shared" si="213"/>
        <v>1</v>
      </c>
      <c r="D1284" s="674"/>
      <c r="E1284" s="24">
        <f t="shared" si="214"/>
        <v>1</v>
      </c>
      <c r="F1284" s="674"/>
      <c r="G1284" s="24">
        <f t="shared" si="215"/>
        <v>1</v>
      </c>
      <c r="H1284" s="674"/>
      <c r="I1284" s="24">
        <f t="shared" si="216"/>
        <v>1</v>
      </c>
      <c r="J1284" s="674"/>
      <c r="K1284" s="24">
        <f t="shared" si="217"/>
        <v>1</v>
      </c>
      <c r="L1284" s="674"/>
      <c r="M1284" s="24">
        <f t="shared" si="218"/>
        <v>1</v>
      </c>
      <c r="N1284" s="674"/>
      <c r="O1284" s="24">
        <f t="shared" si="219"/>
        <v>1</v>
      </c>
      <c r="P1284" s="674"/>
      <c r="Q1284" s="24">
        <f t="shared" si="220"/>
        <v>0</v>
      </c>
      <c r="R1284" s="670">
        <f t="shared" si="221"/>
        <v>0</v>
      </c>
      <c r="S1284" s="322">
        <f t="shared" si="222"/>
        <v>0</v>
      </c>
    </row>
    <row r="1285" spans="1:19">
      <c r="A1285" s="155"/>
      <c r="B1285" s="57"/>
      <c r="C1285" s="24">
        <f t="shared" si="213"/>
        <v>1</v>
      </c>
      <c r="D1285" s="674"/>
      <c r="E1285" s="24">
        <f t="shared" si="214"/>
        <v>1</v>
      </c>
      <c r="F1285" s="674"/>
      <c r="G1285" s="24">
        <f t="shared" si="215"/>
        <v>1</v>
      </c>
      <c r="H1285" s="674"/>
      <c r="I1285" s="24">
        <f t="shared" si="216"/>
        <v>1</v>
      </c>
      <c r="J1285" s="674"/>
      <c r="K1285" s="24">
        <f t="shared" si="217"/>
        <v>1</v>
      </c>
      <c r="L1285" s="674"/>
      <c r="M1285" s="24">
        <f t="shared" si="218"/>
        <v>1</v>
      </c>
      <c r="N1285" s="674"/>
      <c r="O1285" s="24">
        <f t="shared" si="219"/>
        <v>1</v>
      </c>
      <c r="P1285" s="674"/>
      <c r="Q1285" s="24">
        <f t="shared" si="220"/>
        <v>0</v>
      </c>
      <c r="R1285" s="670">
        <f t="shared" si="221"/>
        <v>0</v>
      </c>
      <c r="S1285" s="322">
        <f t="shared" si="222"/>
        <v>0</v>
      </c>
    </row>
    <row r="1286" spans="1:19">
      <c r="A1286" s="155"/>
      <c r="B1286" s="57"/>
      <c r="C1286" s="24">
        <f t="shared" si="213"/>
        <v>1</v>
      </c>
      <c r="D1286" s="674"/>
      <c r="E1286" s="24">
        <f t="shared" si="214"/>
        <v>1</v>
      </c>
      <c r="F1286" s="674"/>
      <c r="G1286" s="24">
        <f t="shared" si="215"/>
        <v>1</v>
      </c>
      <c r="H1286" s="674"/>
      <c r="I1286" s="24">
        <f t="shared" si="216"/>
        <v>1</v>
      </c>
      <c r="J1286" s="674"/>
      <c r="K1286" s="24">
        <f t="shared" si="217"/>
        <v>1</v>
      </c>
      <c r="L1286" s="674"/>
      <c r="M1286" s="24">
        <f t="shared" si="218"/>
        <v>1</v>
      </c>
      <c r="N1286" s="674"/>
      <c r="O1286" s="24">
        <f t="shared" si="219"/>
        <v>1</v>
      </c>
      <c r="P1286" s="674"/>
      <c r="Q1286" s="24">
        <f t="shared" si="220"/>
        <v>0</v>
      </c>
      <c r="R1286" s="670">
        <f t="shared" si="221"/>
        <v>0</v>
      </c>
      <c r="S1286" s="322">
        <f t="shared" si="222"/>
        <v>0</v>
      </c>
    </row>
    <row r="1287" spans="1:19">
      <c r="A1287" s="155"/>
      <c r="B1287" s="57"/>
      <c r="C1287" s="24">
        <f t="shared" si="213"/>
        <v>1</v>
      </c>
      <c r="D1287" s="674"/>
      <c r="E1287" s="24">
        <f t="shared" si="214"/>
        <v>1</v>
      </c>
      <c r="F1287" s="674"/>
      <c r="G1287" s="24">
        <f t="shared" si="215"/>
        <v>1</v>
      </c>
      <c r="H1287" s="674"/>
      <c r="I1287" s="24">
        <f t="shared" si="216"/>
        <v>1</v>
      </c>
      <c r="J1287" s="674"/>
      <c r="K1287" s="24">
        <f t="shared" si="217"/>
        <v>1</v>
      </c>
      <c r="L1287" s="674"/>
      <c r="M1287" s="24">
        <f t="shared" si="218"/>
        <v>1</v>
      </c>
      <c r="N1287" s="674"/>
      <c r="O1287" s="24">
        <f t="shared" si="219"/>
        <v>1</v>
      </c>
      <c r="P1287" s="674"/>
      <c r="Q1287" s="24">
        <f t="shared" si="220"/>
        <v>0</v>
      </c>
      <c r="R1287" s="670">
        <f t="shared" si="221"/>
        <v>0</v>
      </c>
      <c r="S1287" s="322">
        <f t="shared" si="222"/>
        <v>0</v>
      </c>
    </row>
    <row r="1288" spans="1:19">
      <c r="A1288" s="155"/>
      <c r="B1288" s="57"/>
      <c r="C1288" s="24">
        <f t="shared" si="213"/>
        <v>1</v>
      </c>
      <c r="D1288" s="674"/>
      <c r="E1288" s="24">
        <f t="shared" si="214"/>
        <v>1</v>
      </c>
      <c r="F1288" s="674"/>
      <c r="G1288" s="24">
        <f t="shared" si="215"/>
        <v>1</v>
      </c>
      <c r="H1288" s="674"/>
      <c r="I1288" s="24">
        <f t="shared" si="216"/>
        <v>1</v>
      </c>
      <c r="J1288" s="674"/>
      <c r="K1288" s="24">
        <f t="shared" si="217"/>
        <v>1</v>
      </c>
      <c r="L1288" s="674"/>
      <c r="M1288" s="24">
        <f t="shared" si="218"/>
        <v>1</v>
      </c>
      <c r="N1288" s="674"/>
      <c r="O1288" s="24">
        <f t="shared" si="219"/>
        <v>1</v>
      </c>
      <c r="P1288" s="674"/>
      <c r="Q1288" s="24">
        <f t="shared" si="220"/>
        <v>0</v>
      </c>
      <c r="R1288" s="670">
        <f t="shared" si="221"/>
        <v>0</v>
      </c>
      <c r="S1288" s="322">
        <f t="shared" si="222"/>
        <v>0</v>
      </c>
    </row>
    <row r="1289" spans="1:19">
      <c r="A1289" s="155"/>
      <c r="B1289" s="57"/>
      <c r="C1289" s="24">
        <f t="shared" si="213"/>
        <v>1</v>
      </c>
      <c r="D1289" s="674"/>
      <c r="E1289" s="24">
        <f t="shared" si="214"/>
        <v>1</v>
      </c>
      <c r="F1289" s="674"/>
      <c r="G1289" s="24">
        <f t="shared" si="215"/>
        <v>1</v>
      </c>
      <c r="H1289" s="674"/>
      <c r="I1289" s="24">
        <f t="shared" si="216"/>
        <v>1</v>
      </c>
      <c r="J1289" s="674"/>
      <c r="K1289" s="24">
        <f t="shared" si="217"/>
        <v>1</v>
      </c>
      <c r="L1289" s="674"/>
      <c r="M1289" s="24">
        <f t="shared" si="218"/>
        <v>1</v>
      </c>
      <c r="N1289" s="674"/>
      <c r="O1289" s="24">
        <f t="shared" si="219"/>
        <v>1</v>
      </c>
      <c r="P1289" s="674"/>
      <c r="Q1289" s="24">
        <f t="shared" si="220"/>
        <v>0</v>
      </c>
      <c r="R1289" s="670">
        <f t="shared" si="221"/>
        <v>0</v>
      </c>
      <c r="S1289" s="322">
        <f t="shared" si="222"/>
        <v>0</v>
      </c>
    </row>
    <row r="1290" spans="1:19">
      <c r="A1290" s="155"/>
      <c r="B1290" s="57"/>
      <c r="C1290" s="24">
        <f t="shared" si="213"/>
        <v>1</v>
      </c>
      <c r="D1290" s="674"/>
      <c r="E1290" s="24">
        <f t="shared" si="214"/>
        <v>1</v>
      </c>
      <c r="F1290" s="674"/>
      <c r="G1290" s="24">
        <f t="shared" si="215"/>
        <v>1</v>
      </c>
      <c r="H1290" s="674"/>
      <c r="I1290" s="24">
        <f t="shared" si="216"/>
        <v>1</v>
      </c>
      <c r="J1290" s="674"/>
      <c r="K1290" s="24">
        <f t="shared" si="217"/>
        <v>1</v>
      </c>
      <c r="L1290" s="674"/>
      <c r="M1290" s="24">
        <f t="shared" si="218"/>
        <v>1</v>
      </c>
      <c r="N1290" s="674"/>
      <c r="O1290" s="24">
        <f t="shared" si="219"/>
        <v>1</v>
      </c>
      <c r="P1290" s="674"/>
      <c r="Q1290" s="24">
        <f t="shared" si="220"/>
        <v>0</v>
      </c>
      <c r="R1290" s="670">
        <f t="shared" si="221"/>
        <v>0</v>
      </c>
      <c r="S1290" s="322">
        <f t="shared" si="222"/>
        <v>0</v>
      </c>
    </row>
    <row r="1291" spans="1:19">
      <c r="A1291" s="155"/>
      <c r="B1291" s="57"/>
      <c r="C1291" s="24">
        <f t="shared" si="213"/>
        <v>1</v>
      </c>
      <c r="D1291" s="674"/>
      <c r="E1291" s="24">
        <f t="shared" si="214"/>
        <v>1</v>
      </c>
      <c r="F1291" s="674"/>
      <c r="G1291" s="24">
        <f t="shared" si="215"/>
        <v>1</v>
      </c>
      <c r="H1291" s="674"/>
      <c r="I1291" s="24">
        <f t="shared" si="216"/>
        <v>1</v>
      </c>
      <c r="J1291" s="674"/>
      <c r="K1291" s="24">
        <f t="shared" si="217"/>
        <v>1</v>
      </c>
      <c r="L1291" s="674"/>
      <c r="M1291" s="24">
        <f t="shared" si="218"/>
        <v>1</v>
      </c>
      <c r="N1291" s="674"/>
      <c r="O1291" s="24">
        <f t="shared" si="219"/>
        <v>1</v>
      </c>
      <c r="P1291" s="674"/>
      <c r="Q1291" s="24">
        <f t="shared" si="220"/>
        <v>0</v>
      </c>
      <c r="R1291" s="670">
        <f t="shared" si="221"/>
        <v>0</v>
      </c>
      <c r="S1291" s="322">
        <f t="shared" si="222"/>
        <v>0</v>
      </c>
    </row>
    <row r="1292" spans="1:19">
      <c r="A1292" s="155"/>
      <c r="B1292" s="57"/>
      <c r="C1292" s="24">
        <f t="shared" si="213"/>
        <v>1</v>
      </c>
      <c r="D1292" s="674"/>
      <c r="E1292" s="24">
        <f t="shared" si="214"/>
        <v>1</v>
      </c>
      <c r="F1292" s="674"/>
      <c r="G1292" s="24">
        <f t="shared" si="215"/>
        <v>1</v>
      </c>
      <c r="H1292" s="674"/>
      <c r="I1292" s="24">
        <f t="shared" si="216"/>
        <v>1</v>
      </c>
      <c r="J1292" s="674"/>
      <c r="K1292" s="24">
        <f t="shared" si="217"/>
        <v>1</v>
      </c>
      <c r="L1292" s="674"/>
      <c r="M1292" s="24">
        <f t="shared" si="218"/>
        <v>1</v>
      </c>
      <c r="N1292" s="674"/>
      <c r="O1292" s="24">
        <f t="shared" si="219"/>
        <v>1</v>
      </c>
      <c r="P1292" s="674"/>
      <c r="Q1292" s="24">
        <f t="shared" si="220"/>
        <v>0</v>
      </c>
      <c r="R1292" s="670">
        <f t="shared" si="221"/>
        <v>0</v>
      </c>
      <c r="S1292" s="322">
        <f t="shared" si="222"/>
        <v>0</v>
      </c>
    </row>
    <row r="1293" spans="1:19">
      <c r="A1293" s="155"/>
      <c r="B1293" s="57"/>
      <c r="C1293" s="24">
        <f t="shared" si="213"/>
        <v>1</v>
      </c>
      <c r="D1293" s="674"/>
      <c r="E1293" s="24">
        <f t="shared" si="214"/>
        <v>1</v>
      </c>
      <c r="F1293" s="674"/>
      <c r="G1293" s="24">
        <f t="shared" si="215"/>
        <v>1</v>
      </c>
      <c r="H1293" s="674"/>
      <c r="I1293" s="24">
        <f t="shared" si="216"/>
        <v>1</v>
      </c>
      <c r="J1293" s="674"/>
      <c r="K1293" s="24">
        <f t="shared" si="217"/>
        <v>1</v>
      </c>
      <c r="L1293" s="674"/>
      <c r="M1293" s="24">
        <f t="shared" si="218"/>
        <v>1</v>
      </c>
      <c r="N1293" s="674"/>
      <c r="O1293" s="24">
        <f t="shared" si="219"/>
        <v>1</v>
      </c>
      <c r="P1293" s="674"/>
      <c r="Q1293" s="24">
        <f t="shared" si="220"/>
        <v>0</v>
      </c>
      <c r="R1293" s="670">
        <f t="shared" si="221"/>
        <v>0</v>
      </c>
      <c r="S1293" s="322">
        <f t="shared" si="222"/>
        <v>0</v>
      </c>
    </row>
    <row r="1294" spans="1:19">
      <c r="A1294" s="155"/>
      <c r="B1294" s="57"/>
      <c r="C1294" s="24">
        <f t="shared" ref="C1294:C1357" si="223">IF(B1294="",1,(LOOKUP(B1294,$3:$3,$4:$4)-LOOKUP($B$24,$3:$3,$4:$4)+100)/100)</f>
        <v>1</v>
      </c>
      <c r="D1294" s="674"/>
      <c r="E1294" s="24">
        <f t="shared" ref="E1294:E1357" si="224">(SUMIF($5:$5,D1294,$6:$6)-SUMIF($5:$5,$D$24,$6:$6)+100)/100</f>
        <v>1</v>
      </c>
      <c r="F1294" s="674"/>
      <c r="G1294" s="24">
        <f t="shared" ref="G1294:G1357" si="225">(SUMIF($7:$7,F1294,$8:$8)-SUMIF($7:$7,$F$24,$8:$8)+100)/100</f>
        <v>1</v>
      </c>
      <c r="H1294" s="674"/>
      <c r="I1294" s="24">
        <f t="shared" ref="I1294:I1357" si="226">(SUMIF($9:$9,H1294,$10:$10)-SUMIF($9:$9,$H$24,$10:$10)+100)/100</f>
        <v>1</v>
      </c>
      <c r="J1294" s="674"/>
      <c r="K1294" s="24">
        <f t="shared" ref="K1294:K1357" si="227">(SUMIF($11:$11,J1294,$12:$12)-SUMIF($11:$11,$J$24,$12:$12)+100)/100</f>
        <v>1</v>
      </c>
      <c r="L1294" s="674"/>
      <c r="M1294" s="24">
        <f t="shared" ref="M1294:M1357" si="228">(SUMIF($13:$13,L1294,$14:$14)-SUMIF($13:$13,$L$24,$14:$14)+100)/100</f>
        <v>1</v>
      </c>
      <c r="N1294" s="674"/>
      <c r="O1294" s="24">
        <f t="shared" ref="O1294:O1357" si="229">(SUMIF($15:$15,N1294,$16:$16)-SUMIF($15:$15,$N$24,$16:$16)+100)/100</f>
        <v>1</v>
      </c>
      <c r="P1294" s="674"/>
      <c r="Q1294" s="24">
        <f t="shared" ref="Q1294:Q1357" si="230">(SUMIF($17:$17,P1294,$18:$18)-SUMIF($17:$17,$P$24,$18:$18)+100)/100</f>
        <v>0</v>
      </c>
      <c r="R1294" s="670">
        <f t="shared" ref="R1294:R1357" si="231">IF(B1294="",0,ROUND($R$24*C1294*E1294*G1294*I1294*K1294*M1294*O1294*Q1294,0))</f>
        <v>0</v>
      </c>
      <c r="S1294" s="322">
        <f t="shared" ref="S1294:S1357" si="232">ROUND(R1294*B1294/10000,0)</f>
        <v>0</v>
      </c>
    </row>
    <row r="1295" spans="1:19">
      <c r="A1295" s="155"/>
      <c r="B1295" s="57"/>
      <c r="C1295" s="24">
        <f t="shared" si="223"/>
        <v>1</v>
      </c>
      <c r="D1295" s="674"/>
      <c r="E1295" s="24">
        <f t="shared" si="224"/>
        <v>1</v>
      </c>
      <c r="F1295" s="674"/>
      <c r="G1295" s="24">
        <f t="shared" si="225"/>
        <v>1</v>
      </c>
      <c r="H1295" s="674"/>
      <c r="I1295" s="24">
        <f t="shared" si="226"/>
        <v>1</v>
      </c>
      <c r="J1295" s="674"/>
      <c r="K1295" s="24">
        <f t="shared" si="227"/>
        <v>1</v>
      </c>
      <c r="L1295" s="674"/>
      <c r="M1295" s="24">
        <f t="shared" si="228"/>
        <v>1</v>
      </c>
      <c r="N1295" s="674"/>
      <c r="O1295" s="24">
        <f t="shared" si="229"/>
        <v>1</v>
      </c>
      <c r="P1295" s="674"/>
      <c r="Q1295" s="24">
        <f t="shared" si="230"/>
        <v>0</v>
      </c>
      <c r="R1295" s="670">
        <f t="shared" si="231"/>
        <v>0</v>
      </c>
      <c r="S1295" s="322">
        <f t="shared" si="232"/>
        <v>0</v>
      </c>
    </row>
    <row r="1296" spans="1:19">
      <c r="A1296" s="155"/>
      <c r="B1296" s="57"/>
      <c r="C1296" s="24">
        <f t="shared" si="223"/>
        <v>1</v>
      </c>
      <c r="D1296" s="674"/>
      <c r="E1296" s="24">
        <f t="shared" si="224"/>
        <v>1</v>
      </c>
      <c r="F1296" s="674"/>
      <c r="G1296" s="24">
        <f t="shared" si="225"/>
        <v>1</v>
      </c>
      <c r="H1296" s="674"/>
      <c r="I1296" s="24">
        <f t="shared" si="226"/>
        <v>1</v>
      </c>
      <c r="J1296" s="674"/>
      <c r="K1296" s="24">
        <f t="shared" si="227"/>
        <v>1</v>
      </c>
      <c r="L1296" s="674"/>
      <c r="M1296" s="24">
        <f t="shared" si="228"/>
        <v>1</v>
      </c>
      <c r="N1296" s="674"/>
      <c r="O1296" s="24">
        <f t="shared" si="229"/>
        <v>1</v>
      </c>
      <c r="P1296" s="674"/>
      <c r="Q1296" s="24">
        <f t="shared" si="230"/>
        <v>0</v>
      </c>
      <c r="R1296" s="670">
        <f t="shared" si="231"/>
        <v>0</v>
      </c>
      <c r="S1296" s="322">
        <f t="shared" si="232"/>
        <v>0</v>
      </c>
    </row>
    <row r="1297" spans="1:19">
      <c r="A1297" s="155"/>
      <c r="B1297" s="57"/>
      <c r="C1297" s="24">
        <f t="shared" si="223"/>
        <v>1</v>
      </c>
      <c r="D1297" s="674"/>
      <c r="E1297" s="24">
        <f t="shared" si="224"/>
        <v>1</v>
      </c>
      <c r="F1297" s="674"/>
      <c r="G1297" s="24">
        <f t="shared" si="225"/>
        <v>1</v>
      </c>
      <c r="H1297" s="674"/>
      <c r="I1297" s="24">
        <f t="shared" si="226"/>
        <v>1</v>
      </c>
      <c r="J1297" s="674"/>
      <c r="K1297" s="24">
        <f t="shared" si="227"/>
        <v>1</v>
      </c>
      <c r="L1297" s="674"/>
      <c r="M1297" s="24">
        <f t="shared" si="228"/>
        <v>1</v>
      </c>
      <c r="N1297" s="674"/>
      <c r="O1297" s="24">
        <f t="shared" si="229"/>
        <v>1</v>
      </c>
      <c r="P1297" s="674"/>
      <c r="Q1297" s="24">
        <f t="shared" si="230"/>
        <v>0</v>
      </c>
      <c r="R1297" s="670">
        <f t="shared" si="231"/>
        <v>0</v>
      </c>
      <c r="S1297" s="322">
        <f t="shared" si="232"/>
        <v>0</v>
      </c>
    </row>
    <row r="1298" spans="1:19">
      <c r="A1298" s="155"/>
      <c r="B1298" s="57"/>
      <c r="C1298" s="24">
        <f t="shared" si="223"/>
        <v>1</v>
      </c>
      <c r="D1298" s="674"/>
      <c r="E1298" s="24">
        <f t="shared" si="224"/>
        <v>1</v>
      </c>
      <c r="F1298" s="674"/>
      <c r="G1298" s="24">
        <f t="shared" si="225"/>
        <v>1</v>
      </c>
      <c r="H1298" s="674"/>
      <c r="I1298" s="24">
        <f t="shared" si="226"/>
        <v>1</v>
      </c>
      <c r="J1298" s="674"/>
      <c r="K1298" s="24">
        <f t="shared" si="227"/>
        <v>1</v>
      </c>
      <c r="L1298" s="674"/>
      <c r="M1298" s="24">
        <f t="shared" si="228"/>
        <v>1</v>
      </c>
      <c r="N1298" s="674"/>
      <c r="O1298" s="24">
        <f t="shared" si="229"/>
        <v>1</v>
      </c>
      <c r="P1298" s="674"/>
      <c r="Q1298" s="24">
        <f t="shared" si="230"/>
        <v>0</v>
      </c>
      <c r="R1298" s="670">
        <f t="shared" si="231"/>
        <v>0</v>
      </c>
      <c r="S1298" s="322">
        <f t="shared" si="232"/>
        <v>0</v>
      </c>
    </row>
    <row r="1299" spans="1:19">
      <c r="A1299" s="155"/>
      <c r="B1299" s="57"/>
      <c r="C1299" s="24">
        <f t="shared" si="223"/>
        <v>1</v>
      </c>
      <c r="D1299" s="674"/>
      <c r="E1299" s="24">
        <f t="shared" si="224"/>
        <v>1</v>
      </c>
      <c r="F1299" s="674"/>
      <c r="G1299" s="24">
        <f t="shared" si="225"/>
        <v>1</v>
      </c>
      <c r="H1299" s="674"/>
      <c r="I1299" s="24">
        <f t="shared" si="226"/>
        <v>1</v>
      </c>
      <c r="J1299" s="674"/>
      <c r="K1299" s="24">
        <f t="shared" si="227"/>
        <v>1</v>
      </c>
      <c r="L1299" s="674"/>
      <c r="M1299" s="24">
        <f t="shared" si="228"/>
        <v>1</v>
      </c>
      <c r="N1299" s="674"/>
      <c r="O1299" s="24">
        <f t="shared" si="229"/>
        <v>1</v>
      </c>
      <c r="P1299" s="674"/>
      <c r="Q1299" s="24">
        <f t="shared" si="230"/>
        <v>0</v>
      </c>
      <c r="R1299" s="670">
        <f t="shared" si="231"/>
        <v>0</v>
      </c>
      <c r="S1299" s="322">
        <f t="shared" si="232"/>
        <v>0</v>
      </c>
    </row>
    <row r="1300" spans="1:19">
      <c r="A1300" s="155"/>
      <c r="B1300" s="57"/>
      <c r="C1300" s="24">
        <f t="shared" si="223"/>
        <v>1</v>
      </c>
      <c r="D1300" s="674"/>
      <c r="E1300" s="24">
        <f t="shared" si="224"/>
        <v>1</v>
      </c>
      <c r="F1300" s="674"/>
      <c r="G1300" s="24">
        <f t="shared" si="225"/>
        <v>1</v>
      </c>
      <c r="H1300" s="674"/>
      <c r="I1300" s="24">
        <f t="shared" si="226"/>
        <v>1</v>
      </c>
      <c r="J1300" s="674"/>
      <c r="K1300" s="24">
        <f t="shared" si="227"/>
        <v>1</v>
      </c>
      <c r="L1300" s="674"/>
      <c r="M1300" s="24">
        <f t="shared" si="228"/>
        <v>1</v>
      </c>
      <c r="N1300" s="674"/>
      <c r="O1300" s="24">
        <f t="shared" si="229"/>
        <v>1</v>
      </c>
      <c r="P1300" s="674"/>
      <c r="Q1300" s="24">
        <f t="shared" si="230"/>
        <v>0</v>
      </c>
      <c r="R1300" s="670">
        <f t="shared" si="231"/>
        <v>0</v>
      </c>
      <c r="S1300" s="322">
        <f t="shared" si="232"/>
        <v>0</v>
      </c>
    </row>
    <row r="1301" spans="1:19">
      <c r="A1301" s="155"/>
      <c r="B1301" s="57"/>
      <c r="C1301" s="24">
        <f t="shared" si="223"/>
        <v>1</v>
      </c>
      <c r="D1301" s="674"/>
      <c r="E1301" s="24">
        <f t="shared" si="224"/>
        <v>1</v>
      </c>
      <c r="F1301" s="674"/>
      <c r="G1301" s="24">
        <f t="shared" si="225"/>
        <v>1</v>
      </c>
      <c r="H1301" s="674"/>
      <c r="I1301" s="24">
        <f t="shared" si="226"/>
        <v>1</v>
      </c>
      <c r="J1301" s="674"/>
      <c r="K1301" s="24">
        <f t="shared" si="227"/>
        <v>1</v>
      </c>
      <c r="L1301" s="674"/>
      <c r="M1301" s="24">
        <f t="shared" si="228"/>
        <v>1</v>
      </c>
      <c r="N1301" s="674"/>
      <c r="O1301" s="24">
        <f t="shared" si="229"/>
        <v>1</v>
      </c>
      <c r="P1301" s="674"/>
      <c r="Q1301" s="24">
        <f t="shared" si="230"/>
        <v>0</v>
      </c>
      <c r="R1301" s="670">
        <f t="shared" si="231"/>
        <v>0</v>
      </c>
      <c r="S1301" s="322">
        <f t="shared" si="232"/>
        <v>0</v>
      </c>
    </row>
    <row r="1302" spans="1:19">
      <c r="A1302" s="155"/>
      <c r="B1302" s="57"/>
      <c r="C1302" s="24">
        <f t="shared" si="223"/>
        <v>1</v>
      </c>
      <c r="D1302" s="674"/>
      <c r="E1302" s="24">
        <f t="shared" si="224"/>
        <v>1</v>
      </c>
      <c r="F1302" s="674"/>
      <c r="G1302" s="24">
        <f t="shared" si="225"/>
        <v>1</v>
      </c>
      <c r="H1302" s="674"/>
      <c r="I1302" s="24">
        <f t="shared" si="226"/>
        <v>1</v>
      </c>
      <c r="J1302" s="674"/>
      <c r="K1302" s="24">
        <f t="shared" si="227"/>
        <v>1</v>
      </c>
      <c r="L1302" s="674"/>
      <c r="M1302" s="24">
        <f t="shared" si="228"/>
        <v>1</v>
      </c>
      <c r="N1302" s="674"/>
      <c r="O1302" s="24">
        <f t="shared" si="229"/>
        <v>1</v>
      </c>
      <c r="P1302" s="674"/>
      <c r="Q1302" s="24">
        <f t="shared" si="230"/>
        <v>0</v>
      </c>
      <c r="R1302" s="670">
        <f t="shared" si="231"/>
        <v>0</v>
      </c>
      <c r="S1302" s="322">
        <f t="shared" si="232"/>
        <v>0</v>
      </c>
    </row>
    <row r="1303" spans="1:19">
      <c r="A1303" s="155"/>
      <c r="B1303" s="57"/>
      <c r="C1303" s="24">
        <f t="shared" si="223"/>
        <v>1</v>
      </c>
      <c r="D1303" s="674"/>
      <c r="E1303" s="24">
        <f t="shared" si="224"/>
        <v>1</v>
      </c>
      <c r="F1303" s="674"/>
      <c r="G1303" s="24">
        <f t="shared" si="225"/>
        <v>1</v>
      </c>
      <c r="H1303" s="674"/>
      <c r="I1303" s="24">
        <f t="shared" si="226"/>
        <v>1</v>
      </c>
      <c r="J1303" s="674"/>
      <c r="K1303" s="24">
        <f t="shared" si="227"/>
        <v>1</v>
      </c>
      <c r="L1303" s="674"/>
      <c r="M1303" s="24">
        <f t="shared" si="228"/>
        <v>1</v>
      </c>
      <c r="N1303" s="674"/>
      <c r="O1303" s="24">
        <f t="shared" si="229"/>
        <v>1</v>
      </c>
      <c r="P1303" s="674"/>
      <c r="Q1303" s="24">
        <f t="shared" si="230"/>
        <v>0</v>
      </c>
      <c r="R1303" s="670">
        <f t="shared" si="231"/>
        <v>0</v>
      </c>
      <c r="S1303" s="322">
        <f t="shared" si="232"/>
        <v>0</v>
      </c>
    </row>
    <row r="1304" spans="1:19">
      <c r="A1304" s="155"/>
      <c r="B1304" s="57"/>
      <c r="C1304" s="24">
        <f t="shared" si="223"/>
        <v>1</v>
      </c>
      <c r="D1304" s="674"/>
      <c r="E1304" s="24">
        <f t="shared" si="224"/>
        <v>1</v>
      </c>
      <c r="F1304" s="674"/>
      <c r="G1304" s="24">
        <f t="shared" si="225"/>
        <v>1</v>
      </c>
      <c r="H1304" s="674"/>
      <c r="I1304" s="24">
        <f t="shared" si="226"/>
        <v>1</v>
      </c>
      <c r="J1304" s="674"/>
      <c r="K1304" s="24">
        <f t="shared" si="227"/>
        <v>1</v>
      </c>
      <c r="L1304" s="674"/>
      <c r="M1304" s="24">
        <f t="shared" si="228"/>
        <v>1</v>
      </c>
      <c r="N1304" s="674"/>
      <c r="O1304" s="24">
        <f t="shared" si="229"/>
        <v>1</v>
      </c>
      <c r="P1304" s="674"/>
      <c r="Q1304" s="24">
        <f t="shared" si="230"/>
        <v>0</v>
      </c>
      <c r="R1304" s="670">
        <f t="shared" si="231"/>
        <v>0</v>
      </c>
      <c r="S1304" s="322">
        <f t="shared" si="232"/>
        <v>0</v>
      </c>
    </row>
    <row r="1305" spans="1:19">
      <c r="A1305" s="155"/>
      <c r="B1305" s="57"/>
      <c r="C1305" s="24">
        <f t="shared" si="223"/>
        <v>1</v>
      </c>
      <c r="D1305" s="674"/>
      <c r="E1305" s="24">
        <f t="shared" si="224"/>
        <v>1</v>
      </c>
      <c r="F1305" s="674"/>
      <c r="G1305" s="24">
        <f t="shared" si="225"/>
        <v>1</v>
      </c>
      <c r="H1305" s="674"/>
      <c r="I1305" s="24">
        <f t="shared" si="226"/>
        <v>1</v>
      </c>
      <c r="J1305" s="674"/>
      <c r="K1305" s="24">
        <f t="shared" si="227"/>
        <v>1</v>
      </c>
      <c r="L1305" s="674"/>
      <c r="M1305" s="24">
        <f t="shared" si="228"/>
        <v>1</v>
      </c>
      <c r="N1305" s="674"/>
      <c r="O1305" s="24">
        <f t="shared" si="229"/>
        <v>1</v>
      </c>
      <c r="P1305" s="674"/>
      <c r="Q1305" s="24">
        <f t="shared" si="230"/>
        <v>0</v>
      </c>
      <c r="R1305" s="670">
        <f t="shared" si="231"/>
        <v>0</v>
      </c>
      <c r="S1305" s="322">
        <f t="shared" si="232"/>
        <v>0</v>
      </c>
    </row>
    <row r="1306" spans="1:19">
      <c r="A1306" s="155"/>
      <c r="B1306" s="57"/>
      <c r="C1306" s="24">
        <f t="shared" si="223"/>
        <v>1</v>
      </c>
      <c r="D1306" s="674"/>
      <c r="E1306" s="24">
        <f t="shared" si="224"/>
        <v>1</v>
      </c>
      <c r="F1306" s="674"/>
      <c r="G1306" s="24">
        <f t="shared" si="225"/>
        <v>1</v>
      </c>
      <c r="H1306" s="674"/>
      <c r="I1306" s="24">
        <f t="shared" si="226"/>
        <v>1</v>
      </c>
      <c r="J1306" s="674"/>
      <c r="K1306" s="24">
        <f t="shared" si="227"/>
        <v>1</v>
      </c>
      <c r="L1306" s="674"/>
      <c r="M1306" s="24">
        <f t="shared" si="228"/>
        <v>1</v>
      </c>
      <c r="N1306" s="674"/>
      <c r="O1306" s="24">
        <f t="shared" si="229"/>
        <v>1</v>
      </c>
      <c r="P1306" s="674"/>
      <c r="Q1306" s="24">
        <f t="shared" si="230"/>
        <v>0</v>
      </c>
      <c r="R1306" s="670">
        <f t="shared" si="231"/>
        <v>0</v>
      </c>
      <c r="S1306" s="322">
        <f t="shared" si="232"/>
        <v>0</v>
      </c>
    </row>
    <row r="1307" spans="1:19">
      <c r="A1307" s="155"/>
      <c r="B1307" s="57"/>
      <c r="C1307" s="24">
        <f t="shared" si="223"/>
        <v>1</v>
      </c>
      <c r="D1307" s="674"/>
      <c r="E1307" s="24">
        <f t="shared" si="224"/>
        <v>1</v>
      </c>
      <c r="F1307" s="674"/>
      <c r="G1307" s="24">
        <f t="shared" si="225"/>
        <v>1</v>
      </c>
      <c r="H1307" s="674"/>
      <c r="I1307" s="24">
        <f t="shared" si="226"/>
        <v>1</v>
      </c>
      <c r="J1307" s="674"/>
      <c r="K1307" s="24">
        <f t="shared" si="227"/>
        <v>1</v>
      </c>
      <c r="L1307" s="674"/>
      <c r="M1307" s="24">
        <f t="shared" si="228"/>
        <v>1</v>
      </c>
      <c r="N1307" s="674"/>
      <c r="O1307" s="24">
        <f t="shared" si="229"/>
        <v>1</v>
      </c>
      <c r="P1307" s="674"/>
      <c r="Q1307" s="24">
        <f t="shared" si="230"/>
        <v>0</v>
      </c>
      <c r="R1307" s="670">
        <f t="shared" si="231"/>
        <v>0</v>
      </c>
      <c r="S1307" s="322">
        <f t="shared" si="232"/>
        <v>0</v>
      </c>
    </row>
    <row r="1308" spans="1:19">
      <c r="A1308" s="155"/>
      <c r="B1308" s="57"/>
      <c r="C1308" s="24">
        <f t="shared" si="223"/>
        <v>1</v>
      </c>
      <c r="D1308" s="674"/>
      <c r="E1308" s="24">
        <f t="shared" si="224"/>
        <v>1</v>
      </c>
      <c r="F1308" s="674"/>
      <c r="G1308" s="24">
        <f t="shared" si="225"/>
        <v>1</v>
      </c>
      <c r="H1308" s="674"/>
      <c r="I1308" s="24">
        <f t="shared" si="226"/>
        <v>1</v>
      </c>
      <c r="J1308" s="674"/>
      <c r="K1308" s="24">
        <f t="shared" si="227"/>
        <v>1</v>
      </c>
      <c r="L1308" s="674"/>
      <c r="M1308" s="24">
        <f t="shared" si="228"/>
        <v>1</v>
      </c>
      <c r="N1308" s="674"/>
      <c r="O1308" s="24">
        <f t="shared" si="229"/>
        <v>1</v>
      </c>
      <c r="P1308" s="674"/>
      <c r="Q1308" s="24">
        <f t="shared" si="230"/>
        <v>0</v>
      </c>
      <c r="R1308" s="670">
        <f t="shared" si="231"/>
        <v>0</v>
      </c>
      <c r="S1308" s="322">
        <f t="shared" si="232"/>
        <v>0</v>
      </c>
    </row>
    <row r="1309" spans="1:19">
      <c r="A1309" s="155"/>
      <c r="B1309" s="57"/>
      <c r="C1309" s="24">
        <f t="shared" si="223"/>
        <v>1</v>
      </c>
      <c r="D1309" s="674"/>
      <c r="E1309" s="24">
        <f t="shared" si="224"/>
        <v>1</v>
      </c>
      <c r="F1309" s="674"/>
      <c r="G1309" s="24">
        <f t="shared" si="225"/>
        <v>1</v>
      </c>
      <c r="H1309" s="674"/>
      <c r="I1309" s="24">
        <f t="shared" si="226"/>
        <v>1</v>
      </c>
      <c r="J1309" s="674"/>
      <c r="K1309" s="24">
        <f t="shared" si="227"/>
        <v>1</v>
      </c>
      <c r="L1309" s="674"/>
      <c r="M1309" s="24">
        <f t="shared" si="228"/>
        <v>1</v>
      </c>
      <c r="N1309" s="674"/>
      <c r="O1309" s="24">
        <f t="shared" si="229"/>
        <v>1</v>
      </c>
      <c r="P1309" s="674"/>
      <c r="Q1309" s="24">
        <f t="shared" si="230"/>
        <v>0</v>
      </c>
      <c r="R1309" s="670">
        <f t="shared" si="231"/>
        <v>0</v>
      </c>
      <c r="S1309" s="322">
        <f t="shared" si="232"/>
        <v>0</v>
      </c>
    </row>
    <row r="1310" spans="1:19">
      <c r="A1310" s="155"/>
      <c r="B1310" s="57"/>
      <c r="C1310" s="24">
        <f t="shared" si="223"/>
        <v>1</v>
      </c>
      <c r="D1310" s="674"/>
      <c r="E1310" s="24">
        <f t="shared" si="224"/>
        <v>1</v>
      </c>
      <c r="F1310" s="674"/>
      <c r="G1310" s="24">
        <f t="shared" si="225"/>
        <v>1</v>
      </c>
      <c r="H1310" s="674"/>
      <c r="I1310" s="24">
        <f t="shared" si="226"/>
        <v>1</v>
      </c>
      <c r="J1310" s="674"/>
      <c r="K1310" s="24">
        <f t="shared" si="227"/>
        <v>1</v>
      </c>
      <c r="L1310" s="674"/>
      <c r="M1310" s="24">
        <f t="shared" si="228"/>
        <v>1</v>
      </c>
      <c r="N1310" s="674"/>
      <c r="O1310" s="24">
        <f t="shared" si="229"/>
        <v>1</v>
      </c>
      <c r="P1310" s="674"/>
      <c r="Q1310" s="24">
        <f t="shared" si="230"/>
        <v>0</v>
      </c>
      <c r="R1310" s="670">
        <f t="shared" si="231"/>
        <v>0</v>
      </c>
      <c r="S1310" s="322">
        <f t="shared" si="232"/>
        <v>0</v>
      </c>
    </row>
    <row r="1311" spans="1:19">
      <c r="A1311" s="155"/>
      <c r="B1311" s="57"/>
      <c r="C1311" s="24">
        <f t="shared" si="223"/>
        <v>1</v>
      </c>
      <c r="D1311" s="674"/>
      <c r="E1311" s="24">
        <f t="shared" si="224"/>
        <v>1</v>
      </c>
      <c r="F1311" s="674"/>
      <c r="G1311" s="24">
        <f t="shared" si="225"/>
        <v>1</v>
      </c>
      <c r="H1311" s="674"/>
      <c r="I1311" s="24">
        <f t="shared" si="226"/>
        <v>1</v>
      </c>
      <c r="J1311" s="674"/>
      <c r="K1311" s="24">
        <f t="shared" si="227"/>
        <v>1</v>
      </c>
      <c r="L1311" s="674"/>
      <c r="M1311" s="24">
        <f t="shared" si="228"/>
        <v>1</v>
      </c>
      <c r="N1311" s="674"/>
      <c r="O1311" s="24">
        <f t="shared" si="229"/>
        <v>1</v>
      </c>
      <c r="P1311" s="674"/>
      <c r="Q1311" s="24">
        <f t="shared" si="230"/>
        <v>0</v>
      </c>
      <c r="R1311" s="670">
        <f t="shared" si="231"/>
        <v>0</v>
      </c>
      <c r="S1311" s="322">
        <f t="shared" si="232"/>
        <v>0</v>
      </c>
    </row>
    <row r="1312" spans="1:19">
      <c r="A1312" s="155"/>
      <c r="B1312" s="57"/>
      <c r="C1312" s="24">
        <f t="shared" si="223"/>
        <v>1</v>
      </c>
      <c r="D1312" s="674"/>
      <c r="E1312" s="24">
        <f t="shared" si="224"/>
        <v>1</v>
      </c>
      <c r="F1312" s="674"/>
      <c r="G1312" s="24">
        <f t="shared" si="225"/>
        <v>1</v>
      </c>
      <c r="H1312" s="674"/>
      <c r="I1312" s="24">
        <f t="shared" si="226"/>
        <v>1</v>
      </c>
      <c r="J1312" s="674"/>
      <c r="K1312" s="24">
        <f t="shared" si="227"/>
        <v>1</v>
      </c>
      <c r="L1312" s="674"/>
      <c r="M1312" s="24">
        <f t="shared" si="228"/>
        <v>1</v>
      </c>
      <c r="N1312" s="674"/>
      <c r="O1312" s="24">
        <f t="shared" si="229"/>
        <v>1</v>
      </c>
      <c r="P1312" s="674"/>
      <c r="Q1312" s="24">
        <f t="shared" si="230"/>
        <v>0</v>
      </c>
      <c r="R1312" s="670">
        <f t="shared" si="231"/>
        <v>0</v>
      </c>
      <c r="S1312" s="322">
        <f t="shared" si="232"/>
        <v>0</v>
      </c>
    </row>
    <row r="1313" spans="1:19">
      <c r="A1313" s="155"/>
      <c r="B1313" s="57"/>
      <c r="C1313" s="24">
        <f t="shared" si="223"/>
        <v>1</v>
      </c>
      <c r="D1313" s="674"/>
      <c r="E1313" s="24">
        <f t="shared" si="224"/>
        <v>1</v>
      </c>
      <c r="F1313" s="674"/>
      <c r="G1313" s="24">
        <f t="shared" si="225"/>
        <v>1</v>
      </c>
      <c r="H1313" s="674"/>
      <c r="I1313" s="24">
        <f t="shared" si="226"/>
        <v>1</v>
      </c>
      <c r="J1313" s="674"/>
      <c r="K1313" s="24">
        <f t="shared" si="227"/>
        <v>1</v>
      </c>
      <c r="L1313" s="674"/>
      <c r="M1313" s="24">
        <f t="shared" si="228"/>
        <v>1</v>
      </c>
      <c r="N1313" s="674"/>
      <c r="O1313" s="24">
        <f t="shared" si="229"/>
        <v>1</v>
      </c>
      <c r="P1313" s="674"/>
      <c r="Q1313" s="24">
        <f t="shared" si="230"/>
        <v>0</v>
      </c>
      <c r="R1313" s="670">
        <f t="shared" si="231"/>
        <v>0</v>
      </c>
      <c r="S1313" s="322">
        <f t="shared" si="232"/>
        <v>0</v>
      </c>
    </row>
    <row r="1314" spans="1:19">
      <c r="A1314" s="155"/>
      <c r="B1314" s="57"/>
      <c r="C1314" s="24">
        <f t="shared" si="223"/>
        <v>1</v>
      </c>
      <c r="D1314" s="674"/>
      <c r="E1314" s="24">
        <f t="shared" si="224"/>
        <v>1</v>
      </c>
      <c r="F1314" s="674"/>
      <c r="G1314" s="24">
        <f t="shared" si="225"/>
        <v>1</v>
      </c>
      <c r="H1314" s="674"/>
      <c r="I1314" s="24">
        <f t="shared" si="226"/>
        <v>1</v>
      </c>
      <c r="J1314" s="674"/>
      <c r="K1314" s="24">
        <f t="shared" si="227"/>
        <v>1</v>
      </c>
      <c r="L1314" s="674"/>
      <c r="M1314" s="24">
        <f t="shared" si="228"/>
        <v>1</v>
      </c>
      <c r="N1314" s="674"/>
      <c r="O1314" s="24">
        <f t="shared" si="229"/>
        <v>1</v>
      </c>
      <c r="P1314" s="674"/>
      <c r="Q1314" s="24">
        <f t="shared" si="230"/>
        <v>0</v>
      </c>
      <c r="R1314" s="670">
        <f t="shared" si="231"/>
        <v>0</v>
      </c>
      <c r="S1314" s="322">
        <f t="shared" si="232"/>
        <v>0</v>
      </c>
    </row>
    <row r="1315" spans="1:19">
      <c r="A1315" s="155"/>
      <c r="B1315" s="57"/>
      <c r="C1315" s="24">
        <f t="shared" si="223"/>
        <v>1</v>
      </c>
      <c r="D1315" s="674"/>
      <c r="E1315" s="24">
        <f t="shared" si="224"/>
        <v>1</v>
      </c>
      <c r="F1315" s="674"/>
      <c r="G1315" s="24">
        <f t="shared" si="225"/>
        <v>1</v>
      </c>
      <c r="H1315" s="674"/>
      <c r="I1315" s="24">
        <f t="shared" si="226"/>
        <v>1</v>
      </c>
      <c r="J1315" s="674"/>
      <c r="K1315" s="24">
        <f t="shared" si="227"/>
        <v>1</v>
      </c>
      <c r="L1315" s="674"/>
      <c r="M1315" s="24">
        <f t="shared" si="228"/>
        <v>1</v>
      </c>
      <c r="N1315" s="674"/>
      <c r="O1315" s="24">
        <f t="shared" si="229"/>
        <v>1</v>
      </c>
      <c r="P1315" s="674"/>
      <c r="Q1315" s="24">
        <f t="shared" si="230"/>
        <v>0</v>
      </c>
      <c r="R1315" s="670">
        <f t="shared" si="231"/>
        <v>0</v>
      </c>
      <c r="S1315" s="322">
        <f t="shared" si="232"/>
        <v>0</v>
      </c>
    </row>
    <row r="1316" spans="1:19">
      <c r="A1316" s="155"/>
      <c r="B1316" s="57"/>
      <c r="C1316" s="24">
        <f t="shared" si="223"/>
        <v>1</v>
      </c>
      <c r="D1316" s="674"/>
      <c r="E1316" s="24">
        <f t="shared" si="224"/>
        <v>1</v>
      </c>
      <c r="F1316" s="674"/>
      <c r="G1316" s="24">
        <f t="shared" si="225"/>
        <v>1</v>
      </c>
      <c r="H1316" s="674"/>
      <c r="I1316" s="24">
        <f t="shared" si="226"/>
        <v>1</v>
      </c>
      <c r="J1316" s="674"/>
      <c r="K1316" s="24">
        <f t="shared" si="227"/>
        <v>1</v>
      </c>
      <c r="L1316" s="674"/>
      <c r="M1316" s="24">
        <f t="shared" si="228"/>
        <v>1</v>
      </c>
      <c r="N1316" s="674"/>
      <c r="O1316" s="24">
        <f t="shared" si="229"/>
        <v>1</v>
      </c>
      <c r="P1316" s="674"/>
      <c r="Q1316" s="24">
        <f t="shared" si="230"/>
        <v>0</v>
      </c>
      <c r="R1316" s="670">
        <f t="shared" si="231"/>
        <v>0</v>
      </c>
      <c r="S1316" s="322">
        <f t="shared" si="232"/>
        <v>0</v>
      </c>
    </row>
    <row r="1317" spans="1:19">
      <c r="A1317" s="155"/>
      <c r="B1317" s="57"/>
      <c r="C1317" s="24">
        <f t="shared" si="223"/>
        <v>1</v>
      </c>
      <c r="D1317" s="674"/>
      <c r="E1317" s="24">
        <f t="shared" si="224"/>
        <v>1</v>
      </c>
      <c r="F1317" s="674"/>
      <c r="G1317" s="24">
        <f t="shared" si="225"/>
        <v>1</v>
      </c>
      <c r="H1317" s="674"/>
      <c r="I1317" s="24">
        <f t="shared" si="226"/>
        <v>1</v>
      </c>
      <c r="J1317" s="674"/>
      <c r="K1317" s="24">
        <f t="shared" si="227"/>
        <v>1</v>
      </c>
      <c r="L1317" s="674"/>
      <c r="M1317" s="24">
        <f t="shared" si="228"/>
        <v>1</v>
      </c>
      <c r="N1317" s="674"/>
      <c r="O1317" s="24">
        <f t="shared" si="229"/>
        <v>1</v>
      </c>
      <c r="P1317" s="674"/>
      <c r="Q1317" s="24">
        <f t="shared" si="230"/>
        <v>0</v>
      </c>
      <c r="R1317" s="670">
        <f t="shared" si="231"/>
        <v>0</v>
      </c>
      <c r="S1317" s="322">
        <f t="shared" si="232"/>
        <v>0</v>
      </c>
    </row>
    <row r="1318" spans="1:19">
      <c r="A1318" s="155"/>
      <c r="B1318" s="57"/>
      <c r="C1318" s="24">
        <f t="shared" si="223"/>
        <v>1</v>
      </c>
      <c r="D1318" s="674"/>
      <c r="E1318" s="24">
        <f t="shared" si="224"/>
        <v>1</v>
      </c>
      <c r="F1318" s="674"/>
      <c r="G1318" s="24">
        <f t="shared" si="225"/>
        <v>1</v>
      </c>
      <c r="H1318" s="674"/>
      <c r="I1318" s="24">
        <f t="shared" si="226"/>
        <v>1</v>
      </c>
      <c r="J1318" s="674"/>
      <c r="K1318" s="24">
        <f t="shared" si="227"/>
        <v>1</v>
      </c>
      <c r="L1318" s="674"/>
      <c r="M1318" s="24">
        <f t="shared" si="228"/>
        <v>1</v>
      </c>
      <c r="N1318" s="674"/>
      <c r="O1318" s="24">
        <f t="shared" si="229"/>
        <v>1</v>
      </c>
      <c r="P1318" s="674"/>
      <c r="Q1318" s="24">
        <f t="shared" si="230"/>
        <v>0</v>
      </c>
      <c r="R1318" s="670">
        <f t="shared" si="231"/>
        <v>0</v>
      </c>
      <c r="S1318" s="322">
        <f t="shared" si="232"/>
        <v>0</v>
      </c>
    </row>
    <row r="1319" spans="1:19">
      <c r="A1319" s="155"/>
      <c r="B1319" s="57"/>
      <c r="C1319" s="24">
        <f t="shared" si="223"/>
        <v>1</v>
      </c>
      <c r="D1319" s="674"/>
      <c r="E1319" s="24">
        <f t="shared" si="224"/>
        <v>1</v>
      </c>
      <c r="F1319" s="674"/>
      <c r="G1319" s="24">
        <f t="shared" si="225"/>
        <v>1</v>
      </c>
      <c r="H1319" s="674"/>
      <c r="I1319" s="24">
        <f t="shared" si="226"/>
        <v>1</v>
      </c>
      <c r="J1319" s="674"/>
      <c r="K1319" s="24">
        <f t="shared" si="227"/>
        <v>1</v>
      </c>
      <c r="L1319" s="674"/>
      <c r="M1319" s="24">
        <f t="shared" si="228"/>
        <v>1</v>
      </c>
      <c r="N1319" s="674"/>
      <c r="O1319" s="24">
        <f t="shared" si="229"/>
        <v>1</v>
      </c>
      <c r="P1319" s="674"/>
      <c r="Q1319" s="24">
        <f t="shared" si="230"/>
        <v>0</v>
      </c>
      <c r="R1319" s="670">
        <f t="shared" si="231"/>
        <v>0</v>
      </c>
      <c r="S1319" s="322">
        <f t="shared" si="232"/>
        <v>0</v>
      </c>
    </row>
    <row r="1320" spans="1:19">
      <c r="A1320" s="155"/>
      <c r="B1320" s="57"/>
      <c r="C1320" s="24">
        <f t="shared" si="223"/>
        <v>1</v>
      </c>
      <c r="D1320" s="674"/>
      <c r="E1320" s="24">
        <f t="shared" si="224"/>
        <v>1</v>
      </c>
      <c r="F1320" s="674"/>
      <c r="G1320" s="24">
        <f t="shared" si="225"/>
        <v>1</v>
      </c>
      <c r="H1320" s="674"/>
      <c r="I1320" s="24">
        <f t="shared" si="226"/>
        <v>1</v>
      </c>
      <c r="J1320" s="674"/>
      <c r="K1320" s="24">
        <f t="shared" si="227"/>
        <v>1</v>
      </c>
      <c r="L1320" s="674"/>
      <c r="M1320" s="24">
        <f t="shared" si="228"/>
        <v>1</v>
      </c>
      <c r="N1320" s="674"/>
      <c r="O1320" s="24">
        <f t="shared" si="229"/>
        <v>1</v>
      </c>
      <c r="P1320" s="674"/>
      <c r="Q1320" s="24">
        <f t="shared" si="230"/>
        <v>0</v>
      </c>
      <c r="R1320" s="670">
        <f t="shared" si="231"/>
        <v>0</v>
      </c>
      <c r="S1320" s="322">
        <f t="shared" si="232"/>
        <v>0</v>
      </c>
    </row>
    <row r="1321" spans="1:19">
      <c r="A1321" s="155"/>
      <c r="B1321" s="57"/>
      <c r="C1321" s="24">
        <f t="shared" si="223"/>
        <v>1</v>
      </c>
      <c r="D1321" s="674"/>
      <c r="E1321" s="24">
        <f t="shared" si="224"/>
        <v>1</v>
      </c>
      <c r="F1321" s="674"/>
      <c r="G1321" s="24">
        <f t="shared" si="225"/>
        <v>1</v>
      </c>
      <c r="H1321" s="674"/>
      <c r="I1321" s="24">
        <f t="shared" si="226"/>
        <v>1</v>
      </c>
      <c r="J1321" s="674"/>
      <c r="K1321" s="24">
        <f t="shared" si="227"/>
        <v>1</v>
      </c>
      <c r="L1321" s="674"/>
      <c r="M1321" s="24">
        <f t="shared" si="228"/>
        <v>1</v>
      </c>
      <c r="N1321" s="674"/>
      <c r="O1321" s="24">
        <f t="shared" si="229"/>
        <v>1</v>
      </c>
      <c r="P1321" s="674"/>
      <c r="Q1321" s="24">
        <f t="shared" si="230"/>
        <v>0</v>
      </c>
      <c r="R1321" s="670">
        <f t="shared" si="231"/>
        <v>0</v>
      </c>
      <c r="S1321" s="322">
        <f t="shared" si="232"/>
        <v>0</v>
      </c>
    </row>
    <row r="1322" spans="1:19">
      <c r="A1322" s="155"/>
      <c r="B1322" s="57"/>
      <c r="C1322" s="24">
        <f t="shared" si="223"/>
        <v>1</v>
      </c>
      <c r="D1322" s="674"/>
      <c r="E1322" s="24">
        <f t="shared" si="224"/>
        <v>1</v>
      </c>
      <c r="F1322" s="674"/>
      <c r="G1322" s="24">
        <f t="shared" si="225"/>
        <v>1</v>
      </c>
      <c r="H1322" s="674"/>
      <c r="I1322" s="24">
        <f t="shared" si="226"/>
        <v>1</v>
      </c>
      <c r="J1322" s="674"/>
      <c r="K1322" s="24">
        <f t="shared" si="227"/>
        <v>1</v>
      </c>
      <c r="L1322" s="674"/>
      <c r="M1322" s="24">
        <f t="shared" si="228"/>
        <v>1</v>
      </c>
      <c r="N1322" s="674"/>
      <c r="O1322" s="24">
        <f t="shared" si="229"/>
        <v>1</v>
      </c>
      <c r="P1322" s="674"/>
      <c r="Q1322" s="24">
        <f t="shared" si="230"/>
        <v>0</v>
      </c>
      <c r="R1322" s="670">
        <f t="shared" si="231"/>
        <v>0</v>
      </c>
      <c r="S1322" s="322">
        <f t="shared" si="232"/>
        <v>0</v>
      </c>
    </row>
    <row r="1323" spans="1:19">
      <c r="A1323" s="155"/>
      <c r="B1323" s="57"/>
      <c r="C1323" s="24">
        <f t="shared" si="223"/>
        <v>1</v>
      </c>
      <c r="D1323" s="674"/>
      <c r="E1323" s="24">
        <f t="shared" si="224"/>
        <v>1</v>
      </c>
      <c r="F1323" s="674"/>
      <c r="G1323" s="24">
        <f t="shared" si="225"/>
        <v>1</v>
      </c>
      <c r="H1323" s="674"/>
      <c r="I1323" s="24">
        <f t="shared" si="226"/>
        <v>1</v>
      </c>
      <c r="J1323" s="674"/>
      <c r="K1323" s="24">
        <f t="shared" si="227"/>
        <v>1</v>
      </c>
      <c r="L1323" s="674"/>
      <c r="M1323" s="24">
        <f t="shared" si="228"/>
        <v>1</v>
      </c>
      <c r="N1323" s="674"/>
      <c r="O1323" s="24">
        <f t="shared" si="229"/>
        <v>1</v>
      </c>
      <c r="P1323" s="674"/>
      <c r="Q1323" s="24">
        <f t="shared" si="230"/>
        <v>0</v>
      </c>
      <c r="R1323" s="670">
        <f t="shared" si="231"/>
        <v>0</v>
      </c>
      <c r="S1323" s="322">
        <f t="shared" si="232"/>
        <v>0</v>
      </c>
    </row>
    <row r="1324" spans="1:19">
      <c r="A1324" s="155"/>
      <c r="B1324" s="57"/>
      <c r="C1324" s="24">
        <f t="shared" si="223"/>
        <v>1</v>
      </c>
      <c r="D1324" s="674"/>
      <c r="E1324" s="24">
        <f t="shared" si="224"/>
        <v>1</v>
      </c>
      <c r="F1324" s="674"/>
      <c r="G1324" s="24">
        <f t="shared" si="225"/>
        <v>1</v>
      </c>
      <c r="H1324" s="674"/>
      <c r="I1324" s="24">
        <f t="shared" si="226"/>
        <v>1</v>
      </c>
      <c r="J1324" s="674"/>
      <c r="K1324" s="24">
        <f t="shared" si="227"/>
        <v>1</v>
      </c>
      <c r="L1324" s="674"/>
      <c r="M1324" s="24">
        <f t="shared" si="228"/>
        <v>1</v>
      </c>
      <c r="N1324" s="674"/>
      <c r="O1324" s="24">
        <f t="shared" si="229"/>
        <v>1</v>
      </c>
      <c r="P1324" s="674"/>
      <c r="Q1324" s="24">
        <f t="shared" si="230"/>
        <v>0</v>
      </c>
      <c r="R1324" s="670">
        <f t="shared" si="231"/>
        <v>0</v>
      </c>
      <c r="S1324" s="322">
        <f t="shared" si="232"/>
        <v>0</v>
      </c>
    </row>
    <row r="1325" spans="1:19">
      <c r="A1325" s="155"/>
      <c r="B1325" s="57"/>
      <c r="C1325" s="24">
        <f t="shared" si="223"/>
        <v>1</v>
      </c>
      <c r="D1325" s="674"/>
      <c r="E1325" s="24">
        <f t="shared" si="224"/>
        <v>1</v>
      </c>
      <c r="F1325" s="674"/>
      <c r="G1325" s="24">
        <f t="shared" si="225"/>
        <v>1</v>
      </c>
      <c r="H1325" s="674"/>
      <c r="I1325" s="24">
        <f t="shared" si="226"/>
        <v>1</v>
      </c>
      <c r="J1325" s="674"/>
      <c r="K1325" s="24">
        <f t="shared" si="227"/>
        <v>1</v>
      </c>
      <c r="L1325" s="674"/>
      <c r="M1325" s="24">
        <f t="shared" si="228"/>
        <v>1</v>
      </c>
      <c r="N1325" s="674"/>
      <c r="O1325" s="24">
        <f t="shared" si="229"/>
        <v>1</v>
      </c>
      <c r="P1325" s="674"/>
      <c r="Q1325" s="24">
        <f t="shared" si="230"/>
        <v>0</v>
      </c>
      <c r="R1325" s="670">
        <f t="shared" si="231"/>
        <v>0</v>
      </c>
      <c r="S1325" s="322">
        <f t="shared" si="232"/>
        <v>0</v>
      </c>
    </row>
    <row r="1326" spans="1:19">
      <c r="A1326" s="155"/>
      <c r="B1326" s="57"/>
      <c r="C1326" s="24">
        <f t="shared" si="223"/>
        <v>1</v>
      </c>
      <c r="D1326" s="674"/>
      <c r="E1326" s="24">
        <f t="shared" si="224"/>
        <v>1</v>
      </c>
      <c r="F1326" s="674"/>
      <c r="G1326" s="24">
        <f t="shared" si="225"/>
        <v>1</v>
      </c>
      <c r="H1326" s="674"/>
      <c r="I1326" s="24">
        <f t="shared" si="226"/>
        <v>1</v>
      </c>
      <c r="J1326" s="674"/>
      <c r="K1326" s="24">
        <f t="shared" si="227"/>
        <v>1</v>
      </c>
      <c r="L1326" s="674"/>
      <c r="M1326" s="24">
        <f t="shared" si="228"/>
        <v>1</v>
      </c>
      <c r="N1326" s="674"/>
      <c r="O1326" s="24">
        <f t="shared" si="229"/>
        <v>1</v>
      </c>
      <c r="P1326" s="674"/>
      <c r="Q1326" s="24">
        <f t="shared" si="230"/>
        <v>0</v>
      </c>
      <c r="R1326" s="670">
        <f t="shared" si="231"/>
        <v>0</v>
      </c>
      <c r="S1326" s="322">
        <f t="shared" si="232"/>
        <v>0</v>
      </c>
    </row>
    <row r="1327" spans="1:19">
      <c r="A1327" s="155"/>
      <c r="B1327" s="57"/>
      <c r="C1327" s="24">
        <f t="shared" si="223"/>
        <v>1</v>
      </c>
      <c r="D1327" s="674"/>
      <c r="E1327" s="24">
        <f t="shared" si="224"/>
        <v>1</v>
      </c>
      <c r="F1327" s="674"/>
      <c r="G1327" s="24">
        <f t="shared" si="225"/>
        <v>1</v>
      </c>
      <c r="H1327" s="674"/>
      <c r="I1327" s="24">
        <f t="shared" si="226"/>
        <v>1</v>
      </c>
      <c r="J1327" s="674"/>
      <c r="K1327" s="24">
        <f t="shared" si="227"/>
        <v>1</v>
      </c>
      <c r="L1327" s="674"/>
      <c r="M1327" s="24">
        <f t="shared" si="228"/>
        <v>1</v>
      </c>
      <c r="N1327" s="674"/>
      <c r="O1327" s="24">
        <f t="shared" si="229"/>
        <v>1</v>
      </c>
      <c r="P1327" s="674"/>
      <c r="Q1327" s="24">
        <f t="shared" si="230"/>
        <v>0</v>
      </c>
      <c r="R1327" s="670">
        <f t="shared" si="231"/>
        <v>0</v>
      </c>
      <c r="S1327" s="322">
        <f t="shared" si="232"/>
        <v>0</v>
      </c>
    </row>
    <row r="1328" spans="1:19">
      <c r="A1328" s="155"/>
      <c r="B1328" s="57"/>
      <c r="C1328" s="24">
        <f t="shared" si="223"/>
        <v>1</v>
      </c>
      <c r="D1328" s="674"/>
      <c r="E1328" s="24">
        <f t="shared" si="224"/>
        <v>1</v>
      </c>
      <c r="F1328" s="674"/>
      <c r="G1328" s="24">
        <f t="shared" si="225"/>
        <v>1</v>
      </c>
      <c r="H1328" s="674"/>
      <c r="I1328" s="24">
        <f t="shared" si="226"/>
        <v>1</v>
      </c>
      <c r="J1328" s="674"/>
      <c r="K1328" s="24">
        <f t="shared" si="227"/>
        <v>1</v>
      </c>
      <c r="L1328" s="674"/>
      <c r="M1328" s="24">
        <f t="shared" si="228"/>
        <v>1</v>
      </c>
      <c r="N1328" s="674"/>
      <c r="O1328" s="24">
        <f t="shared" si="229"/>
        <v>1</v>
      </c>
      <c r="P1328" s="674"/>
      <c r="Q1328" s="24">
        <f t="shared" si="230"/>
        <v>0</v>
      </c>
      <c r="R1328" s="670">
        <f t="shared" si="231"/>
        <v>0</v>
      </c>
      <c r="S1328" s="322">
        <f t="shared" si="232"/>
        <v>0</v>
      </c>
    </row>
    <row r="1329" spans="1:19">
      <c r="A1329" s="155"/>
      <c r="B1329" s="57"/>
      <c r="C1329" s="24">
        <f t="shared" si="223"/>
        <v>1</v>
      </c>
      <c r="D1329" s="674"/>
      <c r="E1329" s="24">
        <f t="shared" si="224"/>
        <v>1</v>
      </c>
      <c r="F1329" s="674"/>
      <c r="G1329" s="24">
        <f t="shared" si="225"/>
        <v>1</v>
      </c>
      <c r="H1329" s="674"/>
      <c r="I1329" s="24">
        <f t="shared" si="226"/>
        <v>1</v>
      </c>
      <c r="J1329" s="674"/>
      <c r="K1329" s="24">
        <f t="shared" si="227"/>
        <v>1</v>
      </c>
      <c r="L1329" s="674"/>
      <c r="M1329" s="24">
        <f t="shared" si="228"/>
        <v>1</v>
      </c>
      <c r="N1329" s="674"/>
      <c r="O1329" s="24">
        <f t="shared" si="229"/>
        <v>1</v>
      </c>
      <c r="P1329" s="674"/>
      <c r="Q1329" s="24">
        <f t="shared" si="230"/>
        <v>0</v>
      </c>
      <c r="R1329" s="670">
        <f t="shared" si="231"/>
        <v>0</v>
      </c>
      <c r="S1329" s="322">
        <f t="shared" si="232"/>
        <v>0</v>
      </c>
    </row>
    <row r="1330" spans="1:19">
      <c r="A1330" s="155"/>
      <c r="B1330" s="57"/>
      <c r="C1330" s="24">
        <f t="shared" si="223"/>
        <v>1</v>
      </c>
      <c r="D1330" s="674"/>
      <c r="E1330" s="24">
        <f t="shared" si="224"/>
        <v>1</v>
      </c>
      <c r="F1330" s="674"/>
      <c r="G1330" s="24">
        <f t="shared" si="225"/>
        <v>1</v>
      </c>
      <c r="H1330" s="674"/>
      <c r="I1330" s="24">
        <f t="shared" si="226"/>
        <v>1</v>
      </c>
      <c r="J1330" s="674"/>
      <c r="K1330" s="24">
        <f t="shared" si="227"/>
        <v>1</v>
      </c>
      <c r="L1330" s="674"/>
      <c r="M1330" s="24">
        <f t="shared" si="228"/>
        <v>1</v>
      </c>
      <c r="N1330" s="674"/>
      <c r="O1330" s="24">
        <f t="shared" si="229"/>
        <v>1</v>
      </c>
      <c r="P1330" s="674"/>
      <c r="Q1330" s="24">
        <f t="shared" si="230"/>
        <v>0</v>
      </c>
      <c r="R1330" s="670">
        <f t="shared" si="231"/>
        <v>0</v>
      </c>
      <c r="S1330" s="322">
        <f t="shared" si="232"/>
        <v>0</v>
      </c>
    </row>
    <row r="1331" spans="1:19">
      <c r="A1331" s="155"/>
      <c r="B1331" s="57"/>
      <c r="C1331" s="24">
        <f t="shared" si="223"/>
        <v>1</v>
      </c>
      <c r="D1331" s="674"/>
      <c r="E1331" s="24">
        <f t="shared" si="224"/>
        <v>1</v>
      </c>
      <c r="F1331" s="674"/>
      <c r="G1331" s="24">
        <f t="shared" si="225"/>
        <v>1</v>
      </c>
      <c r="H1331" s="674"/>
      <c r="I1331" s="24">
        <f t="shared" si="226"/>
        <v>1</v>
      </c>
      <c r="J1331" s="674"/>
      <c r="K1331" s="24">
        <f t="shared" si="227"/>
        <v>1</v>
      </c>
      <c r="L1331" s="674"/>
      <c r="M1331" s="24">
        <f t="shared" si="228"/>
        <v>1</v>
      </c>
      <c r="N1331" s="674"/>
      <c r="O1331" s="24">
        <f t="shared" si="229"/>
        <v>1</v>
      </c>
      <c r="P1331" s="674"/>
      <c r="Q1331" s="24">
        <f t="shared" si="230"/>
        <v>0</v>
      </c>
      <c r="R1331" s="670">
        <f t="shared" si="231"/>
        <v>0</v>
      </c>
      <c r="S1331" s="322">
        <f t="shared" si="232"/>
        <v>0</v>
      </c>
    </row>
    <row r="1332" spans="1:19">
      <c r="A1332" s="155"/>
      <c r="B1332" s="57"/>
      <c r="C1332" s="24">
        <f t="shared" si="223"/>
        <v>1</v>
      </c>
      <c r="D1332" s="674"/>
      <c r="E1332" s="24">
        <f t="shared" si="224"/>
        <v>1</v>
      </c>
      <c r="F1332" s="674"/>
      <c r="G1332" s="24">
        <f t="shared" si="225"/>
        <v>1</v>
      </c>
      <c r="H1332" s="674"/>
      <c r="I1332" s="24">
        <f t="shared" si="226"/>
        <v>1</v>
      </c>
      <c r="J1332" s="674"/>
      <c r="K1332" s="24">
        <f t="shared" si="227"/>
        <v>1</v>
      </c>
      <c r="L1332" s="674"/>
      <c r="M1332" s="24">
        <f t="shared" si="228"/>
        <v>1</v>
      </c>
      <c r="N1332" s="674"/>
      <c r="O1332" s="24">
        <f t="shared" si="229"/>
        <v>1</v>
      </c>
      <c r="P1332" s="674"/>
      <c r="Q1332" s="24">
        <f t="shared" si="230"/>
        <v>0</v>
      </c>
      <c r="R1332" s="670">
        <f t="shared" si="231"/>
        <v>0</v>
      </c>
      <c r="S1332" s="322">
        <f t="shared" si="232"/>
        <v>0</v>
      </c>
    </row>
    <row r="1333" spans="1:19">
      <c r="A1333" s="155"/>
      <c r="B1333" s="57"/>
      <c r="C1333" s="24">
        <f t="shared" si="223"/>
        <v>1</v>
      </c>
      <c r="D1333" s="674"/>
      <c r="E1333" s="24">
        <f t="shared" si="224"/>
        <v>1</v>
      </c>
      <c r="F1333" s="674"/>
      <c r="G1333" s="24">
        <f t="shared" si="225"/>
        <v>1</v>
      </c>
      <c r="H1333" s="674"/>
      <c r="I1333" s="24">
        <f t="shared" si="226"/>
        <v>1</v>
      </c>
      <c r="J1333" s="674"/>
      <c r="K1333" s="24">
        <f t="shared" si="227"/>
        <v>1</v>
      </c>
      <c r="L1333" s="674"/>
      <c r="M1333" s="24">
        <f t="shared" si="228"/>
        <v>1</v>
      </c>
      <c r="N1333" s="674"/>
      <c r="O1333" s="24">
        <f t="shared" si="229"/>
        <v>1</v>
      </c>
      <c r="P1333" s="674"/>
      <c r="Q1333" s="24">
        <f t="shared" si="230"/>
        <v>0</v>
      </c>
      <c r="R1333" s="670">
        <f t="shared" si="231"/>
        <v>0</v>
      </c>
      <c r="S1333" s="322">
        <f t="shared" si="232"/>
        <v>0</v>
      </c>
    </row>
    <row r="1334" spans="1:19">
      <c r="A1334" s="155"/>
      <c r="B1334" s="57"/>
      <c r="C1334" s="24">
        <f t="shared" si="223"/>
        <v>1</v>
      </c>
      <c r="D1334" s="674"/>
      <c r="E1334" s="24">
        <f t="shared" si="224"/>
        <v>1</v>
      </c>
      <c r="F1334" s="674"/>
      <c r="G1334" s="24">
        <f t="shared" si="225"/>
        <v>1</v>
      </c>
      <c r="H1334" s="674"/>
      <c r="I1334" s="24">
        <f t="shared" si="226"/>
        <v>1</v>
      </c>
      <c r="J1334" s="674"/>
      <c r="K1334" s="24">
        <f t="shared" si="227"/>
        <v>1</v>
      </c>
      <c r="L1334" s="674"/>
      <c r="M1334" s="24">
        <f t="shared" si="228"/>
        <v>1</v>
      </c>
      <c r="N1334" s="674"/>
      <c r="O1334" s="24">
        <f t="shared" si="229"/>
        <v>1</v>
      </c>
      <c r="P1334" s="674"/>
      <c r="Q1334" s="24">
        <f t="shared" si="230"/>
        <v>0</v>
      </c>
      <c r="R1334" s="670">
        <f t="shared" si="231"/>
        <v>0</v>
      </c>
      <c r="S1334" s="322">
        <f t="shared" si="232"/>
        <v>0</v>
      </c>
    </row>
    <row r="1335" spans="1:19">
      <c r="A1335" s="155"/>
      <c r="B1335" s="57"/>
      <c r="C1335" s="24">
        <f t="shared" si="223"/>
        <v>1</v>
      </c>
      <c r="D1335" s="674"/>
      <c r="E1335" s="24">
        <f t="shared" si="224"/>
        <v>1</v>
      </c>
      <c r="F1335" s="674"/>
      <c r="G1335" s="24">
        <f t="shared" si="225"/>
        <v>1</v>
      </c>
      <c r="H1335" s="674"/>
      <c r="I1335" s="24">
        <f t="shared" si="226"/>
        <v>1</v>
      </c>
      <c r="J1335" s="674"/>
      <c r="K1335" s="24">
        <f t="shared" si="227"/>
        <v>1</v>
      </c>
      <c r="L1335" s="674"/>
      <c r="M1335" s="24">
        <f t="shared" si="228"/>
        <v>1</v>
      </c>
      <c r="N1335" s="674"/>
      <c r="O1335" s="24">
        <f t="shared" si="229"/>
        <v>1</v>
      </c>
      <c r="P1335" s="674"/>
      <c r="Q1335" s="24">
        <f t="shared" si="230"/>
        <v>0</v>
      </c>
      <c r="R1335" s="670">
        <f t="shared" si="231"/>
        <v>0</v>
      </c>
      <c r="S1335" s="322">
        <f t="shared" si="232"/>
        <v>0</v>
      </c>
    </row>
    <row r="1336" spans="1:19">
      <c r="A1336" s="155"/>
      <c r="B1336" s="57"/>
      <c r="C1336" s="24">
        <f t="shared" si="223"/>
        <v>1</v>
      </c>
      <c r="D1336" s="674"/>
      <c r="E1336" s="24">
        <f t="shared" si="224"/>
        <v>1</v>
      </c>
      <c r="F1336" s="674"/>
      <c r="G1336" s="24">
        <f t="shared" si="225"/>
        <v>1</v>
      </c>
      <c r="H1336" s="674"/>
      <c r="I1336" s="24">
        <f t="shared" si="226"/>
        <v>1</v>
      </c>
      <c r="J1336" s="674"/>
      <c r="K1336" s="24">
        <f t="shared" si="227"/>
        <v>1</v>
      </c>
      <c r="L1336" s="674"/>
      <c r="M1336" s="24">
        <f t="shared" si="228"/>
        <v>1</v>
      </c>
      <c r="N1336" s="674"/>
      <c r="O1336" s="24">
        <f t="shared" si="229"/>
        <v>1</v>
      </c>
      <c r="P1336" s="674"/>
      <c r="Q1336" s="24">
        <f t="shared" si="230"/>
        <v>0</v>
      </c>
      <c r="R1336" s="670">
        <f t="shared" si="231"/>
        <v>0</v>
      </c>
      <c r="S1336" s="322">
        <f t="shared" si="232"/>
        <v>0</v>
      </c>
    </row>
    <row r="1337" spans="1:19">
      <c r="A1337" s="155"/>
      <c r="B1337" s="57"/>
      <c r="C1337" s="24">
        <f t="shared" si="223"/>
        <v>1</v>
      </c>
      <c r="D1337" s="674"/>
      <c r="E1337" s="24">
        <f t="shared" si="224"/>
        <v>1</v>
      </c>
      <c r="F1337" s="674"/>
      <c r="G1337" s="24">
        <f t="shared" si="225"/>
        <v>1</v>
      </c>
      <c r="H1337" s="674"/>
      <c r="I1337" s="24">
        <f t="shared" si="226"/>
        <v>1</v>
      </c>
      <c r="J1337" s="674"/>
      <c r="K1337" s="24">
        <f t="shared" si="227"/>
        <v>1</v>
      </c>
      <c r="L1337" s="674"/>
      <c r="M1337" s="24">
        <f t="shared" si="228"/>
        <v>1</v>
      </c>
      <c r="N1337" s="674"/>
      <c r="O1337" s="24">
        <f t="shared" si="229"/>
        <v>1</v>
      </c>
      <c r="P1337" s="674"/>
      <c r="Q1337" s="24">
        <f t="shared" si="230"/>
        <v>0</v>
      </c>
      <c r="R1337" s="670">
        <f t="shared" si="231"/>
        <v>0</v>
      </c>
      <c r="S1337" s="322">
        <f t="shared" si="232"/>
        <v>0</v>
      </c>
    </row>
    <row r="1338" spans="1:19">
      <c r="A1338" s="155"/>
      <c r="B1338" s="57"/>
      <c r="C1338" s="24">
        <f t="shared" si="223"/>
        <v>1</v>
      </c>
      <c r="D1338" s="674"/>
      <c r="E1338" s="24">
        <f t="shared" si="224"/>
        <v>1</v>
      </c>
      <c r="F1338" s="674"/>
      <c r="G1338" s="24">
        <f t="shared" si="225"/>
        <v>1</v>
      </c>
      <c r="H1338" s="674"/>
      <c r="I1338" s="24">
        <f t="shared" si="226"/>
        <v>1</v>
      </c>
      <c r="J1338" s="674"/>
      <c r="K1338" s="24">
        <f t="shared" si="227"/>
        <v>1</v>
      </c>
      <c r="L1338" s="674"/>
      <c r="M1338" s="24">
        <f t="shared" si="228"/>
        <v>1</v>
      </c>
      <c r="N1338" s="674"/>
      <c r="O1338" s="24">
        <f t="shared" si="229"/>
        <v>1</v>
      </c>
      <c r="P1338" s="674"/>
      <c r="Q1338" s="24">
        <f t="shared" si="230"/>
        <v>0</v>
      </c>
      <c r="R1338" s="670">
        <f t="shared" si="231"/>
        <v>0</v>
      </c>
      <c r="S1338" s="322">
        <f t="shared" si="232"/>
        <v>0</v>
      </c>
    </row>
    <row r="1339" spans="1:19">
      <c r="A1339" s="155"/>
      <c r="B1339" s="57"/>
      <c r="C1339" s="24">
        <f t="shared" si="223"/>
        <v>1</v>
      </c>
      <c r="D1339" s="674"/>
      <c r="E1339" s="24">
        <f t="shared" si="224"/>
        <v>1</v>
      </c>
      <c r="F1339" s="674"/>
      <c r="G1339" s="24">
        <f t="shared" si="225"/>
        <v>1</v>
      </c>
      <c r="H1339" s="674"/>
      <c r="I1339" s="24">
        <f t="shared" si="226"/>
        <v>1</v>
      </c>
      <c r="J1339" s="674"/>
      <c r="K1339" s="24">
        <f t="shared" si="227"/>
        <v>1</v>
      </c>
      <c r="L1339" s="674"/>
      <c r="M1339" s="24">
        <f t="shared" si="228"/>
        <v>1</v>
      </c>
      <c r="N1339" s="674"/>
      <c r="O1339" s="24">
        <f t="shared" si="229"/>
        <v>1</v>
      </c>
      <c r="P1339" s="674"/>
      <c r="Q1339" s="24">
        <f t="shared" si="230"/>
        <v>0</v>
      </c>
      <c r="R1339" s="670">
        <f t="shared" si="231"/>
        <v>0</v>
      </c>
      <c r="S1339" s="322">
        <f t="shared" si="232"/>
        <v>0</v>
      </c>
    </row>
    <row r="1340" spans="1:19">
      <c r="A1340" s="155"/>
      <c r="B1340" s="57"/>
      <c r="C1340" s="24">
        <f t="shared" si="223"/>
        <v>1</v>
      </c>
      <c r="D1340" s="674"/>
      <c r="E1340" s="24">
        <f t="shared" si="224"/>
        <v>1</v>
      </c>
      <c r="F1340" s="674"/>
      <c r="G1340" s="24">
        <f t="shared" si="225"/>
        <v>1</v>
      </c>
      <c r="H1340" s="674"/>
      <c r="I1340" s="24">
        <f t="shared" si="226"/>
        <v>1</v>
      </c>
      <c r="J1340" s="674"/>
      <c r="K1340" s="24">
        <f t="shared" si="227"/>
        <v>1</v>
      </c>
      <c r="L1340" s="674"/>
      <c r="M1340" s="24">
        <f t="shared" si="228"/>
        <v>1</v>
      </c>
      <c r="N1340" s="674"/>
      <c r="O1340" s="24">
        <f t="shared" si="229"/>
        <v>1</v>
      </c>
      <c r="P1340" s="674"/>
      <c r="Q1340" s="24">
        <f t="shared" si="230"/>
        <v>0</v>
      </c>
      <c r="R1340" s="670">
        <f t="shared" si="231"/>
        <v>0</v>
      </c>
      <c r="S1340" s="322">
        <f t="shared" si="232"/>
        <v>0</v>
      </c>
    </row>
    <row r="1341" spans="1:19">
      <c r="A1341" s="155"/>
      <c r="B1341" s="57"/>
      <c r="C1341" s="24">
        <f t="shared" si="223"/>
        <v>1</v>
      </c>
      <c r="D1341" s="674"/>
      <c r="E1341" s="24">
        <f t="shared" si="224"/>
        <v>1</v>
      </c>
      <c r="F1341" s="674"/>
      <c r="G1341" s="24">
        <f t="shared" si="225"/>
        <v>1</v>
      </c>
      <c r="H1341" s="674"/>
      <c r="I1341" s="24">
        <f t="shared" si="226"/>
        <v>1</v>
      </c>
      <c r="J1341" s="674"/>
      <c r="K1341" s="24">
        <f t="shared" si="227"/>
        <v>1</v>
      </c>
      <c r="L1341" s="674"/>
      <c r="M1341" s="24">
        <f t="shared" si="228"/>
        <v>1</v>
      </c>
      <c r="N1341" s="674"/>
      <c r="O1341" s="24">
        <f t="shared" si="229"/>
        <v>1</v>
      </c>
      <c r="P1341" s="674"/>
      <c r="Q1341" s="24">
        <f t="shared" si="230"/>
        <v>0</v>
      </c>
      <c r="R1341" s="670">
        <f t="shared" si="231"/>
        <v>0</v>
      </c>
      <c r="S1341" s="322">
        <f t="shared" si="232"/>
        <v>0</v>
      </c>
    </row>
    <row r="1342" spans="1:19">
      <c r="A1342" s="155"/>
      <c r="B1342" s="57"/>
      <c r="C1342" s="24">
        <f t="shared" si="223"/>
        <v>1</v>
      </c>
      <c r="D1342" s="674"/>
      <c r="E1342" s="24">
        <f t="shared" si="224"/>
        <v>1</v>
      </c>
      <c r="F1342" s="674"/>
      <c r="G1342" s="24">
        <f t="shared" si="225"/>
        <v>1</v>
      </c>
      <c r="H1342" s="674"/>
      <c r="I1342" s="24">
        <f t="shared" si="226"/>
        <v>1</v>
      </c>
      <c r="J1342" s="674"/>
      <c r="K1342" s="24">
        <f t="shared" si="227"/>
        <v>1</v>
      </c>
      <c r="L1342" s="674"/>
      <c r="M1342" s="24">
        <f t="shared" si="228"/>
        <v>1</v>
      </c>
      <c r="N1342" s="674"/>
      <c r="O1342" s="24">
        <f t="shared" si="229"/>
        <v>1</v>
      </c>
      <c r="P1342" s="674"/>
      <c r="Q1342" s="24">
        <f t="shared" si="230"/>
        <v>0</v>
      </c>
      <c r="R1342" s="670">
        <f t="shared" si="231"/>
        <v>0</v>
      </c>
      <c r="S1342" s="322">
        <f t="shared" si="232"/>
        <v>0</v>
      </c>
    </row>
    <row r="1343" spans="1:19">
      <c r="A1343" s="155"/>
      <c r="B1343" s="57"/>
      <c r="C1343" s="24">
        <f t="shared" si="223"/>
        <v>1</v>
      </c>
      <c r="D1343" s="674"/>
      <c r="E1343" s="24">
        <f t="shared" si="224"/>
        <v>1</v>
      </c>
      <c r="F1343" s="674"/>
      <c r="G1343" s="24">
        <f t="shared" si="225"/>
        <v>1</v>
      </c>
      <c r="H1343" s="674"/>
      <c r="I1343" s="24">
        <f t="shared" si="226"/>
        <v>1</v>
      </c>
      <c r="J1343" s="674"/>
      <c r="K1343" s="24">
        <f t="shared" si="227"/>
        <v>1</v>
      </c>
      <c r="L1343" s="674"/>
      <c r="M1343" s="24">
        <f t="shared" si="228"/>
        <v>1</v>
      </c>
      <c r="N1343" s="674"/>
      <c r="O1343" s="24">
        <f t="shared" si="229"/>
        <v>1</v>
      </c>
      <c r="P1343" s="674"/>
      <c r="Q1343" s="24">
        <f t="shared" si="230"/>
        <v>0</v>
      </c>
      <c r="R1343" s="670">
        <f t="shared" si="231"/>
        <v>0</v>
      </c>
      <c r="S1343" s="322">
        <f t="shared" si="232"/>
        <v>0</v>
      </c>
    </row>
    <row r="1344" spans="1:19">
      <c r="A1344" s="155"/>
      <c r="B1344" s="57"/>
      <c r="C1344" s="24">
        <f t="shared" si="223"/>
        <v>1</v>
      </c>
      <c r="D1344" s="674"/>
      <c r="E1344" s="24">
        <f t="shared" si="224"/>
        <v>1</v>
      </c>
      <c r="F1344" s="674"/>
      <c r="G1344" s="24">
        <f t="shared" si="225"/>
        <v>1</v>
      </c>
      <c r="H1344" s="674"/>
      <c r="I1344" s="24">
        <f t="shared" si="226"/>
        <v>1</v>
      </c>
      <c r="J1344" s="674"/>
      <c r="K1344" s="24">
        <f t="shared" si="227"/>
        <v>1</v>
      </c>
      <c r="L1344" s="674"/>
      <c r="M1344" s="24">
        <f t="shared" si="228"/>
        <v>1</v>
      </c>
      <c r="N1344" s="674"/>
      <c r="O1344" s="24">
        <f t="shared" si="229"/>
        <v>1</v>
      </c>
      <c r="P1344" s="674"/>
      <c r="Q1344" s="24">
        <f t="shared" si="230"/>
        <v>0</v>
      </c>
      <c r="R1344" s="670">
        <f t="shared" si="231"/>
        <v>0</v>
      </c>
      <c r="S1344" s="322">
        <f t="shared" si="232"/>
        <v>0</v>
      </c>
    </row>
    <row r="1345" spans="1:19">
      <c r="A1345" s="155"/>
      <c r="B1345" s="57"/>
      <c r="C1345" s="24">
        <f t="shared" si="223"/>
        <v>1</v>
      </c>
      <c r="D1345" s="674"/>
      <c r="E1345" s="24">
        <f t="shared" si="224"/>
        <v>1</v>
      </c>
      <c r="F1345" s="674"/>
      <c r="G1345" s="24">
        <f t="shared" si="225"/>
        <v>1</v>
      </c>
      <c r="H1345" s="674"/>
      <c r="I1345" s="24">
        <f t="shared" si="226"/>
        <v>1</v>
      </c>
      <c r="J1345" s="674"/>
      <c r="K1345" s="24">
        <f t="shared" si="227"/>
        <v>1</v>
      </c>
      <c r="L1345" s="674"/>
      <c r="M1345" s="24">
        <f t="shared" si="228"/>
        <v>1</v>
      </c>
      <c r="N1345" s="674"/>
      <c r="O1345" s="24">
        <f t="shared" si="229"/>
        <v>1</v>
      </c>
      <c r="P1345" s="674"/>
      <c r="Q1345" s="24">
        <f t="shared" si="230"/>
        <v>0</v>
      </c>
      <c r="R1345" s="670">
        <f t="shared" si="231"/>
        <v>0</v>
      </c>
      <c r="S1345" s="322">
        <f t="shared" si="232"/>
        <v>0</v>
      </c>
    </row>
    <row r="1346" spans="1:19">
      <c r="A1346" s="155"/>
      <c r="B1346" s="57"/>
      <c r="C1346" s="24">
        <f t="shared" si="223"/>
        <v>1</v>
      </c>
      <c r="D1346" s="674"/>
      <c r="E1346" s="24">
        <f t="shared" si="224"/>
        <v>1</v>
      </c>
      <c r="F1346" s="674"/>
      <c r="G1346" s="24">
        <f t="shared" si="225"/>
        <v>1</v>
      </c>
      <c r="H1346" s="674"/>
      <c r="I1346" s="24">
        <f t="shared" si="226"/>
        <v>1</v>
      </c>
      <c r="J1346" s="674"/>
      <c r="K1346" s="24">
        <f t="shared" si="227"/>
        <v>1</v>
      </c>
      <c r="L1346" s="674"/>
      <c r="M1346" s="24">
        <f t="shared" si="228"/>
        <v>1</v>
      </c>
      <c r="N1346" s="674"/>
      <c r="O1346" s="24">
        <f t="shared" si="229"/>
        <v>1</v>
      </c>
      <c r="P1346" s="674"/>
      <c r="Q1346" s="24">
        <f t="shared" si="230"/>
        <v>0</v>
      </c>
      <c r="R1346" s="670">
        <f t="shared" si="231"/>
        <v>0</v>
      </c>
      <c r="S1346" s="322">
        <f t="shared" si="232"/>
        <v>0</v>
      </c>
    </row>
    <row r="1347" spans="1:19">
      <c r="A1347" s="155"/>
      <c r="B1347" s="57"/>
      <c r="C1347" s="24">
        <f t="shared" si="223"/>
        <v>1</v>
      </c>
      <c r="D1347" s="674"/>
      <c r="E1347" s="24">
        <f t="shared" si="224"/>
        <v>1</v>
      </c>
      <c r="F1347" s="674"/>
      <c r="G1347" s="24">
        <f t="shared" si="225"/>
        <v>1</v>
      </c>
      <c r="H1347" s="674"/>
      <c r="I1347" s="24">
        <f t="shared" si="226"/>
        <v>1</v>
      </c>
      <c r="J1347" s="674"/>
      <c r="K1347" s="24">
        <f t="shared" si="227"/>
        <v>1</v>
      </c>
      <c r="L1347" s="674"/>
      <c r="M1347" s="24">
        <f t="shared" si="228"/>
        <v>1</v>
      </c>
      <c r="N1347" s="674"/>
      <c r="O1347" s="24">
        <f t="shared" si="229"/>
        <v>1</v>
      </c>
      <c r="P1347" s="674"/>
      <c r="Q1347" s="24">
        <f t="shared" si="230"/>
        <v>0</v>
      </c>
      <c r="R1347" s="670">
        <f t="shared" si="231"/>
        <v>0</v>
      </c>
      <c r="S1347" s="322">
        <f t="shared" si="232"/>
        <v>0</v>
      </c>
    </row>
    <row r="1348" spans="1:19">
      <c r="A1348" s="155"/>
      <c r="B1348" s="57"/>
      <c r="C1348" s="24">
        <f t="shared" si="223"/>
        <v>1</v>
      </c>
      <c r="D1348" s="674"/>
      <c r="E1348" s="24">
        <f t="shared" si="224"/>
        <v>1</v>
      </c>
      <c r="F1348" s="674"/>
      <c r="G1348" s="24">
        <f t="shared" si="225"/>
        <v>1</v>
      </c>
      <c r="H1348" s="674"/>
      <c r="I1348" s="24">
        <f t="shared" si="226"/>
        <v>1</v>
      </c>
      <c r="J1348" s="674"/>
      <c r="K1348" s="24">
        <f t="shared" si="227"/>
        <v>1</v>
      </c>
      <c r="L1348" s="674"/>
      <c r="M1348" s="24">
        <f t="shared" si="228"/>
        <v>1</v>
      </c>
      <c r="N1348" s="674"/>
      <c r="O1348" s="24">
        <f t="shared" si="229"/>
        <v>1</v>
      </c>
      <c r="P1348" s="674"/>
      <c r="Q1348" s="24">
        <f t="shared" si="230"/>
        <v>0</v>
      </c>
      <c r="R1348" s="670">
        <f t="shared" si="231"/>
        <v>0</v>
      </c>
      <c r="S1348" s="322">
        <f t="shared" si="232"/>
        <v>0</v>
      </c>
    </row>
    <row r="1349" spans="1:19">
      <c r="A1349" s="155"/>
      <c r="B1349" s="57"/>
      <c r="C1349" s="24">
        <f t="shared" si="223"/>
        <v>1</v>
      </c>
      <c r="D1349" s="674"/>
      <c r="E1349" s="24">
        <f t="shared" si="224"/>
        <v>1</v>
      </c>
      <c r="F1349" s="674"/>
      <c r="G1349" s="24">
        <f t="shared" si="225"/>
        <v>1</v>
      </c>
      <c r="H1349" s="674"/>
      <c r="I1349" s="24">
        <f t="shared" si="226"/>
        <v>1</v>
      </c>
      <c r="J1349" s="674"/>
      <c r="K1349" s="24">
        <f t="shared" si="227"/>
        <v>1</v>
      </c>
      <c r="L1349" s="674"/>
      <c r="M1349" s="24">
        <f t="shared" si="228"/>
        <v>1</v>
      </c>
      <c r="N1349" s="674"/>
      <c r="O1349" s="24">
        <f t="shared" si="229"/>
        <v>1</v>
      </c>
      <c r="P1349" s="674"/>
      <c r="Q1349" s="24">
        <f t="shared" si="230"/>
        <v>0</v>
      </c>
      <c r="R1349" s="670">
        <f t="shared" si="231"/>
        <v>0</v>
      </c>
      <c r="S1349" s="322">
        <f t="shared" si="232"/>
        <v>0</v>
      </c>
    </row>
    <row r="1350" spans="1:19">
      <c r="A1350" s="155"/>
      <c r="B1350" s="57"/>
      <c r="C1350" s="24">
        <f t="shared" si="223"/>
        <v>1</v>
      </c>
      <c r="D1350" s="674"/>
      <c r="E1350" s="24">
        <f t="shared" si="224"/>
        <v>1</v>
      </c>
      <c r="F1350" s="674"/>
      <c r="G1350" s="24">
        <f t="shared" si="225"/>
        <v>1</v>
      </c>
      <c r="H1350" s="674"/>
      <c r="I1350" s="24">
        <f t="shared" si="226"/>
        <v>1</v>
      </c>
      <c r="J1350" s="674"/>
      <c r="K1350" s="24">
        <f t="shared" si="227"/>
        <v>1</v>
      </c>
      <c r="L1350" s="674"/>
      <c r="M1350" s="24">
        <f t="shared" si="228"/>
        <v>1</v>
      </c>
      <c r="N1350" s="674"/>
      <c r="O1350" s="24">
        <f t="shared" si="229"/>
        <v>1</v>
      </c>
      <c r="P1350" s="674"/>
      <c r="Q1350" s="24">
        <f t="shared" si="230"/>
        <v>0</v>
      </c>
      <c r="R1350" s="670">
        <f t="shared" si="231"/>
        <v>0</v>
      </c>
      <c r="S1350" s="322">
        <f t="shared" si="232"/>
        <v>0</v>
      </c>
    </row>
    <row r="1351" spans="1:19">
      <c r="A1351" s="155"/>
      <c r="B1351" s="57"/>
      <c r="C1351" s="24">
        <f t="shared" si="223"/>
        <v>1</v>
      </c>
      <c r="D1351" s="674"/>
      <c r="E1351" s="24">
        <f t="shared" si="224"/>
        <v>1</v>
      </c>
      <c r="F1351" s="674"/>
      <c r="G1351" s="24">
        <f t="shared" si="225"/>
        <v>1</v>
      </c>
      <c r="H1351" s="674"/>
      <c r="I1351" s="24">
        <f t="shared" si="226"/>
        <v>1</v>
      </c>
      <c r="J1351" s="674"/>
      <c r="K1351" s="24">
        <f t="shared" si="227"/>
        <v>1</v>
      </c>
      <c r="L1351" s="674"/>
      <c r="M1351" s="24">
        <f t="shared" si="228"/>
        <v>1</v>
      </c>
      <c r="N1351" s="674"/>
      <c r="O1351" s="24">
        <f t="shared" si="229"/>
        <v>1</v>
      </c>
      <c r="P1351" s="674"/>
      <c r="Q1351" s="24">
        <f t="shared" si="230"/>
        <v>0</v>
      </c>
      <c r="R1351" s="670">
        <f t="shared" si="231"/>
        <v>0</v>
      </c>
      <c r="S1351" s="322">
        <f t="shared" si="232"/>
        <v>0</v>
      </c>
    </row>
    <row r="1352" spans="1:19">
      <c r="A1352" s="155"/>
      <c r="B1352" s="57"/>
      <c r="C1352" s="24">
        <f t="shared" si="223"/>
        <v>1</v>
      </c>
      <c r="D1352" s="674"/>
      <c r="E1352" s="24">
        <f t="shared" si="224"/>
        <v>1</v>
      </c>
      <c r="F1352" s="674"/>
      <c r="G1352" s="24">
        <f t="shared" si="225"/>
        <v>1</v>
      </c>
      <c r="H1352" s="674"/>
      <c r="I1352" s="24">
        <f t="shared" si="226"/>
        <v>1</v>
      </c>
      <c r="J1352" s="674"/>
      <c r="K1352" s="24">
        <f t="shared" si="227"/>
        <v>1</v>
      </c>
      <c r="L1352" s="674"/>
      <c r="M1352" s="24">
        <f t="shared" si="228"/>
        <v>1</v>
      </c>
      <c r="N1352" s="674"/>
      <c r="O1352" s="24">
        <f t="shared" si="229"/>
        <v>1</v>
      </c>
      <c r="P1352" s="674"/>
      <c r="Q1352" s="24">
        <f t="shared" si="230"/>
        <v>0</v>
      </c>
      <c r="R1352" s="670">
        <f t="shared" si="231"/>
        <v>0</v>
      </c>
      <c r="S1352" s="322">
        <f t="shared" si="232"/>
        <v>0</v>
      </c>
    </row>
    <row r="1353" spans="1:19">
      <c r="A1353" s="155"/>
      <c r="B1353" s="57"/>
      <c r="C1353" s="24">
        <f t="shared" si="223"/>
        <v>1</v>
      </c>
      <c r="D1353" s="674"/>
      <c r="E1353" s="24">
        <f t="shared" si="224"/>
        <v>1</v>
      </c>
      <c r="F1353" s="674"/>
      <c r="G1353" s="24">
        <f t="shared" si="225"/>
        <v>1</v>
      </c>
      <c r="H1353" s="674"/>
      <c r="I1353" s="24">
        <f t="shared" si="226"/>
        <v>1</v>
      </c>
      <c r="J1353" s="674"/>
      <c r="K1353" s="24">
        <f t="shared" si="227"/>
        <v>1</v>
      </c>
      <c r="L1353" s="674"/>
      <c r="M1353" s="24">
        <f t="shared" si="228"/>
        <v>1</v>
      </c>
      <c r="N1353" s="674"/>
      <c r="O1353" s="24">
        <f t="shared" si="229"/>
        <v>1</v>
      </c>
      <c r="P1353" s="674"/>
      <c r="Q1353" s="24">
        <f t="shared" si="230"/>
        <v>0</v>
      </c>
      <c r="R1353" s="670">
        <f t="shared" si="231"/>
        <v>0</v>
      </c>
      <c r="S1353" s="322">
        <f t="shared" si="232"/>
        <v>0</v>
      </c>
    </row>
    <row r="1354" spans="1:19">
      <c r="A1354" s="155"/>
      <c r="B1354" s="57"/>
      <c r="C1354" s="24">
        <f t="shared" si="223"/>
        <v>1</v>
      </c>
      <c r="D1354" s="674"/>
      <c r="E1354" s="24">
        <f t="shared" si="224"/>
        <v>1</v>
      </c>
      <c r="F1354" s="674"/>
      <c r="G1354" s="24">
        <f t="shared" si="225"/>
        <v>1</v>
      </c>
      <c r="H1354" s="674"/>
      <c r="I1354" s="24">
        <f t="shared" si="226"/>
        <v>1</v>
      </c>
      <c r="J1354" s="674"/>
      <c r="K1354" s="24">
        <f t="shared" si="227"/>
        <v>1</v>
      </c>
      <c r="L1354" s="674"/>
      <c r="M1354" s="24">
        <f t="shared" si="228"/>
        <v>1</v>
      </c>
      <c r="N1354" s="674"/>
      <c r="O1354" s="24">
        <f t="shared" si="229"/>
        <v>1</v>
      </c>
      <c r="P1354" s="674"/>
      <c r="Q1354" s="24">
        <f t="shared" si="230"/>
        <v>0</v>
      </c>
      <c r="R1354" s="670">
        <f t="shared" si="231"/>
        <v>0</v>
      </c>
      <c r="S1354" s="322">
        <f t="shared" si="232"/>
        <v>0</v>
      </c>
    </row>
    <row r="1355" spans="1:19">
      <c r="A1355" s="155"/>
      <c r="B1355" s="57"/>
      <c r="C1355" s="24">
        <f t="shared" si="223"/>
        <v>1</v>
      </c>
      <c r="D1355" s="674"/>
      <c r="E1355" s="24">
        <f t="shared" si="224"/>
        <v>1</v>
      </c>
      <c r="F1355" s="674"/>
      <c r="G1355" s="24">
        <f t="shared" si="225"/>
        <v>1</v>
      </c>
      <c r="H1355" s="674"/>
      <c r="I1355" s="24">
        <f t="shared" si="226"/>
        <v>1</v>
      </c>
      <c r="J1355" s="674"/>
      <c r="K1355" s="24">
        <f t="shared" si="227"/>
        <v>1</v>
      </c>
      <c r="L1355" s="674"/>
      <c r="M1355" s="24">
        <f t="shared" si="228"/>
        <v>1</v>
      </c>
      <c r="N1355" s="674"/>
      <c r="O1355" s="24">
        <f t="shared" si="229"/>
        <v>1</v>
      </c>
      <c r="P1355" s="674"/>
      <c r="Q1355" s="24">
        <f t="shared" si="230"/>
        <v>0</v>
      </c>
      <c r="R1355" s="670">
        <f t="shared" si="231"/>
        <v>0</v>
      </c>
      <c r="S1355" s="322">
        <f t="shared" si="232"/>
        <v>0</v>
      </c>
    </row>
    <row r="1356" spans="1:19">
      <c r="A1356" s="155"/>
      <c r="B1356" s="57"/>
      <c r="C1356" s="24">
        <f t="shared" si="223"/>
        <v>1</v>
      </c>
      <c r="D1356" s="674"/>
      <c r="E1356" s="24">
        <f t="shared" si="224"/>
        <v>1</v>
      </c>
      <c r="F1356" s="674"/>
      <c r="G1356" s="24">
        <f t="shared" si="225"/>
        <v>1</v>
      </c>
      <c r="H1356" s="674"/>
      <c r="I1356" s="24">
        <f t="shared" si="226"/>
        <v>1</v>
      </c>
      <c r="J1356" s="674"/>
      <c r="K1356" s="24">
        <f t="shared" si="227"/>
        <v>1</v>
      </c>
      <c r="L1356" s="674"/>
      <c r="M1356" s="24">
        <f t="shared" si="228"/>
        <v>1</v>
      </c>
      <c r="N1356" s="674"/>
      <c r="O1356" s="24">
        <f t="shared" si="229"/>
        <v>1</v>
      </c>
      <c r="P1356" s="674"/>
      <c r="Q1356" s="24">
        <f t="shared" si="230"/>
        <v>0</v>
      </c>
      <c r="R1356" s="670">
        <f t="shared" si="231"/>
        <v>0</v>
      </c>
      <c r="S1356" s="322">
        <f t="shared" si="232"/>
        <v>0</v>
      </c>
    </row>
    <row r="1357" spans="1:19">
      <c r="A1357" s="155"/>
      <c r="B1357" s="57"/>
      <c r="C1357" s="24">
        <f t="shared" si="223"/>
        <v>1</v>
      </c>
      <c r="D1357" s="674"/>
      <c r="E1357" s="24">
        <f t="shared" si="224"/>
        <v>1</v>
      </c>
      <c r="F1357" s="674"/>
      <c r="G1357" s="24">
        <f t="shared" si="225"/>
        <v>1</v>
      </c>
      <c r="H1357" s="674"/>
      <c r="I1357" s="24">
        <f t="shared" si="226"/>
        <v>1</v>
      </c>
      <c r="J1357" s="674"/>
      <c r="K1357" s="24">
        <f t="shared" si="227"/>
        <v>1</v>
      </c>
      <c r="L1357" s="674"/>
      <c r="M1357" s="24">
        <f t="shared" si="228"/>
        <v>1</v>
      </c>
      <c r="N1357" s="674"/>
      <c r="O1357" s="24">
        <f t="shared" si="229"/>
        <v>1</v>
      </c>
      <c r="P1357" s="674"/>
      <c r="Q1357" s="24">
        <f t="shared" si="230"/>
        <v>0</v>
      </c>
      <c r="R1357" s="670">
        <f t="shared" si="231"/>
        <v>0</v>
      </c>
      <c r="S1357" s="322">
        <f t="shared" si="232"/>
        <v>0</v>
      </c>
    </row>
    <row r="1358" spans="1:19">
      <c r="A1358" s="155"/>
      <c r="B1358" s="57"/>
      <c r="C1358" s="24">
        <f t="shared" ref="C1358:C1421" si="233">IF(B1358="",1,(LOOKUP(B1358,$3:$3,$4:$4)-LOOKUP($B$24,$3:$3,$4:$4)+100)/100)</f>
        <v>1</v>
      </c>
      <c r="D1358" s="674"/>
      <c r="E1358" s="24">
        <f t="shared" ref="E1358:E1421" si="234">(SUMIF($5:$5,D1358,$6:$6)-SUMIF($5:$5,$D$24,$6:$6)+100)/100</f>
        <v>1</v>
      </c>
      <c r="F1358" s="674"/>
      <c r="G1358" s="24">
        <f t="shared" ref="G1358:G1421" si="235">(SUMIF($7:$7,F1358,$8:$8)-SUMIF($7:$7,$F$24,$8:$8)+100)/100</f>
        <v>1</v>
      </c>
      <c r="H1358" s="674"/>
      <c r="I1358" s="24">
        <f t="shared" ref="I1358:I1421" si="236">(SUMIF($9:$9,H1358,$10:$10)-SUMIF($9:$9,$H$24,$10:$10)+100)/100</f>
        <v>1</v>
      </c>
      <c r="J1358" s="674"/>
      <c r="K1358" s="24">
        <f t="shared" ref="K1358:K1421" si="237">(SUMIF($11:$11,J1358,$12:$12)-SUMIF($11:$11,$J$24,$12:$12)+100)/100</f>
        <v>1</v>
      </c>
      <c r="L1358" s="674"/>
      <c r="M1358" s="24">
        <f t="shared" ref="M1358:M1421" si="238">(SUMIF($13:$13,L1358,$14:$14)-SUMIF($13:$13,$L$24,$14:$14)+100)/100</f>
        <v>1</v>
      </c>
      <c r="N1358" s="674"/>
      <c r="O1358" s="24">
        <f t="shared" ref="O1358:O1421" si="239">(SUMIF($15:$15,N1358,$16:$16)-SUMIF($15:$15,$N$24,$16:$16)+100)/100</f>
        <v>1</v>
      </c>
      <c r="P1358" s="674"/>
      <c r="Q1358" s="24">
        <f t="shared" ref="Q1358:Q1421" si="240">(SUMIF($17:$17,P1358,$18:$18)-SUMIF($17:$17,$P$24,$18:$18)+100)/100</f>
        <v>0</v>
      </c>
      <c r="R1358" s="670">
        <f t="shared" ref="R1358:R1421" si="241">IF(B1358="",0,ROUND($R$24*C1358*E1358*G1358*I1358*K1358*M1358*O1358*Q1358,0))</f>
        <v>0</v>
      </c>
      <c r="S1358" s="322">
        <f t="shared" ref="S1358:S1421" si="242">ROUND(R1358*B1358/10000,0)</f>
        <v>0</v>
      </c>
    </row>
    <row r="1359" spans="1:19">
      <c r="A1359" s="155"/>
      <c r="B1359" s="57"/>
      <c r="C1359" s="24">
        <f t="shared" si="233"/>
        <v>1</v>
      </c>
      <c r="D1359" s="674"/>
      <c r="E1359" s="24">
        <f t="shared" si="234"/>
        <v>1</v>
      </c>
      <c r="F1359" s="674"/>
      <c r="G1359" s="24">
        <f t="shared" si="235"/>
        <v>1</v>
      </c>
      <c r="H1359" s="674"/>
      <c r="I1359" s="24">
        <f t="shared" si="236"/>
        <v>1</v>
      </c>
      <c r="J1359" s="674"/>
      <c r="K1359" s="24">
        <f t="shared" si="237"/>
        <v>1</v>
      </c>
      <c r="L1359" s="674"/>
      <c r="M1359" s="24">
        <f t="shared" si="238"/>
        <v>1</v>
      </c>
      <c r="N1359" s="674"/>
      <c r="O1359" s="24">
        <f t="shared" si="239"/>
        <v>1</v>
      </c>
      <c r="P1359" s="674"/>
      <c r="Q1359" s="24">
        <f t="shared" si="240"/>
        <v>0</v>
      </c>
      <c r="R1359" s="670">
        <f t="shared" si="241"/>
        <v>0</v>
      </c>
      <c r="S1359" s="322">
        <f t="shared" si="242"/>
        <v>0</v>
      </c>
    </row>
    <row r="1360" spans="1:19">
      <c r="A1360" s="155"/>
      <c r="B1360" s="57"/>
      <c r="C1360" s="24">
        <f t="shared" si="233"/>
        <v>1</v>
      </c>
      <c r="D1360" s="674"/>
      <c r="E1360" s="24">
        <f t="shared" si="234"/>
        <v>1</v>
      </c>
      <c r="F1360" s="674"/>
      <c r="G1360" s="24">
        <f t="shared" si="235"/>
        <v>1</v>
      </c>
      <c r="H1360" s="674"/>
      <c r="I1360" s="24">
        <f t="shared" si="236"/>
        <v>1</v>
      </c>
      <c r="J1360" s="674"/>
      <c r="K1360" s="24">
        <f t="shared" si="237"/>
        <v>1</v>
      </c>
      <c r="L1360" s="674"/>
      <c r="M1360" s="24">
        <f t="shared" si="238"/>
        <v>1</v>
      </c>
      <c r="N1360" s="674"/>
      <c r="O1360" s="24">
        <f t="shared" si="239"/>
        <v>1</v>
      </c>
      <c r="P1360" s="674"/>
      <c r="Q1360" s="24">
        <f t="shared" si="240"/>
        <v>0</v>
      </c>
      <c r="R1360" s="670">
        <f t="shared" si="241"/>
        <v>0</v>
      </c>
      <c r="S1360" s="322">
        <f t="shared" si="242"/>
        <v>0</v>
      </c>
    </row>
    <row r="1361" spans="1:19">
      <c r="A1361" s="155"/>
      <c r="B1361" s="57"/>
      <c r="C1361" s="24">
        <f t="shared" si="233"/>
        <v>1</v>
      </c>
      <c r="D1361" s="674"/>
      <c r="E1361" s="24">
        <f t="shared" si="234"/>
        <v>1</v>
      </c>
      <c r="F1361" s="674"/>
      <c r="G1361" s="24">
        <f t="shared" si="235"/>
        <v>1</v>
      </c>
      <c r="H1361" s="674"/>
      <c r="I1361" s="24">
        <f t="shared" si="236"/>
        <v>1</v>
      </c>
      <c r="J1361" s="674"/>
      <c r="K1361" s="24">
        <f t="shared" si="237"/>
        <v>1</v>
      </c>
      <c r="L1361" s="674"/>
      <c r="M1361" s="24">
        <f t="shared" si="238"/>
        <v>1</v>
      </c>
      <c r="N1361" s="674"/>
      <c r="O1361" s="24">
        <f t="shared" si="239"/>
        <v>1</v>
      </c>
      <c r="P1361" s="674"/>
      <c r="Q1361" s="24">
        <f t="shared" si="240"/>
        <v>0</v>
      </c>
      <c r="R1361" s="670">
        <f t="shared" si="241"/>
        <v>0</v>
      </c>
      <c r="S1361" s="322">
        <f t="shared" si="242"/>
        <v>0</v>
      </c>
    </row>
    <row r="1362" spans="1:19">
      <c r="A1362" s="155"/>
      <c r="B1362" s="57"/>
      <c r="C1362" s="24">
        <f t="shared" si="233"/>
        <v>1</v>
      </c>
      <c r="D1362" s="674"/>
      <c r="E1362" s="24">
        <f t="shared" si="234"/>
        <v>1</v>
      </c>
      <c r="F1362" s="674"/>
      <c r="G1362" s="24">
        <f t="shared" si="235"/>
        <v>1</v>
      </c>
      <c r="H1362" s="674"/>
      <c r="I1362" s="24">
        <f t="shared" si="236"/>
        <v>1</v>
      </c>
      <c r="J1362" s="674"/>
      <c r="K1362" s="24">
        <f t="shared" si="237"/>
        <v>1</v>
      </c>
      <c r="L1362" s="674"/>
      <c r="M1362" s="24">
        <f t="shared" si="238"/>
        <v>1</v>
      </c>
      <c r="N1362" s="674"/>
      <c r="O1362" s="24">
        <f t="shared" si="239"/>
        <v>1</v>
      </c>
      <c r="P1362" s="674"/>
      <c r="Q1362" s="24">
        <f t="shared" si="240"/>
        <v>0</v>
      </c>
      <c r="R1362" s="670">
        <f t="shared" si="241"/>
        <v>0</v>
      </c>
      <c r="S1362" s="322">
        <f t="shared" si="242"/>
        <v>0</v>
      </c>
    </row>
    <row r="1363" spans="1:19">
      <c r="A1363" s="155"/>
      <c r="B1363" s="57"/>
      <c r="C1363" s="24">
        <f t="shared" si="233"/>
        <v>1</v>
      </c>
      <c r="D1363" s="674"/>
      <c r="E1363" s="24">
        <f t="shared" si="234"/>
        <v>1</v>
      </c>
      <c r="F1363" s="674"/>
      <c r="G1363" s="24">
        <f t="shared" si="235"/>
        <v>1</v>
      </c>
      <c r="H1363" s="674"/>
      <c r="I1363" s="24">
        <f t="shared" si="236"/>
        <v>1</v>
      </c>
      <c r="J1363" s="674"/>
      <c r="K1363" s="24">
        <f t="shared" si="237"/>
        <v>1</v>
      </c>
      <c r="L1363" s="674"/>
      <c r="M1363" s="24">
        <f t="shared" si="238"/>
        <v>1</v>
      </c>
      <c r="N1363" s="674"/>
      <c r="O1363" s="24">
        <f t="shared" si="239"/>
        <v>1</v>
      </c>
      <c r="P1363" s="674"/>
      <c r="Q1363" s="24">
        <f t="shared" si="240"/>
        <v>0</v>
      </c>
      <c r="R1363" s="670">
        <f t="shared" si="241"/>
        <v>0</v>
      </c>
      <c r="S1363" s="322">
        <f t="shared" si="242"/>
        <v>0</v>
      </c>
    </row>
    <row r="1364" spans="1:19">
      <c r="A1364" s="155"/>
      <c r="B1364" s="57"/>
      <c r="C1364" s="24">
        <f t="shared" si="233"/>
        <v>1</v>
      </c>
      <c r="D1364" s="674"/>
      <c r="E1364" s="24">
        <f t="shared" si="234"/>
        <v>1</v>
      </c>
      <c r="F1364" s="674"/>
      <c r="G1364" s="24">
        <f t="shared" si="235"/>
        <v>1</v>
      </c>
      <c r="H1364" s="674"/>
      <c r="I1364" s="24">
        <f t="shared" si="236"/>
        <v>1</v>
      </c>
      <c r="J1364" s="674"/>
      <c r="K1364" s="24">
        <f t="shared" si="237"/>
        <v>1</v>
      </c>
      <c r="L1364" s="674"/>
      <c r="M1364" s="24">
        <f t="shared" si="238"/>
        <v>1</v>
      </c>
      <c r="N1364" s="674"/>
      <c r="O1364" s="24">
        <f t="shared" si="239"/>
        <v>1</v>
      </c>
      <c r="P1364" s="674"/>
      <c r="Q1364" s="24">
        <f t="shared" si="240"/>
        <v>0</v>
      </c>
      <c r="R1364" s="670">
        <f t="shared" si="241"/>
        <v>0</v>
      </c>
      <c r="S1364" s="322">
        <f t="shared" si="242"/>
        <v>0</v>
      </c>
    </row>
    <row r="1365" spans="1:19">
      <c r="A1365" s="155"/>
      <c r="B1365" s="57"/>
      <c r="C1365" s="24">
        <f t="shared" si="233"/>
        <v>1</v>
      </c>
      <c r="D1365" s="674"/>
      <c r="E1365" s="24">
        <f t="shared" si="234"/>
        <v>1</v>
      </c>
      <c r="F1365" s="674"/>
      <c r="G1365" s="24">
        <f t="shared" si="235"/>
        <v>1</v>
      </c>
      <c r="H1365" s="674"/>
      <c r="I1365" s="24">
        <f t="shared" si="236"/>
        <v>1</v>
      </c>
      <c r="J1365" s="674"/>
      <c r="K1365" s="24">
        <f t="shared" si="237"/>
        <v>1</v>
      </c>
      <c r="L1365" s="674"/>
      <c r="M1365" s="24">
        <f t="shared" si="238"/>
        <v>1</v>
      </c>
      <c r="N1365" s="674"/>
      <c r="O1365" s="24">
        <f t="shared" si="239"/>
        <v>1</v>
      </c>
      <c r="P1365" s="674"/>
      <c r="Q1365" s="24">
        <f t="shared" si="240"/>
        <v>0</v>
      </c>
      <c r="R1365" s="670">
        <f t="shared" si="241"/>
        <v>0</v>
      </c>
      <c r="S1365" s="322">
        <f t="shared" si="242"/>
        <v>0</v>
      </c>
    </row>
    <row r="1366" spans="1:19">
      <c r="A1366" s="155"/>
      <c r="B1366" s="57"/>
      <c r="C1366" s="24">
        <f t="shared" si="233"/>
        <v>1</v>
      </c>
      <c r="D1366" s="674"/>
      <c r="E1366" s="24">
        <f t="shared" si="234"/>
        <v>1</v>
      </c>
      <c r="F1366" s="674"/>
      <c r="G1366" s="24">
        <f t="shared" si="235"/>
        <v>1</v>
      </c>
      <c r="H1366" s="674"/>
      <c r="I1366" s="24">
        <f t="shared" si="236"/>
        <v>1</v>
      </c>
      <c r="J1366" s="674"/>
      <c r="K1366" s="24">
        <f t="shared" si="237"/>
        <v>1</v>
      </c>
      <c r="L1366" s="674"/>
      <c r="M1366" s="24">
        <f t="shared" si="238"/>
        <v>1</v>
      </c>
      <c r="N1366" s="674"/>
      <c r="O1366" s="24">
        <f t="shared" si="239"/>
        <v>1</v>
      </c>
      <c r="P1366" s="674"/>
      <c r="Q1366" s="24">
        <f t="shared" si="240"/>
        <v>0</v>
      </c>
      <c r="R1366" s="670">
        <f t="shared" si="241"/>
        <v>0</v>
      </c>
      <c r="S1366" s="322">
        <f t="shared" si="242"/>
        <v>0</v>
      </c>
    </row>
    <row r="1367" spans="1:19">
      <c r="A1367" s="155"/>
      <c r="B1367" s="57"/>
      <c r="C1367" s="24">
        <f t="shared" si="233"/>
        <v>1</v>
      </c>
      <c r="D1367" s="674"/>
      <c r="E1367" s="24">
        <f t="shared" si="234"/>
        <v>1</v>
      </c>
      <c r="F1367" s="674"/>
      <c r="G1367" s="24">
        <f t="shared" si="235"/>
        <v>1</v>
      </c>
      <c r="H1367" s="674"/>
      <c r="I1367" s="24">
        <f t="shared" si="236"/>
        <v>1</v>
      </c>
      <c r="J1367" s="674"/>
      <c r="K1367" s="24">
        <f t="shared" si="237"/>
        <v>1</v>
      </c>
      <c r="L1367" s="674"/>
      <c r="M1367" s="24">
        <f t="shared" si="238"/>
        <v>1</v>
      </c>
      <c r="N1367" s="674"/>
      <c r="O1367" s="24">
        <f t="shared" si="239"/>
        <v>1</v>
      </c>
      <c r="P1367" s="674"/>
      <c r="Q1367" s="24">
        <f t="shared" si="240"/>
        <v>0</v>
      </c>
      <c r="R1367" s="670">
        <f t="shared" si="241"/>
        <v>0</v>
      </c>
      <c r="S1367" s="322">
        <f t="shared" si="242"/>
        <v>0</v>
      </c>
    </row>
    <row r="1368" spans="1:19">
      <c r="A1368" s="155"/>
      <c r="B1368" s="57"/>
      <c r="C1368" s="24">
        <f t="shared" si="233"/>
        <v>1</v>
      </c>
      <c r="D1368" s="674"/>
      <c r="E1368" s="24">
        <f t="shared" si="234"/>
        <v>1</v>
      </c>
      <c r="F1368" s="674"/>
      <c r="G1368" s="24">
        <f t="shared" si="235"/>
        <v>1</v>
      </c>
      <c r="H1368" s="674"/>
      <c r="I1368" s="24">
        <f t="shared" si="236"/>
        <v>1</v>
      </c>
      <c r="J1368" s="674"/>
      <c r="K1368" s="24">
        <f t="shared" si="237"/>
        <v>1</v>
      </c>
      <c r="L1368" s="674"/>
      <c r="M1368" s="24">
        <f t="shared" si="238"/>
        <v>1</v>
      </c>
      <c r="N1368" s="674"/>
      <c r="O1368" s="24">
        <f t="shared" si="239"/>
        <v>1</v>
      </c>
      <c r="P1368" s="674"/>
      <c r="Q1368" s="24">
        <f t="shared" si="240"/>
        <v>0</v>
      </c>
      <c r="R1368" s="670">
        <f t="shared" si="241"/>
        <v>0</v>
      </c>
      <c r="S1368" s="322">
        <f t="shared" si="242"/>
        <v>0</v>
      </c>
    </row>
    <row r="1369" spans="1:19">
      <c r="A1369" s="155"/>
      <c r="B1369" s="57"/>
      <c r="C1369" s="24">
        <f t="shared" si="233"/>
        <v>1</v>
      </c>
      <c r="D1369" s="674"/>
      <c r="E1369" s="24">
        <f t="shared" si="234"/>
        <v>1</v>
      </c>
      <c r="F1369" s="674"/>
      <c r="G1369" s="24">
        <f t="shared" si="235"/>
        <v>1</v>
      </c>
      <c r="H1369" s="674"/>
      <c r="I1369" s="24">
        <f t="shared" si="236"/>
        <v>1</v>
      </c>
      <c r="J1369" s="674"/>
      <c r="K1369" s="24">
        <f t="shared" si="237"/>
        <v>1</v>
      </c>
      <c r="L1369" s="674"/>
      <c r="M1369" s="24">
        <f t="shared" si="238"/>
        <v>1</v>
      </c>
      <c r="N1369" s="674"/>
      <c r="O1369" s="24">
        <f t="shared" si="239"/>
        <v>1</v>
      </c>
      <c r="P1369" s="674"/>
      <c r="Q1369" s="24">
        <f t="shared" si="240"/>
        <v>0</v>
      </c>
      <c r="R1369" s="670">
        <f t="shared" si="241"/>
        <v>0</v>
      </c>
      <c r="S1369" s="322">
        <f t="shared" si="242"/>
        <v>0</v>
      </c>
    </row>
    <row r="1370" spans="1:19">
      <c r="A1370" s="155"/>
      <c r="B1370" s="57"/>
      <c r="C1370" s="24">
        <f t="shared" si="233"/>
        <v>1</v>
      </c>
      <c r="D1370" s="674"/>
      <c r="E1370" s="24">
        <f t="shared" si="234"/>
        <v>1</v>
      </c>
      <c r="F1370" s="674"/>
      <c r="G1370" s="24">
        <f t="shared" si="235"/>
        <v>1</v>
      </c>
      <c r="H1370" s="674"/>
      <c r="I1370" s="24">
        <f t="shared" si="236"/>
        <v>1</v>
      </c>
      <c r="J1370" s="674"/>
      <c r="K1370" s="24">
        <f t="shared" si="237"/>
        <v>1</v>
      </c>
      <c r="L1370" s="674"/>
      <c r="M1370" s="24">
        <f t="shared" si="238"/>
        <v>1</v>
      </c>
      <c r="N1370" s="674"/>
      <c r="O1370" s="24">
        <f t="shared" si="239"/>
        <v>1</v>
      </c>
      <c r="P1370" s="674"/>
      <c r="Q1370" s="24">
        <f t="shared" si="240"/>
        <v>0</v>
      </c>
      <c r="R1370" s="670">
        <f t="shared" si="241"/>
        <v>0</v>
      </c>
      <c r="S1370" s="322">
        <f t="shared" si="242"/>
        <v>0</v>
      </c>
    </row>
    <row r="1371" spans="1:19">
      <c r="A1371" s="155"/>
      <c r="B1371" s="57"/>
      <c r="C1371" s="24">
        <f t="shared" si="233"/>
        <v>1</v>
      </c>
      <c r="D1371" s="674"/>
      <c r="E1371" s="24">
        <f t="shared" si="234"/>
        <v>1</v>
      </c>
      <c r="F1371" s="674"/>
      <c r="G1371" s="24">
        <f t="shared" si="235"/>
        <v>1</v>
      </c>
      <c r="H1371" s="674"/>
      <c r="I1371" s="24">
        <f t="shared" si="236"/>
        <v>1</v>
      </c>
      <c r="J1371" s="674"/>
      <c r="K1371" s="24">
        <f t="shared" si="237"/>
        <v>1</v>
      </c>
      <c r="L1371" s="674"/>
      <c r="M1371" s="24">
        <f t="shared" si="238"/>
        <v>1</v>
      </c>
      <c r="N1371" s="674"/>
      <c r="O1371" s="24">
        <f t="shared" si="239"/>
        <v>1</v>
      </c>
      <c r="P1371" s="674"/>
      <c r="Q1371" s="24">
        <f t="shared" si="240"/>
        <v>0</v>
      </c>
      <c r="R1371" s="670">
        <f t="shared" si="241"/>
        <v>0</v>
      </c>
      <c r="S1371" s="322">
        <f t="shared" si="242"/>
        <v>0</v>
      </c>
    </row>
    <row r="1372" spans="1:19">
      <c r="A1372" s="155"/>
      <c r="B1372" s="57"/>
      <c r="C1372" s="24">
        <f t="shared" si="233"/>
        <v>1</v>
      </c>
      <c r="D1372" s="674"/>
      <c r="E1372" s="24">
        <f t="shared" si="234"/>
        <v>1</v>
      </c>
      <c r="F1372" s="674"/>
      <c r="G1372" s="24">
        <f t="shared" si="235"/>
        <v>1</v>
      </c>
      <c r="H1372" s="674"/>
      <c r="I1372" s="24">
        <f t="shared" si="236"/>
        <v>1</v>
      </c>
      <c r="J1372" s="674"/>
      <c r="K1372" s="24">
        <f t="shared" si="237"/>
        <v>1</v>
      </c>
      <c r="L1372" s="674"/>
      <c r="M1372" s="24">
        <f t="shared" si="238"/>
        <v>1</v>
      </c>
      <c r="N1372" s="674"/>
      <c r="O1372" s="24">
        <f t="shared" si="239"/>
        <v>1</v>
      </c>
      <c r="P1372" s="674"/>
      <c r="Q1372" s="24">
        <f t="shared" si="240"/>
        <v>0</v>
      </c>
      <c r="R1372" s="670">
        <f t="shared" si="241"/>
        <v>0</v>
      </c>
      <c r="S1372" s="322">
        <f t="shared" si="242"/>
        <v>0</v>
      </c>
    </row>
    <row r="1373" spans="1:19">
      <c r="A1373" s="155"/>
      <c r="B1373" s="57"/>
      <c r="C1373" s="24">
        <f t="shared" si="233"/>
        <v>1</v>
      </c>
      <c r="D1373" s="674"/>
      <c r="E1373" s="24">
        <f t="shared" si="234"/>
        <v>1</v>
      </c>
      <c r="F1373" s="674"/>
      <c r="G1373" s="24">
        <f t="shared" si="235"/>
        <v>1</v>
      </c>
      <c r="H1373" s="674"/>
      <c r="I1373" s="24">
        <f t="shared" si="236"/>
        <v>1</v>
      </c>
      <c r="J1373" s="674"/>
      <c r="K1373" s="24">
        <f t="shared" si="237"/>
        <v>1</v>
      </c>
      <c r="L1373" s="674"/>
      <c r="M1373" s="24">
        <f t="shared" si="238"/>
        <v>1</v>
      </c>
      <c r="N1373" s="674"/>
      <c r="O1373" s="24">
        <f t="shared" si="239"/>
        <v>1</v>
      </c>
      <c r="P1373" s="674"/>
      <c r="Q1373" s="24">
        <f t="shared" si="240"/>
        <v>0</v>
      </c>
      <c r="R1373" s="670">
        <f t="shared" si="241"/>
        <v>0</v>
      </c>
      <c r="S1373" s="322">
        <f t="shared" si="242"/>
        <v>0</v>
      </c>
    </row>
    <row r="1374" spans="1:19">
      <c r="A1374" s="155"/>
      <c r="B1374" s="57"/>
      <c r="C1374" s="24">
        <f t="shared" si="233"/>
        <v>1</v>
      </c>
      <c r="D1374" s="674"/>
      <c r="E1374" s="24">
        <f t="shared" si="234"/>
        <v>1</v>
      </c>
      <c r="F1374" s="674"/>
      <c r="G1374" s="24">
        <f t="shared" si="235"/>
        <v>1</v>
      </c>
      <c r="H1374" s="674"/>
      <c r="I1374" s="24">
        <f t="shared" si="236"/>
        <v>1</v>
      </c>
      <c r="J1374" s="674"/>
      <c r="K1374" s="24">
        <f t="shared" si="237"/>
        <v>1</v>
      </c>
      <c r="L1374" s="674"/>
      <c r="M1374" s="24">
        <f t="shared" si="238"/>
        <v>1</v>
      </c>
      <c r="N1374" s="674"/>
      <c r="O1374" s="24">
        <f t="shared" si="239"/>
        <v>1</v>
      </c>
      <c r="P1374" s="674"/>
      <c r="Q1374" s="24">
        <f t="shared" si="240"/>
        <v>0</v>
      </c>
      <c r="R1374" s="670">
        <f t="shared" si="241"/>
        <v>0</v>
      </c>
      <c r="S1374" s="322">
        <f t="shared" si="242"/>
        <v>0</v>
      </c>
    </row>
    <row r="1375" spans="1:19">
      <c r="A1375" s="155"/>
      <c r="B1375" s="57"/>
      <c r="C1375" s="24">
        <f t="shared" si="233"/>
        <v>1</v>
      </c>
      <c r="D1375" s="674"/>
      <c r="E1375" s="24">
        <f t="shared" si="234"/>
        <v>1</v>
      </c>
      <c r="F1375" s="674"/>
      <c r="G1375" s="24">
        <f t="shared" si="235"/>
        <v>1</v>
      </c>
      <c r="H1375" s="674"/>
      <c r="I1375" s="24">
        <f t="shared" si="236"/>
        <v>1</v>
      </c>
      <c r="J1375" s="674"/>
      <c r="K1375" s="24">
        <f t="shared" si="237"/>
        <v>1</v>
      </c>
      <c r="L1375" s="674"/>
      <c r="M1375" s="24">
        <f t="shared" si="238"/>
        <v>1</v>
      </c>
      <c r="N1375" s="674"/>
      <c r="O1375" s="24">
        <f t="shared" si="239"/>
        <v>1</v>
      </c>
      <c r="P1375" s="674"/>
      <c r="Q1375" s="24">
        <f t="shared" si="240"/>
        <v>0</v>
      </c>
      <c r="R1375" s="670">
        <f t="shared" si="241"/>
        <v>0</v>
      </c>
      <c r="S1375" s="322">
        <f t="shared" si="242"/>
        <v>0</v>
      </c>
    </row>
    <row r="1376" spans="1:19">
      <c r="A1376" s="155"/>
      <c r="B1376" s="57"/>
      <c r="C1376" s="24">
        <f t="shared" si="233"/>
        <v>1</v>
      </c>
      <c r="D1376" s="674"/>
      <c r="E1376" s="24">
        <f t="shared" si="234"/>
        <v>1</v>
      </c>
      <c r="F1376" s="674"/>
      <c r="G1376" s="24">
        <f t="shared" si="235"/>
        <v>1</v>
      </c>
      <c r="H1376" s="674"/>
      <c r="I1376" s="24">
        <f t="shared" si="236"/>
        <v>1</v>
      </c>
      <c r="J1376" s="674"/>
      <c r="K1376" s="24">
        <f t="shared" si="237"/>
        <v>1</v>
      </c>
      <c r="L1376" s="674"/>
      <c r="M1376" s="24">
        <f t="shared" si="238"/>
        <v>1</v>
      </c>
      <c r="N1376" s="674"/>
      <c r="O1376" s="24">
        <f t="shared" si="239"/>
        <v>1</v>
      </c>
      <c r="P1376" s="674"/>
      <c r="Q1376" s="24">
        <f t="shared" si="240"/>
        <v>0</v>
      </c>
      <c r="R1376" s="670">
        <f t="shared" si="241"/>
        <v>0</v>
      </c>
      <c r="S1376" s="322">
        <f t="shared" si="242"/>
        <v>0</v>
      </c>
    </row>
    <row r="1377" spans="1:19">
      <c r="A1377" s="155"/>
      <c r="B1377" s="57"/>
      <c r="C1377" s="24">
        <f t="shared" si="233"/>
        <v>1</v>
      </c>
      <c r="D1377" s="674"/>
      <c r="E1377" s="24">
        <f t="shared" si="234"/>
        <v>1</v>
      </c>
      <c r="F1377" s="674"/>
      <c r="G1377" s="24">
        <f t="shared" si="235"/>
        <v>1</v>
      </c>
      <c r="H1377" s="674"/>
      <c r="I1377" s="24">
        <f t="shared" si="236"/>
        <v>1</v>
      </c>
      <c r="J1377" s="674"/>
      <c r="K1377" s="24">
        <f t="shared" si="237"/>
        <v>1</v>
      </c>
      <c r="L1377" s="674"/>
      <c r="M1377" s="24">
        <f t="shared" si="238"/>
        <v>1</v>
      </c>
      <c r="N1377" s="674"/>
      <c r="O1377" s="24">
        <f t="shared" si="239"/>
        <v>1</v>
      </c>
      <c r="P1377" s="674"/>
      <c r="Q1377" s="24">
        <f t="shared" si="240"/>
        <v>0</v>
      </c>
      <c r="R1377" s="670">
        <f t="shared" si="241"/>
        <v>0</v>
      </c>
      <c r="S1377" s="322">
        <f t="shared" si="242"/>
        <v>0</v>
      </c>
    </row>
    <row r="1378" spans="1:19">
      <c r="A1378" s="155"/>
      <c r="B1378" s="57"/>
      <c r="C1378" s="24">
        <f t="shared" si="233"/>
        <v>1</v>
      </c>
      <c r="D1378" s="674"/>
      <c r="E1378" s="24">
        <f t="shared" si="234"/>
        <v>1</v>
      </c>
      <c r="F1378" s="674"/>
      <c r="G1378" s="24">
        <f t="shared" si="235"/>
        <v>1</v>
      </c>
      <c r="H1378" s="674"/>
      <c r="I1378" s="24">
        <f t="shared" si="236"/>
        <v>1</v>
      </c>
      <c r="J1378" s="674"/>
      <c r="K1378" s="24">
        <f t="shared" si="237"/>
        <v>1</v>
      </c>
      <c r="L1378" s="674"/>
      <c r="M1378" s="24">
        <f t="shared" si="238"/>
        <v>1</v>
      </c>
      <c r="N1378" s="674"/>
      <c r="O1378" s="24">
        <f t="shared" si="239"/>
        <v>1</v>
      </c>
      <c r="P1378" s="674"/>
      <c r="Q1378" s="24">
        <f t="shared" si="240"/>
        <v>0</v>
      </c>
      <c r="R1378" s="670">
        <f t="shared" si="241"/>
        <v>0</v>
      </c>
      <c r="S1378" s="322">
        <f t="shared" si="242"/>
        <v>0</v>
      </c>
    </row>
    <row r="1379" spans="1:19">
      <c r="A1379" s="155"/>
      <c r="B1379" s="57"/>
      <c r="C1379" s="24">
        <f t="shared" si="233"/>
        <v>1</v>
      </c>
      <c r="D1379" s="674"/>
      <c r="E1379" s="24">
        <f t="shared" si="234"/>
        <v>1</v>
      </c>
      <c r="F1379" s="674"/>
      <c r="G1379" s="24">
        <f t="shared" si="235"/>
        <v>1</v>
      </c>
      <c r="H1379" s="674"/>
      <c r="I1379" s="24">
        <f t="shared" si="236"/>
        <v>1</v>
      </c>
      <c r="J1379" s="674"/>
      <c r="K1379" s="24">
        <f t="shared" si="237"/>
        <v>1</v>
      </c>
      <c r="L1379" s="674"/>
      <c r="M1379" s="24">
        <f t="shared" si="238"/>
        <v>1</v>
      </c>
      <c r="N1379" s="674"/>
      <c r="O1379" s="24">
        <f t="shared" si="239"/>
        <v>1</v>
      </c>
      <c r="P1379" s="674"/>
      <c r="Q1379" s="24">
        <f t="shared" si="240"/>
        <v>0</v>
      </c>
      <c r="R1379" s="670">
        <f t="shared" si="241"/>
        <v>0</v>
      </c>
      <c r="S1379" s="322">
        <f t="shared" si="242"/>
        <v>0</v>
      </c>
    </row>
    <row r="1380" spans="1:19">
      <c r="A1380" s="155"/>
      <c r="B1380" s="57"/>
      <c r="C1380" s="24">
        <f t="shared" si="233"/>
        <v>1</v>
      </c>
      <c r="D1380" s="674"/>
      <c r="E1380" s="24">
        <f t="shared" si="234"/>
        <v>1</v>
      </c>
      <c r="F1380" s="674"/>
      <c r="G1380" s="24">
        <f t="shared" si="235"/>
        <v>1</v>
      </c>
      <c r="H1380" s="674"/>
      <c r="I1380" s="24">
        <f t="shared" si="236"/>
        <v>1</v>
      </c>
      <c r="J1380" s="674"/>
      <c r="K1380" s="24">
        <f t="shared" si="237"/>
        <v>1</v>
      </c>
      <c r="L1380" s="674"/>
      <c r="M1380" s="24">
        <f t="shared" si="238"/>
        <v>1</v>
      </c>
      <c r="N1380" s="674"/>
      <c r="O1380" s="24">
        <f t="shared" si="239"/>
        <v>1</v>
      </c>
      <c r="P1380" s="674"/>
      <c r="Q1380" s="24">
        <f t="shared" si="240"/>
        <v>0</v>
      </c>
      <c r="R1380" s="670">
        <f t="shared" si="241"/>
        <v>0</v>
      </c>
      <c r="S1380" s="322">
        <f t="shared" si="242"/>
        <v>0</v>
      </c>
    </row>
    <row r="1381" spans="1:19">
      <c r="A1381" s="155"/>
      <c r="B1381" s="57"/>
      <c r="C1381" s="24">
        <f t="shared" si="233"/>
        <v>1</v>
      </c>
      <c r="D1381" s="674"/>
      <c r="E1381" s="24">
        <f t="shared" si="234"/>
        <v>1</v>
      </c>
      <c r="F1381" s="674"/>
      <c r="G1381" s="24">
        <f t="shared" si="235"/>
        <v>1</v>
      </c>
      <c r="H1381" s="674"/>
      <c r="I1381" s="24">
        <f t="shared" si="236"/>
        <v>1</v>
      </c>
      <c r="J1381" s="674"/>
      <c r="K1381" s="24">
        <f t="shared" si="237"/>
        <v>1</v>
      </c>
      <c r="L1381" s="674"/>
      <c r="M1381" s="24">
        <f t="shared" si="238"/>
        <v>1</v>
      </c>
      <c r="N1381" s="674"/>
      <c r="O1381" s="24">
        <f t="shared" si="239"/>
        <v>1</v>
      </c>
      <c r="P1381" s="674"/>
      <c r="Q1381" s="24">
        <f t="shared" si="240"/>
        <v>0</v>
      </c>
      <c r="R1381" s="670">
        <f t="shared" si="241"/>
        <v>0</v>
      </c>
      <c r="S1381" s="322">
        <f t="shared" si="242"/>
        <v>0</v>
      </c>
    </row>
    <row r="1382" spans="1:19">
      <c r="A1382" s="155"/>
      <c r="B1382" s="57"/>
      <c r="C1382" s="24">
        <f t="shared" si="233"/>
        <v>1</v>
      </c>
      <c r="D1382" s="674"/>
      <c r="E1382" s="24">
        <f t="shared" si="234"/>
        <v>1</v>
      </c>
      <c r="F1382" s="674"/>
      <c r="G1382" s="24">
        <f t="shared" si="235"/>
        <v>1</v>
      </c>
      <c r="H1382" s="674"/>
      <c r="I1382" s="24">
        <f t="shared" si="236"/>
        <v>1</v>
      </c>
      <c r="J1382" s="674"/>
      <c r="K1382" s="24">
        <f t="shared" si="237"/>
        <v>1</v>
      </c>
      <c r="L1382" s="674"/>
      <c r="M1382" s="24">
        <f t="shared" si="238"/>
        <v>1</v>
      </c>
      <c r="N1382" s="674"/>
      <c r="O1382" s="24">
        <f t="shared" si="239"/>
        <v>1</v>
      </c>
      <c r="P1382" s="674"/>
      <c r="Q1382" s="24">
        <f t="shared" si="240"/>
        <v>0</v>
      </c>
      <c r="R1382" s="670">
        <f t="shared" si="241"/>
        <v>0</v>
      </c>
      <c r="S1382" s="322">
        <f t="shared" si="242"/>
        <v>0</v>
      </c>
    </row>
    <row r="1383" spans="1:19">
      <c r="A1383" s="155"/>
      <c r="B1383" s="57"/>
      <c r="C1383" s="24">
        <f t="shared" si="233"/>
        <v>1</v>
      </c>
      <c r="D1383" s="674"/>
      <c r="E1383" s="24">
        <f t="shared" si="234"/>
        <v>1</v>
      </c>
      <c r="F1383" s="674"/>
      <c r="G1383" s="24">
        <f t="shared" si="235"/>
        <v>1</v>
      </c>
      <c r="H1383" s="674"/>
      <c r="I1383" s="24">
        <f t="shared" si="236"/>
        <v>1</v>
      </c>
      <c r="J1383" s="674"/>
      <c r="K1383" s="24">
        <f t="shared" si="237"/>
        <v>1</v>
      </c>
      <c r="L1383" s="674"/>
      <c r="M1383" s="24">
        <f t="shared" si="238"/>
        <v>1</v>
      </c>
      <c r="N1383" s="674"/>
      <c r="O1383" s="24">
        <f t="shared" si="239"/>
        <v>1</v>
      </c>
      <c r="P1383" s="674"/>
      <c r="Q1383" s="24">
        <f t="shared" si="240"/>
        <v>0</v>
      </c>
      <c r="R1383" s="670">
        <f t="shared" si="241"/>
        <v>0</v>
      </c>
      <c r="S1383" s="322">
        <f t="shared" si="242"/>
        <v>0</v>
      </c>
    </row>
    <row r="1384" spans="1:19">
      <c r="A1384" s="155"/>
      <c r="B1384" s="57"/>
      <c r="C1384" s="24">
        <f t="shared" si="233"/>
        <v>1</v>
      </c>
      <c r="D1384" s="674"/>
      <c r="E1384" s="24">
        <f t="shared" si="234"/>
        <v>1</v>
      </c>
      <c r="F1384" s="674"/>
      <c r="G1384" s="24">
        <f t="shared" si="235"/>
        <v>1</v>
      </c>
      <c r="H1384" s="674"/>
      <c r="I1384" s="24">
        <f t="shared" si="236"/>
        <v>1</v>
      </c>
      <c r="J1384" s="674"/>
      <c r="K1384" s="24">
        <f t="shared" si="237"/>
        <v>1</v>
      </c>
      <c r="L1384" s="674"/>
      <c r="M1384" s="24">
        <f t="shared" si="238"/>
        <v>1</v>
      </c>
      <c r="N1384" s="674"/>
      <c r="O1384" s="24">
        <f t="shared" si="239"/>
        <v>1</v>
      </c>
      <c r="P1384" s="674"/>
      <c r="Q1384" s="24">
        <f t="shared" si="240"/>
        <v>0</v>
      </c>
      <c r="R1384" s="670">
        <f t="shared" si="241"/>
        <v>0</v>
      </c>
      <c r="S1384" s="322">
        <f t="shared" si="242"/>
        <v>0</v>
      </c>
    </row>
    <row r="1385" spans="1:19">
      <c r="A1385" s="155"/>
      <c r="B1385" s="57"/>
      <c r="C1385" s="24">
        <f t="shared" si="233"/>
        <v>1</v>
      </c>
      <c r="D1385" s="674"/>
      <c r="E1385" s="24">
        <f t="shared" si="234"/>
        <v>1</v>
      </c>
      <c r="F1385" s="674"/>
      <c r="G1385" s="24">
        <f t="shared" si="235"/>
        <v>1</v>
      </c>
      <c r="H1385" s="674"/>
      <c r="I1385" s="24">
        <f t="shared" si="236"/>
        <v>1</v>
      </c>
      <c r="J1385" s="674"/>
      <c r="K1385" s="24">
        <f t="shared" si="237"/>
        <v>1</v>
      </c>
      <c r="L1385" s="674"/>
      <c r="M1385" s="24">
        <f t="shared" si="238"/>
        <v>1</v>
      </c>
      <c r="N1385" s="674"/>
      <c r="O1385" s="24">
        <f t="shared" si="239"/>
        <v>1</v>
      </c>
      <c r="P1385" s="674"/>
      <c r="Q1385" s="24">
        <f t="shared" si="240"/>
        <v>0</v>
      </c>
      <c r="R1385" s="670">
        <f t="shared" si="241"/>
        <v>0</v>
      </c>
      <c r="S1385" s="322">
        <f t="shared" si="242"/>
        <v>0</v>
      </c>
    </row>
    <row r="1386" spans="1:19">
      <c r="A1386" s="155"/>
      <c r="B1386" s="57"/>
      <c r="C1386" s="24">
        <f t="shared" si="233"/>
        <v>1</v>
      </c>
      <c r="D1386" s="674"/>
      <c r="E1386" s="24">
        <f t="shared" si="234"/>
        <v>1</v>
      </c>
      <c r="F1386" s="674"/>
      <c r="G1386" s="24">
        <f t="shared" si="235"/>
        <v>1</v>
      </c>
      <c r="H1386" s="674"/>
      <c r="I1386" s="24">
        <f t="shared" si="236"/>
        <v>1</v>
      </c>
      <c r="J1386" s="674"/>
      <c r="K1386" s="24">
        <f t="shared" si="237"/>
        <v>1</v>
      </c>
      <c r="L1386" s="674"/>
      <c r="M1386" s="24">
        <f t="shared" si="238"/>
        <v>1</v>
      </c>
      <c r="N1386" s="674"/>
      <c r="O1386" s="24">
        <f t="shared" si="239"/>
        <v>1</v>
      </c>
      <c r="P1386" s="674"/>
      <c r="Q1386" s="24">
        <f t="shared" si="240"/>
        <v>0</v>
      </c>
      <c r="R1386" s="670">
        <f t="shared" si="241"/>
        <v>0</v>
      </c>
      <c r="S1386" s="322">
        <f t="shared" si="242"/>
        <v>0</v>
      </c>
    </row>
    <row r="1387" spans="1:19">
      <c r="A1387" s="155"/>
      <c r="B1387" s="57"/>
      <c r="C1387" s="24">
        <f t="shared" si="233"/>
        <v>1</v>
      </c>
      <c r="D1387" s="674"/>
      <c r="E1387" s="24">
        <f t="shared" si="234"/>
        <v>1</v>
      </c>
      <c r="F1387" s="674"/>
      <c r="G1387" s="24">
        <f t="shared" si="235"/>
        <v>1</v>
      </c>
      <c r="H1387" s="674"/>
      <c r="I1387" s="24">
        <f t="shared" si="236"/>
        <v>1</v>
      </c>
      <c r="J1387" s="674"/>
      <c r="K1387" s="24">
        <f t="shared" si="237"/>
        <v>1</v>
      </c>
      <c r="L1387" s="674"/>
      <c r="M1387" s="24">
        <f t="shared" si="238"/>
        <v>1</v>
      </c>
      <c r="N1387" s="674"/>
      <c r="O1387" s="24">
        <f t="shared" si="239"/>
        <v>1</v>
      </c>
      <c r="P1387" s="674"/>
      <c r="Q1387" s="24">
        <f t="shared" si="240"/>
        <v>0</v>
      </c>
      <c r="R1387" s="670">
        <f t="shared" si="241"/>
        <v>0</v>
      </c>
      <c r="S1387" s="322">
        <f t="shared" si="242"/>
        <v>0</v>
      </c>
    </row>
    <row r="1388" spans="1:19">
      <c r="A1388" s="155"/>
      <c r="B1388" s="57"/>
      <c r="C1388" s="24">
        <f t="shared" si="233"/>
        <v>1</v>
      </c>
      <c r="D1388" s="674"/>
      <c r="E1388" s="24">
        <f t="shared" si="234"/>
        <v>1</v>
      </c>
      <c r="F1388" s="674"/>
      <c r="G1388" s="24">
        <f t="shared" si="235"/>
        <v>1</v>
      </c>
      <c r="H1388" s="674"/>
      <c r="I1388" s="24">
        <f t="shared" si="236"/>
        <v>1</v>
      </c>
      <c r="J1388" s="674"/>
      <c r="K1388" s="24">
        <f t="shared" si="237"/>
        <v>1</v>
      </c>
      <c r="L1388" s="674"/>
      <c r="M1388" s="24">
        <f t="shared" si="238"/>
        <v>1</v>
      </c>
      <c r="N1388" s="674"/>
      <c r="O1388" s="24">
        <f t="shared" si="239"/>
        <v>1</v>
      </c>
      <c r="P1388" s="674"/>
      <c r="Q1388" s="24">
        <f t="shared" si="240"/>
        <v>0</v>
      </c>
      <c r="R1388" s="670">
        <f t="shared" si="241"/>
        <v>0</v>
      </c>
      <c r="S1388" s="322">
        <f t="shared" si="242"/>
        <v>0</v>
      </c>
    </row>
    <row r="1389" spans="1:19">
      <c r="A1389" s="155"/>
      <c r="B1389" s="57"/>
      <c r="C1389" s="24">
        <f t="shared" si="233"/>
        <v>1</v>
      </c>
      <c r="D1389" s="674"/>
      <c r="E1389" s="24">
        <f t="shared" si="234"/>
        <v>1</v>
      </c>
      <c r="F1389" s="674"/>
      <c r="G1389" s="24">
        <f t="shared" si="235"/>
        <v>1</v>
      </c>
      <c r="H1389" s="674"/>
      <c r="I1389" s="24">
        <f t="shared" si="236"/>
        <v>1</v>
      </c>
      <c r="J1389" s="674"/>
      <c r="K1389" s="24">
        <f t="shared" si="237"/>
        <v>1</v>
      </c>
      <c r="L1389" s="674"/>
      <c r="M1389" s="24">
        <f t="shared" si="238"/>
        <v>1</v>
      </c>
      <c r="N1389" s="674"/>
      <c r="O1389" s="24">
        <f t="shared" si="239"/>
        <v>1</v>
      </c>
      <c r="P1389" s="674"/>
      <c r="Q1389" s="24">
        <f t="shared" si="240"/>
        <v>0</v>
      </c>
      <c r="R1389" s="670">
        <f t="shared" si="241"/>
        <v>0</v>
      </c>
      <c r="S1389" s="322">
        <f t="shared" si="242"/>
        <v>0</v>
      </c>
    </row>
    <row r="1390" spans="1:19">
      <c r="A1390" s="155"/>
      <c r="B1390" s="57"/>
      <c r="C1390" s="24">
        <f t="shared" si="233"/>
        <v>1</v>
      </c>
      <c r="D1390" s="674"/>
      <c r="E1390" s="24">
        <f t="shared" si="234"/>
        <v>1</v>
      </c>
      <c r="F1390" s="674"/>
      <c r="G1390" s="24">
        <f t="shared" si="235"/>
        <v>1</v>
      </c>
      <c r="H1390" s="674"/>
      <c r="I1390" s="24">
        <f t="shared" si="236"/>
        <v>1</v>
      </c>
      <c r="J1390" s="674"/>
      <c r="K1390" s="24">
        <f t="shared" si="237"/>
        <v>1</v>
      </c>
      <c r="L1390" s="674"/>
      <c r="M1390" s="24">
        <f t="shared" si="238"/>
        <v>1</v>
      </c>
      <c r="N1390" s="674"/>
      <c r="O1390" s="24">
        <f t="shared" si="239"/>
        <v>1</v>
      </c>
      <c r="P1390" s="674"/>
      <c r="Q1390" s="24">
        <f t="shared" si="240"/>
        <v>0</v>
      </c>
      <c r="R1390" s="670">
        <f t="shared" si="241"/>
        <v>0</v>
      </c>
      <c r="S1390" s="322">
        <f t="shared" si="242"/>
        <v>0</v>
      </c>
    </row>
    <row r="1391" spans="1:19">
      <c r="A1391" s="155"/>
      <c r="B1391" s="57"/>
      <c r="C1391" s="24">
        <f t="shared" si="233"/>
        <v>1</v>
      </c>
      <c r="D1391" s="674"/>
      <c r="E1391" s="24">
        <f t="shared" si="234"/>
        <v>1</v>
      </c>
      <c r="F1391" s="674"/>
      <c r="G1391" s="24">
        <f t="shared" si="235"/>
        <v>1</v>
      </c>
      <c r="H1391" s="674"/>
      <c r="I1391" s="24">
        <f t="shared" si="236"/>
        <v>1</v>
      </c>
      <c r="J1391" s="674"/>
      <c r="K1391" s="24">
        <f t="shared" si="237"/>
        <v>1</v>
      </c>
      <c r="L1391" s="674"/>
      <c r="M1391" s="24">
        <f t="shared" si="238"/>
        <v>1</v>
      </c>
      <c r="N1391" s="674"/>
      <c r="O1391" s="24">
        <f t="shared" si="239"/>
        <v>1</v>
      </c>
      <c r="P1391" s="674"/>
      <c r="Q1391" s="24">
        <f t="shared" si="240"/>
        <v>0</v>
      </c>
      <c r="R1391" s="670">
        <f t="shared" si="241"/>
        <v>0</v>
      </c>
      <c r="S1391" s="322">
        <f t="shared" si="242"/>
        <v>0</v>
      </c>
    </row>
    <row r="1392" spans="1:19">
      <c r="A1392" s="155"/>
      <c r="B1392" s="57"/>
      <c r="C1392" s="24">
        <f t="shared" si="233"/>
        <v>1</v>
      </c>
      <c r="D1392" s="674"/>
      <c r="E1392" s="24">
        <f t="shared" si="234"/>
        <v>1</v>
      </c>
      <c r="F1392" s="674"/>
      <c r="G1392" s="24">
        <f t="shared" si="235"/>
        <v>1</v>
      </c>
      <c r="H1392" s="674"/>
      <c r="I1392" s="24">
        <f t="shared" si="236"/>
        <v>1</v>
      </c>
      <c r="J1392" s="674"/>
      <c r="K1392" s="24">
        <f t="shared" si="237"/>
        <v>1</v>
      </c>
      <c r="L1392" s="674"/>
      <c r="M1392" s="24">
        <f t="shared" si="238"/>
        <v>1</v>
      </c>
      <c r="N1392" s="674"/>
      <c r="O1392" s="24">
        <f t="shared" si="239"/>
        <v>1</v>
      </c>
      <c r="P1392" s="674"/>
      <c r="Q1392" s="24">
        <f t="shared" si="240"/>
        <v>0</v>
      </c>
      <c r="R1392" s="670">
        <f t="shared" si="241"/>
        <v>0</v>
      </c>
      <c r="S1392" s="322">
        <f t="shared" si="242"/>
        <v>0</v>
      </c>
    </row>
    <row r="1393" spans="1:19">
      <c r="A1393" s="155"/>
      <c r="B1393" s="57"/>
      <c r="C1393" s="24">
        <f t="shared" si="233"/>
        <v>1</v>
      </c>
      <c r="D1393" s="674"/>
      <c r="E1393" s="24">
        <f t="shared" si="234"/>
        <v>1</v>
      </c>
      <c r="F1393" s="674"/>
      <c r="G1393" s="24">
        <f t="shared" si="235"/>
        <v>1</v>
      </c>
      <c r="H1393" s="674"/>
      <c r="I1393" s="24">
        <f t="shared" si="236"/>
        <v>1</v>
      </c>
      <c r="J1393" s="674"/>
      <c r="K1393" s="24">
        <f t="shared" si="237"/>
        <v>1</v>
      </c>
      <c r="L1393" s="674"/>
      <c r="M1393" s="24">
        <f t="shared" si="238"/>
        <v>1</v>
      </c>
      <c r="N1393" s="674"/>
      <c r="O1393" s="24">
        <f t="shared" si="239"/>
        <v>1</v>
      </c>
      <c r="P1393" s="674"/>
      <c r="Q1393" s="24">
        <f t="shared" si="240"/>
        <v>0</v>
      </c>
      <c r="R1393" s="670">
        <f t="shared" si="241"/>
        <v>0</v>
      </c>
      <c r="S1393" s="322">
        <f t="shared" si="242"/>
        <v>0</v>
      </c>
    </row>
    <row r="1394" spans="1:19">
      <c r="A1394" s="155"/>
      <c r="B1394" s="57"/>
      <c r="C1394" s="24">
        <f t="shared" si="233"/>
        <v>1</v>
      </c>
      <c r="D1394" s="674"/>
      <c r="E1394" s="24">
        <f t="shared" si="234"/>
        <v>1</v>
      </c>
      <c r="F1394" s="674"/>
      <c r="G1394" s="24">
        <f t="shared" si="235"/>
        <v>1</v>
      </c>
      <c r="H1394" s="674"/>
      <c r="I1394" s="24">
        <f t="shared" si="236"/>
        <v>1</v>
      </c>
      <c r="J1394" s="674"/>
      <c r="K1394" s="24">
        <f t="shared" si="237"/>
        <v>1</v>
      </c>
      <c r="L1394" s="674"/>
      <c r="M1394" s="24">
        <f t="shared" si="238"/>
        <v>1</v>
      </c>
      <c r="N1394" s="674"/>
      <c r="O1394" s="24">
        <f t="shared" si="239"/>
        <v>1</v>
      </c>
      <c r="P1394" s="674"/>
      <c r="Q1394" s="24">
        <f t="shared" si="240"/>
        <v>0</v>
      </c>
      <c r="R1394" s="670">
        <f t="shared" si="241"/>
        <v>0</v>
      </c>
      <c r="S1394" s="322">
        <f t="shared" si="242"/>
        <v>0</v>
      </c>
    </row>
    <row r="1395" spans="1:19">
      <c r="A1395" s="155"/>
      <c r="B1395" s="57"/>
      <c r="C1395" s="24">
        <f t="shared" si="233"/>
        <v>1</v>
      </c>
      <c r="D1395" s="674"/>
      <c r="E1395" s="24">
        <f t="shared" si="234"/>
        <v>1</v>
      </c>
      <c r="F1395" s="674"/>
      <c r="G1395" s="24">
        <f t="shared" si="235"/>
        <v>1</v>
      </c>
      <c r="H1395" s="674"/>
      <c r="I1395" s="24">
        <f t="shared" si="236"/>
        <v>1</v>
      </c>
      <c r="J1395" s="674"/>
      <c r="K1395" s="24">
        <f t="shared" si="237"/>
        <v>1</v>
      </c>
      <c r="L1395" s="674"/>
      <c r="M1395" s="24">
        <f t="shared" si="238"/>
        <v>1</v>
      </c>
      <c r="N1395" s="674"/>
      <c r="O1395" s="24">
        <f t="shared" si="239"/>
        <v>1</v>
      </c>
      <c r="P1395" s="674"/>
      <c r="Q1395" s="24">
        <f t="shared" si="240"/>
        <v>0</v>
      </c>
      <c r="R1395" s="670">
        <f t="shared" si="241"/>
        <v>0</v>
      </c>
      <c r="S1395" s="322">
        <f t="shared" si="242"/>
        <v>0</v>
      </c>
    </row>
    <row r="1396" spans="1:19">
      <c r="A1396" s="155"/>
      <c r="B1396" s="57"/>
      <c r="C1396" s="24">
        <f t="shared" si="233"/>
        <v>1</v>
      </c>
      <c r="D1396" s="674"/>
      <c r="E1396" s="24">
        <f t="shared" si="234"/>
        <v>1</v>
      </c>
      <c r="F1396" s="674"/>
      <c r="G1396" s="24">
        <f t="shared" si="235"/>
        <v>1</v>
      </c>
      <c r="H1396" s="674"/>
      <c r="I1396" s="24">
        <f t="shared" si="236"/>
        <v>1</v>
      </c>
      <c r="J1396" s="674"/>
      <c r="K1396" s="24">
        <f t="shared" si="237"/>
        <v>1</v>
      </c>
      <c r="L1396" s="674"/>
      <c r="M1396" s="24">
        <f t="shared" si="238"/>
        <v>1</v>
      </c>
      <c r="N1396" s="674"/>
      <c r="O1396" s="24">
        <f t="shared" si="239"/>
        <v>1</v>
      </c>
      <c r="P1396" s="674"/>
      <c r="Q1396" s="24">
        <f t="shared" si="240"/>
        <v>0</v>
      </c>
      <c r="R1396" s="670">
        <f t="shared" si="241"/>
        <v>0</v>
      </c>
      <c r="S1396" s="322">
        <f t="shared" si="242"/>
        <v>0</v>
      </c>
    </row>
    <row r="1397" spans="1:19">
      <c r="A1397" s="155"/>
      <c r="B1397" s="57"/>
      <c r="C1397" s="24">
        <f t="shared" si="233"/>
        <v>1</v>
      </c>
      <c r="D1397" s="674"/>
      <c r="E1397" s="24">
        <f t="shared" si="234"/>
        <v>1</v>
      </c>
      <c r="F1397" s="674"/>
      <c r="G1397" s="24">
        <f t="shared" si="235"/>
        <v>1</v>
      </c>
      <c r="H1397" s="674"/>
      <c r="I1397" s="24">
        <f t="shared" si="236"/>
        <v>1</v>
      </c>
      <c r="J1397" s="674"/>
      <c r="K1397" s="24">
        <f t="shared" si="237"/>
        <v>1</v>
      </c>
      <c r="L1397" s="674"/>
      <c r="M1397" s="24">
        <f t="shared" si="238"/>
        <v>1</v>
      </c>
      <c r="N1397" s="674"/>
      <c r="O1397" s="24">
        <f t="shared" si="239"/>
        <v>1</v>
      </c>
      <c r="P1397" s="674"/>
      <c r="Q1397" s="24">
        <f t="shared" si="240"/>
        <v>0</v>
      </c>
      <c r="R1397" s="670">
        <f t="shared" si="241"/>
        <v>0</v>
      </c>
      <c r="S1397" s="322">
        <f t="shared" si="242"/>
        <v>0</v>
      </c>
    </row>
    <row r="1398" spans="1:19">
      <c r="A1398" s="155"/>
      <c r="B1398" s="57"/>
      <c r="C1398" s="24">
        <f t="shared" si="233"/>
        <v>1</v>
      </c>
      <c r="D1398" s="674"/>
      <c r="E1398" s="24">
        <f t="shared" si="234"/>
        <v>1</v>
      </c>
      <c r="F1398" s="674"/>
      <c r="G1398" s="24">
        <f t="shared" si="235"/>
        <v>1</v>
      </c>
      <c r="H1398" s="674"/>
      <c r="I1398" s="24">
        <f t="shared" si="236"/>
        <v>1</v>
      </c>
      <c r="J1398" s="674"/>
      <c r="K1398" s="24">
        <f t="shared" si="237"/>
        <v>1</v>
      </c>
      <c r="L1398" s="674"/>
      <c r="M1398" s="24">
        <f t="shared" si="238"/>
        <v>1</v>
      </c>
      <c r="N1398" s="674"/>
      <c r="O1398" s="24">
        <f t="shared" si="239"/>
        <v>1</v>
      </c>
      <c r="P1398" s="674"/>
      <c r="Q1398" s="24">
        <f t="shared" si="240"/>
        <v>0</v>
      </c>
      <c r="R1398" s="670">
        <f t="shared" si="241"/>
        <v>0</v>
      </c>
      <c r="S1398" s="322">
        <f t="shared" si="242"/>
        <v>0</v>
      </c>
    </row>
    <row r="1399" spans="1:19">
      <c r="A1399" s="155"/>
      <c r="B1399" s="57"/>
      <c r="C1399" s="24">
        <f t="shared" si="233"/>
        <v>1</v>
      </c>
      <c r="D1399" s="674"/>
      <c r="E1399" s="24">
        <f t="shared" si="234"/>
        <v>1</v>
      </c>
      <c r="F1399" s="674"/>
      <c r="G1399" s="24">
        <f t="shared" si="235"/>
        <v>1</v>
      </c>
      <c r="H1399" s="674"/>
      <c r="I1399" s="24">
        <f t="shared" si="236"/>
        <v>1</v>
      </c>
      <c r="J1399" s="674"/>
      <c r="K1399" s="24">
        <f t="shared" si="237"/>
        <v>1</v>
      </c>
      <c r="L1399" s="674"/>
      <c r="M1399" s="24">
        <f t="shared" si="238"/>
        <v>1</v>
      </c>
      <c r="N1399" s="674"/>
      <c r="O1399" s="24">
        <f t="shared" si="239"/>
        <v>1</v>
      </c>
      <c r="P1399" s="674"/>
      <c r="Q1399" s="24">
        <f t="shared" si="240"/>
        <v>0</v>
      </c>
      <c r="R1399" s="670">
        <f t="shared" si="241"/>
        <v>0</v>
      </c>
      <c r="S1399" s="322">
        <f t="shared" si="242"/>
        <v>0</v>
      </c>
    </row>
    <row r="1400" spans="1:19">
      <c r="A1400" s="155"/>
      <c r="B1400" s="57"/>
      <c r="C1400" s="24">
        <f t="shared" si="233"/>
        <v>1</v>
      </c>
      <c r="D1400" s="674"/>
      <c r="E1400" s="24">
        <f t="shared" si="234"/>
        <v>1</v>
      </c>
      <c r="F1400" s="674"/>
      <c r="G1400" s="24">
        <f t="shared" si="235"/>
        <v>1</v>
      </c>
      <c r="H1400" s="674"/>
      <c r="I1400" s="24">
        <f t="shared" si="236"/>
        <v>1</v>
      </c>
      <c r="J1400" s="674"/>
      <c r="K1400" s="24">
        <f t="shared" si="237"/>
        <v>1</v>
      </c>
      <c r="L1400" s="674"/>
      <c r="M1400" s="24">
        <f t="shared" si="238"/>
        <v>1</v>
      </c>
      <c r="N1400" s="674"/>
      <c r="O1400" s="24">
        <f t="shared" si="239"/>
        <v>1</v>
      </c>
      <c r="P1400" s="674"/>
      <c r="Q1400" s="24">
        <f t="shared" si="240"/>
        <v>0</v>
      </c>
      <c r="R1400" s="670">
        <f t="shared" si="241"/>
        <v>0</v>
      </c>
      <c r="S1400" s="322">
        <f t="shared" si="242"/>
        <v>0</v>
      </c>
    </row>
    <row r="1401" spans="1:19">
      <c r="A1401" s="155"/>
      <c r="B1401" s="57"/>
      <c r="C1401" s="24">
        <f t="shared" si="233"/>
        <v>1</v>
      </c>
      <c r="D1401" s="674"/>
      <c r="E1401" s="24">
        <f t="shared" si="234"/>
        <v>1</v>
      </c>
      <c r="F1401" s="674"/>
      <c r="G1401" s="24">
        <f t="shared" si="235"/>
        <v>1</v>
      </c>
      <c r="H1401" s="674"/>
      <c r="I1401" s="24">
        <f t="shared" si="236"/>
        <v>1</v>
      </c>
      <c r="J1401" s="674"/>
      <c r="K1401" s="24">
        <f t="shared" si="237"/>
        <v>1</v>
      </c>
      <c r="L1401" s="674"/>
      <c r="M1401" s="24">
        <f t="shared" si="238"/>
        <v>1</v>
      </c>
      <c r="N1401" s="674"/>
      <c r="O1401" s="24">
        <f t="shared" si="239"/>
        <v>1</v>
      </c>
      <c r="P1401" s="674"/>
      <c r="Q1401" s="24">
        <f t="shared" si="240"/>
        <v>0</v>
      </c>
      <c r="R1401" s="670">
        <f t="shared" si="241"/>
        <v>0</v>
      </c>
      <c r="S1401" s="322">
        <f t="shared" si="242"/>
        <v>0</v>
      </c>
    </row>
    <row r="1402" spans="1:19">
      <c r="A1402" s="155"/>
      <c r="B1402" s="57"/>
      <c r="C1402" s="24">
        <f t="shared" si="233"/>
        <v>1</v>
      </c>
      <c r="D1402" s="674"/>
      <c r="E1402" s="24">
        <f t="shared" si="234"/>
        <v>1</v>
      </c>
      <c r="F1402" s="674"/>
      <c r="G1402" s="24">
        <f t="shared" si="235"/>
        <v>1</v>
      </c>
      <c r="H1402" s="674"/>
      <c r="I1402" s="24">
        <f t="shared" si="236"/>
        <v>1</v>
      </c>
      <c r="J1402" s="674"/>
      <c r="K1402" s="24">
        <f t="shared" si="237"/>
        <v>1</v>
      </c>
      <c r="L1402" s="674"/>
      <c r="M1402" s="24">
        <f t="shared" si="238"/>
        <v>1</v>
      </c>
      <c r="N1402" s="674"/>
      <c r="O1402" s="24">
        <f t="shared" si="239"/>
        <v>1</v>
      </c>
      <c r="P1402" s="674"/>
      <c r="Q1402" s="24">
        <f t="shared" si="240"/>
        <v>0</v>
      </c>
      <c r="R1402" s="670">
        <f t="shared" si="241"/>
        <v>0</v>
      </c>
      <c r="S1402" s="322">
        <f t="shared" si="242"/>
        <v>0</v>
      </c>
    </row>
    <row r="1403" spans="1:19">
      <c r="A1403" s="155"/>
      <c r="B1403" s="57"/>
      <c r="C1403" s="24">
        <f t="shared" si="233"/>
        <v>1</v>
      </c>
      <c r="D1403" s="674"/>
      <c r="E1403" s="24">
        <f t="shared" si="234"/>
        <v>1</v>
      </c>
      <c r="F1403" s="674"/>
      <c r="G1403" s="24">
        <f t="shared" si="235"/>
        <v>1</v>
      </c>
      <c r="H1403" s="674"/>
      <c r="I1403" s="24">
        <f t="shared" si="236"/>
        <v>1</v>
      </c>
      <c r="J1403" s="674"/>
      <c r="K1403" s="24">
        <f t="shared" si="237"/>
        <v>1</v>
      </c>
      <c r="L1403" s="674"/>
      <c r="M1403" s="24">
        <f t="shared" si="238"/>
        <v>1</v>
      </c>
      <c r="N1403" s="674"/>
      <c r="O1403" s="24">
        <f t="shared" si="239"/>
        <v>1</v>
      </c>
      <c r="P1403" s="674"/>
      <c r="Q1403" s="24">
        <f t="shared" si="240"/>
        <v>0</v>
      </c>
      <c r="R1403" s="670">
        <f t="shared" si="241"/>
        <v>0</v>
      </c>
      <c r="S1403" s="322">
        <f t="shared" si="242"/>
        <v>0</v>
      </c>
    </row>
    <row r="1404" spans="1:19">
      <c r="A1404" s="155"/>
      <c r="B1404" s="57"/>
      <c r="C1404" s="24">
        <f t="shared" si="233"/>
        <v>1</v>
      </c>
      <c r="D1404" s="674"/>
      <c r="E1404" s="24">
        <f t="shared" si="234"/>
        <v>1</v>
      </c>
      <c r="F1404" s="674"/>
      <c r="G1404" s="24">
        <f t="shared" si="235"/>
        <v>1</v>
      </c>
      <c r="H1404" s="674"/>
      <c r="I1404" s="24">
        <f t="shared" si="236"/>
        <v>1</v>
      </c>
      <c r="J1404" s="674"/>
      <c r="K1404" s="24">
        <f t="shared" si="237"/>
        <v>1</v>
      </c>
      <c r="L1404" s="674"/>
      <c r="M1404" s="24">
        <f t="shared" si="238"/>
        <v>1</v>
      </c>
      <c r="N1404" s="674"/>
      <c r="O1404" s="24">
        <f t="shared" si="239"/>
        <v>1</v>
      </c>
      <c r="P1404" s="674"/>
      <c r="Q1404" s="24">
        <f t="shared" si="240"/>
        <v>0</v>
      </c>
      <c r="R1404" s="670">
        <f t="shared" si="241"/>
        <v>0</v>
      </c>
      <c r="S1404" s="322">
        <f t="shared" si="242"/>
        <v>0</v>
      </c>
    </row>
    <row r="1405" spans="1:19">
      <c r="A1405" s="155"/>
      <c r="B1405" s="57"/>
      <c r="C1405" s="24">
        <f t="shared" si="233"/>
        <v>1</v>
      </c>
      <c r="D1405" s="674"/>
      <c r="E1405" s="24">
        <f t="shared" si="234"/>
        <v>1</v>
      </c>
      <c r="F1405" s="674"/>
      <c r="G1405" s="24">
        <f t="shared" si="235"/>
        <v>1</v>
      </c>
      <c r="H1405" s="674"/>
      <c r="I1405" s="24">
        <f t="shared" si="236"/>
        <v>1</v>
      </c>
      <c r="J1405" s="674"/>
      <c r="K1405" s="24">
        <f t="shared" si="237"/>
        <v>1</v>
      </c>
      <c r="L1405" s="674"/>
      <c r="M1405" s="24">
        <f t="shared" si="238"/>
        <v>1</v>
      </c>
      <c r="N1405" s="674"/>
      <c r="O1405" s="24">
        <f t="shared" si="239"/>
        <v>1</v>
      </c>
      <c r="P1405" s="674"/>
      <c r="Q1405" s="24">
        <f t="shared" si="240"/>
        <v>0</v>
      </c>
      <c r="R1405" s="670">
        <f t="shared" si="241"/>
        <v>0</v>
      </c>
      <c r="S1405" s="322">
        <f t="shared" si="242"/>
        <v>0</v>
      </c>
    </row>
    <row r="1406" spans="1:19">
      <c r="A1406" s="155"/>
      <c r="B1406" s="57"/>
      <c r="C1406" s="24">
        <f t="shared" si="233"/>
        <v>1</v>
      </c>
      <c r="D1406" s="674"/>
      <c r="E1406" s="24">
        <f t="shared" si="234"/>
        <v>1</v>
      </c>
      <c r="F1406" s="674"/>
      <c r="G1406" s="24">
        <f t="shared" si="235"/>
        <v>1</v>
      </c>
      <c r="H1406" s="674"/>
      <c r="I1406" s="24">
        <f t="shared" si="236"/>
        <v>1</v>
      </c>
      <c r="J1406" s="674"/>
      <c r="K1406" s="24">
        <f t="shared" si="237"/>
        <v>1</v>
      </c>
      <c r="L1406" s="674"/>
      <c r="M1406" s="24">
        <f t="shared" si="238"/>
        <v>1</v>
      </c>
      <c r="N1406" s="674"/>
      <c r="O1406" s="24">
        <f t="shared" si="239"/>
        <v>1</v>
      </c>
      <c r="P1406" s="674"/>
      <c r="Q1406" s="24">
        <f t="shared" si="240"/>
        <v>0</v>
      </c>
      <c r="R1406" s="670">
        <f t="shared" si="241"/>
        <v>0</v>
      </c>
      <c r="S1406" s="322">
        <f t="shared" si="242"/>
        <v>0</v>
      </c>
    </row>
    <row r="1407" spans="1:19">
      <c r="A1407" s="155"/>
      <c r="B1407" s="57"/>
      <c r="C1407" s="24">
        <f t="shared" si="233"/>
        <v>1</v>
      </c>
      <c r="D1407" s="674"/>
      <c r="E1407" s="24">
        <f t="shared" si="234"/>
        <v>1</v>
      </c>
      <c r="F1407" s="674"/>
      <c r="G1407" s="24">
        <f t="shared" si="235"/>
        <v>1</v>
      </c>
      <c r="H1407" s="674"/>
      <c r="I1407" s="24">
        <f t="shared" si="236"/>
        <v>1</v>
      </c>
      <c r="J1407" s="674"/>
      <c r="K1407" s="24">
        <f t="shared" si="237"/>
        <v>1</v>
      </c>
      <c r="L1407" s="674"/>
      <c r="M1407" s="24">
        <f t="shared" si="238"/>
        <v>1</v>
      </c>
      <c r="N1407" s="674"/>
      <c r="O1407" s="24">
        <f t="shared" si="239"/>
        <v>1</v>
      </c>
      <c r="P1407" s="674"/>
      <c r="Q1407" s="24">
        <f t="shared" si="240"/>
        <v>0</v>
      </c>
      <c r="R1407" s="670">
        <f t="shared" si="241"/>
        <v>0</v>
      </c>
      <c r="S1407" s="322">
        <f t="shared" si="242"/>
        <v>0</v>
      </c>
    </row>
    <row r="1408" spans="1:19">
      <c r="A1408" s="155"/>
      <c r="B1408" s="57"/>
      <c r="C1408" s="24">
        <f t="shared" si="233"/>
        <v>1</v>
      </c>
      <c r="D1408" s="674"/>
      <c r="E1408" s="24">
        <f t="shared" si="234"/>
        <v>1</v>
      </c>
      <c r="F1408" s="674"/>
      <c r="G1408" s="24">
        <f t="shared" si="235"/>
        <v>1</v>
      </c>
      <c r="H1408" s="674"/>
      <c r="I1408" s="24">
        <f t="shared" si="236"/>
        <v>1</v>
      </c>
      <c r="J1408" s="674"/>
      <c r="K1408" s="24">
        <f t="shared" si="237"/>
        <v>1</v>
      </c>
      <c r="L1408" s="674"/>
      <c r="M1408" s="24">
        <f t="shared" si="238"/>
        <v>1</v>
      </c>
      <c r="N1408" s="674"/>
      <c r="O1408" s="24">
        <f t="shared" si="239"/>
        <v>1</v>
      </c>
      <c r="P1408" s="674"/>
      <c r="Q1408" s="24">
        <f t="shared" si="240"/>
        <v>0</v>
      </c>
      <c r="R1408" s="670">
        <f t="shared" si="241"/>
        <v>0</v>
      </c>
      <c r="S1408" s="322">
        <f t="shared" si="242"/>
        <v>0</v>
      </c>
    </row>
    <row r="1409" spans="1:19">
      <c r="A1409" s="155"/>
      <c r="B1409" s="57"/>
      <c r="C1409" s="24">
        <f t="shared" si="233"/>
        <v>1</v>
      </c>
      <c r="D1409" s="674"/>
      <c r="E1409" s="24">
        <f t="shared" si="234"/>
        <v>1</v>
      </c>
      <c r="F1409" s="674"/>
      <c r="G1409" s="24">
        <f t="shared" si="235"/>
        <v>1</v>
      </c>
      <c r="H1409" s="674"/>
      <c r="I1409" s="24">
        <f t="shared" si="236"/>
        <v>1</v>
      </c>
      <c r="J1409" s="674"/>
      <c r="K1409" s="24">
        <f t="shared" si="237"/>
        <v>1</v>
      </c>
      <c r="L1409" s="674"/>
      <c r="M1409" s="24">
        <f t="shared" si="238"/>
        <v>1</v>
      </c>
      <c r="N1409" s="674"/>
      <c r="O1409" s="24">
        <f t="shared" si="239"/>
        <v>1</v>
      </c>
      <c r="P1409" s="674"/>
      <c r="Q1409" s="24">
        <f t="shared" si="240"/>
        <v>0</v>
      </c>
      <c r="R1409" s="670">
        <f t="shared" si="241"/>
        <v>0</v>
      </c>
      <c r="S1409" s="322">
        <f t="shared" si="242"/>
        <v>0</v>
      </c>
    </row>
    <row r="1410" spans="1:19">
      <c r="A1410" s="155"/>
      <c r="B1410" s="57"/>
      <c r="C1410" s="24">
        <f t="shared" si="233"/>
        <v>1</v>
      </c>
      <c r="D1410" s="674"/>
      <c r="E1410" s="24">
        <f t="shared" si="234"/>
        <v>1</v>
      </c>
      <c r="F1410" s="674"/>
      <c r="G1410" s="24">
        <f t="shared" si="235"/>
        <v>1</v>
      </c>
      <c r="H1410" s="674"/>
      <c r="I1410" s="24">
        <f t="shared" si="236"/>
        <v>1</v>
      </c>
      <c r="J1410" s="674"/>
      <c r="K1410" s="24">
        <f t="shared" si="237"/>
        <v>1</v>
      </c>
      <c r="L1410" s="674"/>
      <c r="M1410" s="24">
        <f t="shared" si="238"/>
        <v>1</v>
      </c>
      <c r="N1410" s="674"/>
      <c r="O1410" s="24">
        <f t="shared" si="239"/>
        <v>1</v>
      </c>
      <c r="P1410" s="674"/>
      <c r="Q1410" s="24">
        <f t="shared" si="240"/>
        <v>0</v>
      </c>
      <c r="R1410" s="670">
        <f t="shared" si="241"/>
        <v>0</v>
      </c>
      <c r="S1410" s="322">
        <f t="shared" si="242"/>
        <v>0</v>
      </c>
    </row>
    <row r="1411" spans="1:19">
      <c r="A1411" s="155"/>
      <c r="B1411" s="57"/>
      <c r="C1411" s="24">
        <f t="shared" si="233"/>
        <v>1</v>
      </c>
      <c r="D1411" s="674"/>
      <c r="E1411" s="24">
        <f t="shared" si="234"/>
        <v>1</v>
      </c>
      <c r="F1411" s="674"/>
      <c r="G1411" s="24">
        <f t="shared" si="235"/>
        <v>1</v>
      </c>
      <c r="H1411" s="674"/>
      <c r="I1411" s="24">
        <f t="shared" si="236"/>
        <v>1</v>
      </c>
      <c r="J1411" s="674"/>
      <c r="K1411" s="24">
        <f t="shared" si="237"/>
        <v>1</v>
      </c>
      <c r="L1411" s="674"/>
      <c r="M1411" s="24">
        <f t="shared" si="238"/>
        <v>1</v>
      </c>
      <c r="N1411" s="674"/>
      <c r="O1411" s="24">
        <f t="shared" si="239"/>
        <v>1</v>
      </c>
      <c r="P1411" s="674"/>
      <c r="Q1411" s="24">
        <f t="shared" si="240"/>
        <v>0</v>
      </c>
      <c r="R1411" s="670">
        <f t="shared" si="241"/>
        <v>0</v>
      </c>
      <c r="S1411" s="322">
        <f t="shared" si="242"/>
        <v>0</v>
      </c>
    </row>
    <row r="1412" spans="1:19">
      <c r="A1412" s="155"/>
      <c r="B1412" s="57"/>
      <c r="C1412" s="24">
        <f t="shared" si="233"/>
        <v>1</v>
      </c>
      <c r="D1412" s="674"/>
      <c r="E1412" s="24">
        <f t="shared" si="234"/>
        <v>1</v>
      </c>
      <c r="F1412" s="674"/>
      <c r="G1412" s="24">
        <f t="shared" si="235"/>
        <v>1</v>
      </c>
      <c r="H1412" s="674"/>
      <c r="I1412" s="24">
        <f t="shared" si="236"/>
        <v>1</v>
      </c>
      <c r="J1412" s="674"/>
      <c r="K1412" s="24">
        <f t="shared" si="237"/>
        <v>1</v>
      </c>
      <c r="L1412" s="674"/>
      <c r="M1412" s="24">
        <f t="shared" si="238"/>
        <v>1</v>
      </c>
      <c r="N1412" s="674"/>
      <c r="O1412" s="24">
        <f t="shared" si="239"/>
        <v>1</v>
      </c>
      <c r="P1412" s="674"/>
      <c r="Q1412" s="24">
        <f t="shared" si="240"/>
        <v>0</v>
      </c>
      <c r="R1412" s="670">
        <f t="shared" si="241"/>
        <v>0</v>
      </c>
      <c r="S1412" s="322">
        <f t="shared" si="242"/>
        <v>0</v>
      </c>
    </row>
    <row r="1413" spans="1:19">
      <c r="A1413" s="155"/>
      <c r="B1413" s="57"/>
      <c r="C1413" s="24">
        <f t="shared" si="233"/>
        <v>1</v>
      </c>
      <c r="D1413" s="674"/>
      <c r="E1413" s="24">
        <f t="shared" si="234"/>
        <v>1</v>
      </c>
      <c r="F1413" s="674"/>
      <c r="G1413" s="24">
        <f t="shared" si="235"/>
        <v>1</v>
      </c>
      <c r="H1413" s="674"/>
      <c r="I1413" s="24">
        <f t="shared" si="236"/>
        <v>1</v>
      </c>
      <c r="J1413" s="674"/>
      <c r="K1413" s="24">
        <f t="shared" si="237"/>
        <v>1</v>
      </c>
      <c r="L1413" s="674"/>
      <c r="M1413" s="24">
        <f t="shared" si="238"/>
        <v>1</v>
      </c>
      <c r="N1413" s="674"/>
      <c r="O1413" s="24">
        <f t="shared" si="239"/>
        <v>1</v>
      </c>
      <c r="P1413" s="674"/>
      <c r="Q1413" s="24">
        <f t="shared" si="240"/>
        <v>0</v>
      </c>
      <c r="R1413" s="670">
        <f t="shared" si="241"/>
        <v>0</v>
      </c>
      <c r="S1413" s="322">
        <f t="shared" si="242"/>
        <v>0</v>
      </c>
    </row>
    <row r="1414" spans="1:19">
      <c r="A1414" s="155"/>
      <c r="B1414" s="57"/>
      <c r="C1414" s="24">
        <f t="shared" si="233"/>
        <v>1</v>
      </c>
      <c r="D1414" s="674"/>
      <c r="E1414" s="24">
        <f t="shared" si="234"/>
        <v>1</v>
      </c>
      <c r="F1414" s="674"/>
      <c r="G1414" s="24">
        <f t="shared" si="235"/>
        <v>1</v>
      </c>
      <c r="H1414" s="674"/>
      <c r="I1414" s="24">
        <f t="shared" si="236"/>
        <v>1</v>
      </c>
      <c r="J1414" s="674"/>
      <c r="K1414" s="24">
        <f t="shared" si="237"/>
        <v>1</v>
      </c>
      <c r="L1414" s="674"/>
      <c r="M1414" s="24">
        <f t="shared" si="238"/>
        <v>1</v>
      </c>
      <c r="N1414" s="674"/>
      <c r="O1414" s="24">
        <f t="shared" si="239"/>
        <v>1</v>
      </c>
      <c r="P1414" s="674"/>
      <c r="Q1414" s="24">
        <f t="shared" si="240"/>
        <v>0</v>
      </c>
      <c r="R1414" s="670">
        <f t="shared" si="241"/>
        <v>0</v>
      </c>
      <c r="S1414" s="322">
        <f t="shared" si="242"/>
        <v>0</v>
      </c>
    </row>
    <row r="1415" spans="1:19">
      <c r="A1415" s="155"/>
      <c r="B1415" s="57"/>
      <c r="C1415" s="24">
        <f t="shared" si="233"/>
        <v>1</v>
      </c>
      <c r="D1415" s="674"/>
      <c r="E1415" s="24">
        <f t="shared" si="234"/>
        <v>1</v>
      </c>
      <c r="F1415" s="674"/>
      <c r="G1415" s="24">
        <f t="shared" si="235"/>
        <v>1</v>
      </c>
      <c r="H1415" s="674"/>
      <c r="I1415" s="24">
        <f t="shared" si="236"/>
        <v>1</v>
      </c>
      <c r="J1415" s="674"/>
      <c r="K1415" s="24">
        <f t="shared" si="237"/>
        <v>1</v>
      </c>
      <c r="L1415" s="674"/>
      <c r="M1415" s="24">
        <f t="shared" si="238"/>
        <v>1</v>
      </c>
      <c r="N1415" s="674"/>
      <c r="O1415" s="24">
        <f t="shared" si="239"/>
        <v>1</v>
      </c>
      <c r="P1415" s="674"/>
      <c r="Q1415" s="24">
        <f t="shared" si="240"/>
        <v>0</v>
      </c>
      <c r="R1415" s="670">
        <f t="shared" si="241"/>
        <v>0</v>
      </c>
      <c r="S1415" s="322">
        <f t="shared" si="242"/>
        <v>0</v>
      </c>
    </row>
    <row r="1416" spans="1:19">
      <c r="A1416" s="155"/>
      <c r="B1416" s="57"/>
      <c r="C1416" s="24">
        <f t="shared" si="233"/>
        <v>1</v>
      </c>
      <c r="D1416" s="674"/>
      <c r="E1416" s="24">
        <f t="shared" si="234"/>
        <v>1</v>
      </c>
      <c r="F1416" s="674"/>
      <c r="G1416" s="24">
        <f t="shared" si="235"/>
        <v>1</v>
      </c>
      <c r="H1416" s="674"/>
      <c r="I1416" s="24">
        <f t="shared" si="236"/>
        <v>1</v>
      </c>
      <c r="J1416" s="674"/>
      <c r="K1416" s="24">
        <f t="shared" si="237"/>
        <v>1</v>
      </c>
      <c r="L1416" s="674"/>
      <c r="M1416" s="24">
        <f t="shared" si="238"/>
        <v>1</v>
      </c>
      <c r="N1416" s="674"/>
      <c r="O1416" s="24">
        <f t="shared" si="239"/>
        <v>1</v>
      </c>
      <c r="P1416" s="674"/>
      <c r="Q1416" s="24">
        <f t="shared" si="240"/>
        <v>0</v>
      </c>
      <c r="R1416" s="670">
        <f t="shared" si="241"/>
        <v>0</v>
      </c>
      <c r="S1416" s="322">
        <f t="shared" si="242"/>
        <v>0</v>
      </c>
    </row>
    <row r="1417" spans="1:19">
      <c r="A1417" s="155"/>
      <c r="B1417" s="57"/>
      <c r="C1417" s="24">
        <f t="shared" si="233"/>
        <v>1</v>
      </c>
      <c r="D1417" s="674"/>
      <c r="E1417" s="24">
        <f t="shared" si="234"/>
        <v>1</v>
      </c>
      <c r="F1417" s="674"/>
      <c r="G1417" s="24">
        <f t="shared" si="235"/>
        <v>1</v>
      </c>
      <c r="H1417" s="674"/>
      <c r="I1417" s="24">
        <f t="shared" si="236"/>
        <v>1</v>
      </c>
      <c r="J1417" s="674"/>
      <c r="K1417" s="24">
        <f t="shared" si="237"/>
        <v>1</v>
      </c>
      <c r="L1417" s="674"/>
      <c r="M1417" s="24">
        <f t="shared" si="238"/>
        <v>1</v>
      </c>
      <c r="N1417" s="674"/>
      <c r="O1417" s="24">
        <f t="shared" si="239"/>
        <v>1</v>
      </c>
      <c r="P1417" s="674"/>
      <c r="Q1417" s="24">
        <f t="shared" si="240"/>
        <v>0</v>
      </c>
      <c r="R1417" s="670">
        <f t="shared" si="241"/>
        <v>0</v>
      </c>
      <c r="S1417" s="322">
        <f t="shared" si="242"/>
        <v>0</v>
      </c>
    </row>
    <row r="1418" spans="1:19">
      <c r="A1418" s="155"/>
      <c r="B1418" s="57"/>
      <c r="C1418" s="24">
        <f t="shared" si="233"/>
        <v>1</v>
      </c>
      <c r="D1418" s="674"/>
      <c r="E1418" s="24">
        <f t="shared" si="234"/>
        <v>1</v>
      </c>
      <c r="F1418" s="674"/>
      <c r="G1418" s="24">
        <f t="shared" si="235"/>
        <v>1</v>
      </c>
      <c r="H1418" s="674"/>
      <c r="I1418" s="24">
        <f t="shared" si="236"/>
        <v>1</v>
      </c>
      <c r="J1418" s="674"/>
      <c r="K1418" s="24">
        <f t="shared" si="237"/>
        <v>1</v>
      </c>
      <c r="L1418" s="674"/>
      <c r="M1418" s="24">
        <f t="shared" si="238"/>
        <v>1</v>
      </c>
      <c r="N1418" s="674"/>
      <c r="O1418" s="24">
        <f t="shared" si="239"/>
        <v>1</v>
      </c>
      <c r="P1418" s="674"/>
      <c r="Q1418" s="24">
        <f t="shared" si="240"/>
        <v>0</v>
      </c>
      <c r="R1418" s="670">
        <f t="shared" si="241"/>
        <v>0</v>
      </c>
      <c r="S1418" s="322">
        <f t="shared" si="242"/>
        <v>0</v>
      </c>
    </row>
    <row r="1419" spans="1:19">
      <c r="A1419" s="155"/>
      <c r="B1419" s="57"/>
      <c r="C1419" s="24">
        <f t="shared" si="233"/>
        <v>1</v>
      </c>
      <c r="D1419" s="674"/>
      <c r="E1419" s="24">
        <f t="shared" si="234"/>
        <v>1</v>
      </c>
      <c r="F1419" s="674"/>
      <c r="G1419" s="24">
        <f t="shared" si="235"/>
        <v>1</v>
      </c>
      <c r="H1419" s="674"/>
      <c r="I1419" s="24">
        <f t="shared" si="236"/>
        <v>1</v>
      </c>
      <c r="J1419" s="674"/>
      <c r="K1419" s="24">
        <f t="shared" si="237"/>
        <v>1</v>
      </c>
      <c r="L1419" s="674"/>
      <c r="M1419" s="24">
        <f t="shared" si="238"/>
        <v>1</v>
      </c>
      <c r="N1419" s="674"/>
      <c r="O1419" s="24">
        <f t="shared" si="239"/>
        <v>1</v>
      </c>
      <c r="P1419" s="674"/>
      <c r="Q1419" s="24">
        <f t="shared" si="240"/>
        <v>0</v>
      </c>
      <c r="R1419" s="670">
        <f t="shared" si="241"/>
        <v>0</v>
      </c>
      <c r="S1419" s="322">
        <f t="shared" si="242"/>
        <v>0</v>
      </c>
    </row>
    <row r="1420" spans="1:19">
      <c r="A1420" s="155"/>
      <c r="B1420" s="57"/>
      <c r="C1420" s="24">
        <f t="shared" si="233"/>
        <v>1</v>
      </c>
      <c r="D1420" s="674"/>
      <c r="E1420" s="24">
        <f t="shared" si="234"/>
        <v>1</v>
      </c>
      <c r="F1420" s="674"/>
      <c r="G1420" s="24">
        <f t="shared" si="235"/>
        <v>1</v>
      </c>
      <c r="H1420" s="674"/>
      <c r="I1420" s="24">
        <f t="shared" si="236"/>
        <v>1</v>
      </c>
      <c r="J1420" s="674"/>
      <c r="K1420" s="24">
        <f t="shared" si="237"/>
        <v>1</v>
      </c>
      <c r="L1420" s="674"/>
      <c r="M1420" s="24">
        <f t="shared" si="238"/>
        <v>1</v>
      </c>
      <c r="N1420" s="674"/>
      <c r="O1420" s="24">
        <f t="shared" si="239"/>
        <v>1</v>
      </c>
      <c r="P1420" s="674"/>
      <c r="Q1420" s="24">
        <f t="shared" si="240"/>
        <v>0</v>
      </c>
      <c r="R1420" s="670">
        <f t="shared" si="241"/>
        <v>0</v>
      </c>
      <c r="S1420" s="322">
        <f t="shared" si="242"/>
        <v>0</v>
      </c>
    </row>
    <row r="1421" spans="1:19">
      <c r="A1421" s="155"/>
      <c r="B1421" s="57"/>
      <c r="C1421" s="24">
        <f t="shared" si="233"/>
        <v>1</v>
      </c>
      <c r="D1421" s="674"/>
      <c r="E1421" s="24">
        <f t="shared" si="234"/>
        <v>1</v>
      </c>
      <c r="F1421" s="674"/>
      <c r="G1421" s="24">
        <f t="shared" si="235"/>
        <v>1</v>
      </c>
      <c r="H1421" s="674"/>
      <c r="I1421" s="24">
        <f t="shared" si="236"/>
        <v>1</v>
      </c>
      <c r="J1421" s="674"/>
      <c r="K1421" s="24">
        <f t="shared" si="237"/>
        <v>1</v>
      </c>
      <c r="L1421" s="674"/>
      <c r="M1421" s="24">
        <f t="shared" si="238"/>
        <v>1</v>
      </c>
      <c r="N1421" s="674"/>
      <c r="O1421" s="24">
        <f t="shared" si="239"/>
        <v>1</v>
      </c>
      <c r="P1421" s="674"/>
      <c r="Q1421" s="24">
        <f t="shared" si="240"/>
        <v>0</v>
      </c>
      <c r="R1421" s="670">
        <f t="shared" si="241"/>
        <v>0</v>
      </c>
      <c r="S1421" s="322">
        <f t="shared" si="242"/>
        <v>0</v>
      </c>
    </row>
    <row r="1422" spans="1:19">
      <c r="A1422" s="155"/>
      <c r="B1422" s="57"/>
      <c r="C1422" s="24">
        <f t="shared" ref="C1422:C1485" si="243">IF(B1422="",1,(LOOKUP(B1422,$3:$3,$4:$4)-LOOKUP($B$24,$3:$3,$4:$4)+100)/100)</f>
        <v>1</v>
      </c>
      <c r="D1422" s="674"/>
      <c r="E1422" s="24">
        <f t="shared" ref="E1422:E1485" si="244">(SUMIF($5:$5,D1422,$6:$6)-SUMIF($5:$5,$D$24,$6:$6)+100)/100</f>
        <v>1</v>
      </c>
      <c r="F1422" s="674"/>
      <c r="G1422" s="24">
        <f t="shared" ref="G1422:G1485" si="245">(SUMIF($7:$7,F1422,$8:$8)-SUMIF($7:$7,$F$24,$8:$8)+100)/100</f>
        <v>1</v>
      </c>
      <c r="H1422" s="674"/>
      <c r="I1422" s="24">
        <f t="shared" ref="I1422:I1485" si="246">(SUMIF($9:$9,H1422,$10:$10)-SUMIF($9:$9,$H$24,$10:$10)+100)/100</f>
        <v>1</v>
      </c>
      <c r="J1422" s="674"/>
      <c r="K1422" s="24">
        <f t="shared" ref="K1422:K1485" si="247">(SUMIF($11:$11,J1422,$12:$12)-SUMIF($11:$11,$J$24,$12:$12)+100)/100</f>
        <v>1</v>
      </c>
      <c r="L1422" s="674"/>
      <c r="M1422" s="24">
        <f t="shared" ref="M1422:M1485" si="248">(SUMIF($13:$13,L1422,$14:$14)-SUMIF($13:$13,$L$24,$14:$14)+100)/100</f>
        <v>1</v>
      </c>
      <c r="N1422" s="674"/>
      <c r="O1422" s="24">
        <f t="shared" ref="O1422:O1485" si="249">(SUMIF($15:$15,N1422,$16:$16)-SUMIF($15:$15,$N$24,$16:$16)+100)/100</f>
        <v>1</v>
      </c>
      <c r="P1422" s="674"/>
      <c r="Q1422" s="24">
        <f t="shared" ref="Q1422:Q1485" si="250">(SUMIF($17:$17,P1422,$18:$18)-SUMIF($17:$17,$P$24,$18:$18)+100)/100</f>
        <v>0</v>
      </c>
      <c r="R1422" s="670">
        <f t="shared" ref="R1422:R1485" si="251">IF(B1422="",0,ROUND($R$24*C1422*E1422*G1422*I1422*K1422*M1422*O1422*Q1422,0))</f>
        <v>0</v>
      </c>
      <c r="S1422" s="322">
        <f t="shared" ref="S1422:S1485" si="252">ROUND(R1422*B1422/10000,0)</f>
        <v>0</v>
      </c>
    </row>
    <row r="1423" spans="1:19">
      <c r="A1423" s="155"/>
      <c r="B1423" s="57"/>
      <c r="C1423" s="24">
        <f t="shared" si="243"/>
        <v>1</v>
      </c>
      <c r="D1423" s="674"/>
      <c r="E1423" s="24">
        <f t="shared" si="244"/>
        <v>1</v>
      </c>
      <c r="F1423" s="674"/>
      <c r="G1423" s="24">
        <f t="shared" si="245"/>
        <v>1</v>
      </c>
      <c r="H1423" s="674"/>
      <c r="I1423" s="24">
        <f t="shared" si="246"/>
        <v>1</v>
      </c>
      <c r="J1423" s="674"/>
      <c r="K1423" s="24">
        <f t="shared" si="247"/>
        <v>1</v>
      </c>
      <c r="L1423" s="674"/>
      <c r="M1423" s="24">
        <f t="shared" si="248"/>
        <v>1</v>
      </c>
      <c r="N1423" s="674"/>
      <c r="O1423" s="24">
        <f t="shared" si="249"/>
        <v>1</v>
      </c>
      <c r="P1423" s="674"/>
      <c r="Q1423" s="24">
        <f t="shared" si="250"/>
        <v>0</v>
      </c>
      <c r="R1423" s="670">
        <f t="shared" si="251"/>
        <v>0</v>
      </c>
      <c r="S1423" s="322">
        <f t="shared" si="252"/>
        <v>0</v>
      </c>
    </row>
    <row r="1424" spans="1:19">
      <c r="A1424" s="155"/>
      <c r="B1424" s="57"/>
      <c r="C1424" s="24">
        <f t="shared" si="243"/>
        <v>1</v>
      </c>
      <c r="D1424" s="674"/>
      <c r="E1424" s="24">
        <f t="shared" si="244"/>
        <v>1</v>
      </c>
      <c r="F1424" s="674"/>
      <c r="G1424" s="24">
        <f t="shared" si="245"/>
        <v>1</v>
      </c>
      <c r="H1424" s="674"/>
      <c r="I1424" s="24">
        <f t="shared" si="246"/>
        <v>1</v>
      </c>
      <c r="J1424" s="674"/>
      <c r="K1424" s="24">
        <f t="shared" si="247"/>
        <v>1</v>
      </c>
      <c r="L1424" s="674"/>
      <c r="M1424" s="24">
        <f t="shared" si="248"/>
        <v>1</v>
      </c>
      <c r="N1424" s="674"/>
      <c r="O1424" s="24">
        <f t="shared" si="249"/>
        <v>1</v>
      </c>
      <c r="P1424" s="674"/>
      <c r="Q1424" s="24">
        <f t="shared" si="250"/>
        <v>0</v>
      </c>
      <c r="R1424" s="670">
        <f t="shared" si="251"/>
        <v>0</v>
      </c>
      <c r="S1424" s="322">
        <f t="shared" si="252"/>
        <v>0</v>
      </c>
    </row>
    <row r="1425" spans="1:19">
      <c r="A1425" s="155"/>
      <c r="B1425" s="57"/>
      <c r="C1425" s="24">
        <f t="shared" si="243"/>
        <v>1</v>
      </c>
      <c r="D1425" s="674"/>
      <c r="E1425" s="24">
        <f t="shared" si="244"/>
        <v>1</v>
      </c>
      <c r="F1425" s="674"/>
      <c r="G1425" s="24">
        <f t="shared" si="245"/>
        <v>1</v>
      </c>
      <c r="H1425" s="674"/>
      <c r="I1425" s="24">
        <f t="shared" si="246"/>
        <v>1</v>
      </c>
      <c r="J1425" s="674"/>
      <c r="K1425" s="24">
        <f t="shared" si="247"/>
        <v>1</v>
      </c>
      <c r="L1425" s="674"/>
      <c r="M1425" s="24">
        <f t="shared" si="248"/>
        <v>1</v>
      </c>
      <c r="N1425" s="674"/>
      <c r="O1425" s="24">
        <f t="shared" si="249"/>
        <v>1</v>
      </c>
      <c r="P1425" s="674"/>
      <c r="Q1425" s="24">
        <f t="shared" si="250"/>
        <v>0</v>
      </c>
      <c r="R1425" s="670">
        <f t="shared" si="251"/>
        <v>0</v>
      </c>
      <c r="S1425" s="322">
        <f t="shared" si="252"/>
        <v>0</v>
      </c>
    </row>
    <row r="1426" spans="1:19">
      <c r="A1426" s="155"/>
      <c r="B1426" s="57"/>
      <c r="C1426" s="24">
        <f t="shared" si="243"/>
        <v>1</v>
      </c>
      <c r="D1426" s="674"/>
      <c r="E1426" s="24">
        <f t="shared" si="244"/>
        <v>1</v>
      </c>
      <c r="F1426" s="674"/>
      <c r="G1426" s="24">
        <f t="shared" si="245"/>
        <v>1</v>
      </c>
      <c r="H1426" s="674"/>
      <c r="I1426" s="24">
        <f t="shared" si="246"/>
        <v>1</v>
      </c>
      <c r="J1426" s="674"/>
      <c r="K1426" s="24">
        <f t="shared" si="247"/>
        <v>1</v>
      </c>
      <c r="L1426" s="674"/>
      <c r="M1426" s="24">
        <f t="shared" si="248"/>
        <v>1</v>
      </c>
      <c r="N1426" s="674"/>
      <c r="O1426" s="24">
        <f t="shared" si="249"/>
        <v>1</v>
      </c>
      <c r="P1426" s="674"/>
      <c r="Q1426" s="24">
        <f t="shared" si="250"/>
        <v>0</v>
      </c>
      <c r="R1426" s="670">
        <f t="shared" si="251"/>
        <v>0</v>
      </c>
      <c r="S1426" s="322">
        <f t="shared" si="252"/>
        <v>0</v>
      </c>
    </row>
    <row r="1427" spans="1:19">
      <c r="A1427" s="155"/>
      <c r="B1427" s="57"/>
      <c r="C1427" s="24">
        <f t="shared" si="243"/>
        <v>1</v>
      </c>
      <c r="D1427" s="674"/>
      <c r="E1427" s="24">
        <f t="shared" si="244"/>
        <v>1</v>
      </c>
      <c r="F1427" s="674"/>
      <c r="G1427" s="24">
        <f t="shared" si="245"/>
        <v>1</v>
      </c>
      <c r="H1427" s="674"/>
      <c r="I1427" s="24">
        <f t="shared" si="246"/>
        <v>1</v>
      </c>
      <c r="J1427" s="674"/>
      <c r="K1427" s="24">
        <f t="shared" si="247"/>
        <v>1</v>
      </c>
      <c r="L1427" s="674"/>
      <c r="M1427" s="24">
        <f t="shared" si="248"/>
        <v>1</v>
      </c>
      <c r="N1427" s="674"/>
      <c r="O1427" s="24">
        <f t="shared" si="249"/>
        <v>1</v>
      </c>
      <c r="P1427" s="674"/>
      <c r="Q1427" s="24">
        <f t="shared" si="250"/>
        <v>0</v>
      </c>
      <c r="R1427" s="670">
        <f t="shared" si="251"/>
        <v>0</v>
      </c>
      <c r="S1427" s="322">
        <f t="shared" si="252"/>
        <v>0</v>
      </c>
    </row>
    <row r="1428" spans="1:19">
      <c r="A1428" s="155"/>
      <c r="B1428" s="57"/>
      <c r="C1428" s="24">
        <f t="shared" si="243"/>
        <v>1</v>
      </c>
      <c r="D1428" s="674"/>
      <c r="E1428" s="24">
        <f t="shared" si="244"/>
        <v>1</v>
      </c>
      <c r="F1428" s="674"/>
      <c r="G1428" s="24">
        <f t="shared" si="245"/>
        <v>1</v>
      </c>
      <c r="H1428" s="674"/>
      <c r="I1428" s="24">
        <f t="shared" si="246"/>
        <v>1</v>
      </c>
      <c r="J1428" s="674"/>
      <c r="K1428" s="24">
        <f t="shared" si="247"/>
        <v>1</v>
      </c>
      <c r="L1428" s="674"/>
      <c r="M1428" s="24">
        <f t="shared" si="248"/>
        <v>1</v>
      </c>
      <c r="N1428" s="674"/>
      <c r="O1428" s="24">
        <f t="shared" si="249"/>
        <v>1</v>
      </c>
      <c r="P1428" s="674"/>
      <c r="Q1428" s="24">
        <f t="shared" si="250"/>
        <v>0</v>
      </c>
      <c r="R1428" s="670">
        <f t="shared" si="251"/>
        <v>0</v>
      </c>
      <c r="S1428" s="322">
        <f t="shared" si="252"/>
        <v>0</v>
      </c>
    </row>
    <row r="1429" spans="1:19">
      <c r="A1429" s="155"/>
      <c r="B1429" s="57"/>
      <c r="C1429" s="24">
        <f t="shared" si="243"/>
        <v>1</v>
      </c>
      <c r="D1429" s="674"/>
      <c r="E1429" s="24">
        <f t="shared" si="244"/>
        <v>1</v>
      </c>
      <c r="F1429" s="674"/>
      <c r="G1429" s="24">
        <f t="shared" si="245"/>
        <v>1</v>
      </c>
      <c r="H1429" s="674"/>
      <c r="I1429" s="24">
        <f t="shared" si="246"/>
        <v>1</v>
      </c>
      <c r="J1429" s="674"/>
      <c r="K1429" s="24">
        <f t="shared" si="247"/>
        <v>1</v>
      </c>
      <c r="L1429" s="674"/>
      <c r="M1429" s="24">
        <f t="shared" si="248"/>
        <v>1</v>
      </c>
      <c r="N1429" s="674"/>
      <c r="O1429" s="24">
        <f t="shared" si="249"/>
        <v>1</v>
      </c>
      <c r="P1429" s="674"/>
      <c r="Q1429" s="24">
        <f t="shared" si="250"/>
        <v>0</v>
      </c>
      <c r="R1429" s="670">
        <f t="shared" si="251"/>
        <v>0</v>
      </c>
      <c r="S1429" s="322">
        <f t="shared" si="252"/>
        <v>0</v>
      </c>
    </row>
    <row r="1430" spans="1:19">
      <c r="A1430" s="155"/>
      <c r="B1430" s="57"/>
      <c r="C1430" s="24">
        <f t="shared" si="243"/>
        <v>1</v>
      </c>
      <c r="D1430" s="674"/>
      <c r="E1430" s="24">
        <f t="shared" si="244"/>
        <v>1</v>
      </c>
      <c r="F1430" s="674"/>
      <c r="G1430" s="24">
        <f t="shared" si="245"/>
        <v>1</v>
      </c>
      <c r="H1430" s="674"/>
      <c r="I1430" s="24">
        <f t="shared" si="246"/>
        <v>1</v>
      </c>
      <c r="J1430" s="674"/>
      <c r="K1430" s="24">
        <f t="shared" si="247"/>
        <v>1</v>
      </c>
      <c r="L1430" s="674"/>
      <c r="M1430" s="24">
        <f t="shared" si="248"/>
        <v>1</v>
      </c>
      <c r="N1430" s="674"/>
      <c r="O1430" s="24">
        <f t="shared" si="249"/>
        <v>1</v>
      </c>
      <c r="P1430" s="674"/>
      <c r="Q1430" s="24">
        <f t="shared" si="250"/>
        <v>0</v>
      </c>
      <c r="R1430" s="670">
        <f t="shared" si="251"/>
        <v>0</v>
      </c>
      <c r="S1430" s="322">
        <f t="shared" si="252"/>
        <v>0</v>
      </c>
    </row>
    <row r="1431" spans="1:19">
      <c r="A1431" s="155"/>
      <c r="B1431" s="57"/>
      <c r="C1431" s="24">
        <f t="shared" si="243"/>
        <v>1</v>
      </c>
      <c r="D1431" s="674"/>
      <c r="E1431" s="24">
        <f t="shared" si="244"/>
        <v>1</v>
      </c>
      <c r="F1431" s="674"/>
      <c r="G1431" s="24">
        <f t="shared" si="245"/>
        <v>1</v>
      </c>
      <c r="H1431" s="674"/>
      <c r="I1431" s="24">
        <f t="shared" si="246"/>
        <v>1</v>
      </c>
      <c r="J1431" s="674"/>
      <c r="K1431" s="24">
        <f t="shared" si="247"/>
        <v>1</v>
      </c>
      <c r="L1431" s="674"/>
      <c r="M1431" s="24">
        <f t="shared" si="248"/>
        <v>1</v>
      </c>
      <c r="N1431" s="674"/>
      <c r="O1431" s="24">
        <f t="shared" si="249"/>
        <v>1</v>
      </c>
      <c r="P1431" s="674"/>
      <c r="Q1431" s="24">
        <f t="shared" si="250"/>
        <v>0</v>
      </c>
      <c r="R1431" s="670">
        <f t="shared" si="251"/>
        <v>0</v>
      </c>
      <c r="S1431" s="322">
        <f t="shared" si="252"/>
        <v>0</v>
      </c>
    </row>
    <row r="1432" spans="1:19">
      <c r="A1432" s="155"/>
      <c r="B1432" s="57"/>
      <c r="C1432" s="24">
        <f t="shared" si="243"/>
        <v>1</v>
      </c>
      <c r="D1432" s="674"/>
      <c r="E1432" s="24">
        <f t="shared" si="244"/>
        <v>1</v>
      </c>
      <c r="F1432" s="674"/>
      <c r="G1432" s="24">
        <f t="shared" si="245"/>
        <v>1</v>
      </c>
      <c r="H1432" s="674"/>
      <c r="I1432" s="24">
        <f t="shared" si="246"/>
        <v>1</v>
      </c>
      <c r="J1432" s="674"/>
      <c r="K1432" s="24">
        <f t="shared" si="247"/>
        <v>1</v>
      </c>
      <c r="L1432" s="674"/>
      <c r="M1432" s="24">
        <f t="shared" si="248"/>
        <v>1</v>
      </c>
      <c r="N1432" s="674"/>
      <c r="O1432" s="24">
        <f t="shared" si="249"/>
        <v>1</v>
      </c>
      <c r="P1432" s="674"/>
      <c r="Q1432" s="24">
        <f t="shared" si="250"/>
        <v>0</v>
      </c>
      <c r="R1432" s="670">
        <f t="shared" si="251"/>
        <v>0</v>
      </c>
      <c r="S1432" s="322">
        <f t="shared" si="252"/>
        <v>0</v>
      </c>
    </row>
    <row r="1433" spans="1:19">
      <c r="A1433" s="155"/>
      <c r="B1433" s="57"/>
      <c r="C1433" s="24">
        <f t="shared" si="243"/>
        <v>1</v>
      </c>
      <c r="D1433" s="674"/>
      <c r="E1433" s="24">
        <f t="shared" si="244"/>
        <v>1</v>
      </c>
      <c r="F1433" s="674"/>
      <c r="G1433" s="24">
        <f t="shared" si="245"/>
        <v>1</v>
      </c>
      <c r="H1433" s="674"/>
      <c r="I1433" s="24">
        <f t="shared" si="246"/>
        <v>1</v>
      </c>
      <c r="J1433" s="674"/>
      <c r="K1433" s="24">
        <f t="shared" si="247"/>
        <v>1</v>
      </c>
      <c r="L1433" s="674"/>
      <c r="M1433" s="24">
        <f t="shared" si="248"/>
        <v>1</v>
      </c>
      <c r="N1433" s="674"/>
      <c r="O1433" s="24">
        <f t="shared" si="249"/>
        <v>1</v>
      </c>
      <c r="P1433" s="674"/>
      <c r="Q1433" s="24">
        <f t="shared" si="250"/>
        <v>0</v>
      </c>
      <c r="R1433" s="670">
        <f t="shared" si="251"/>
        <v>0</v>
      </c>
      <c r="S1433" s="322">
        <f t="shared" si="252"/>
        <v>0</v>
      </c>
    </row>
    <row r="1434" spans="1:19">
      <c r="A1434" s="155"/>
      <c r="B1434" s="57"/>
      <c r="C1434" s="24">
        <f t="shared" si="243"/>
        <v>1</v>
      </c>
      <c r="D1434" s="674"/>
      <c r="E1434" s="24">
        <f t="shared" si="244"/>
        <v>1</v>
      </c>
      <c r="F1434" s="674"/>
      <c r="G1434" s="24">
        <f t="shared" si="245"/>
        <v>1</v>
      </c>
      <c r="H1434" s="674"/>
      <c r="I1434" s="24">
        <f t="shared" si="246"/>
        <v>1</v>
      </c>
      <c r="J1434" s="674"/>
      <c r="K1434" s="24">
        <f t="shared" si="247"/>
        <v>1</v>
      </c>
      <c r="L1434" s="674"/>
      <c r="M1434" s="24">
        <f t="shared" si="248"/>
        <v>1</v>
      </c>
      <c r="N1434" s="674"/>
      <c r="O1434" s="24">
        <f t="shared" si="249"/>
        <v>1</v>
      </c>
      <c r="P1434" s="674"/>
      <c r="Q1434" s="24">
        <f t="shared" si="250"/>
        <v>0</v>
      </c>
      <c r="R1434" s="670">
        <f t="shared" si="251"/>
        <v>0</v>
      </c>
      <c r="S1434" s="322">
        <f t="shared" si="252"/>
        <v>0</v>
      </c>
    </row>
    <row r="1435" spans="1:19">
      <c r="A1435" s="155"/>
      <c r="B1435" s="57"/>
      <c r="C1435" s="24">
        <f t="shared" si="243"/>
        <v>1</v>
      </c>
      <c r="D1435" s="674"/>
      <c r="E1435" s="24">
        <f t="shared" si="244"/>
        <v>1</v>
      </c>
      <c r="F1435" s="674"/>
      <c r="G1435" s="24">
        <f t="shared" si="245"/>
        <v>1</v>
      </c>
      <c r="H1435" s="674"/>
      <c r="I1435" s="24">
        <f t="shared" si="246"/>
        <v>1</v>
      </c>
      <c r="J1435" s="674"/>
      <c r="K1435" s="24">
        <f t="shared" si="247"/>
        <v>1</v>
      </c>
      <c r="L1435" s="674"/>
      <c r="M1435" s="24">
        <f t="shared" si="248"/>
        <v>1</v>
      </c>
      <c r="N1435" s="674"/>
      <c r="O1435" s="24">
        <f t="shared" si="249"/>
        <v>1</v>
      </c>
      <c r="P1435" s="674"/>
      <c r="Q1435" s="24">
        <f t="shared" si="250"/>
        <v>0</v>
      </c>
      <c r="R1435" s="670">
        <f t="shared" si="251"/>
        <v>0</v>
      </c>
      <c r="S1435" s="322">
        <f t="shared" si="252"/>
        <v>0</v>
      </c>
    </row>
    <row r="1436" spans="1:19">
      <c r="A1436" s="155"/>
      <c r="B1436" s="57"/>
      <c r="C1436" s="24">
        <f t="shared" si="243"/>
        <v>1</v>
      </c>
      <c r="D1436" s="674"/>
      <c r="E1436" s="24">
        <f t="shared" si="244"/>
        <v>1</v>
      </c>
      <c r="F1436" s="674"/>
      <c r="G1436" s="24">
        <f t="shared" si="245"/>
        <v>1</v>
      </c>
      <c r="H1436" s="674"/>
      <c r="I1436" s="24">
        <f t="shared" si="246"/>
        <v>1</v>
      </c>
      <c r="J1436" s="674"/>
      <c r="K1436" s="24">
        <f t="shared" si="247"/>
        <v>1</v>
      </c>
      <c r="L1436" s="674"/>
      <c r="M1436" s="24">
        <f t="shared" si="248"/>
        <v>1</v>
      </c>
      <c r="N1436" s="674"/>
      <c r="O1436" s="24">
        <f t="shared" si="249"/>
        <v>1</v>
      </c>
      <c r="P1436" s="674"/>
      <c r="Q1436" s="24">
        <f t="shared" si="250"/>
        <v>0</v>
      </c>
      <c r="R1436" s="670">
        <f t="shared" si="251"/>
        <v>0</v>
      </c>
      <c r="S1436" s="322">
        <f t="shared" si="252"/>
        <v>0</v>
      </c>
    </row>
    <row r="1437" spans="1:19">
      <c r="A1437" s="155"/>
      <c r="B1437" s="57"/>
      <c r="C1437" s="24">
        <f t="shared" si="243"/>
        <v>1</v>
      </c>
      <c r="D1437" s="674"/>
      <c r="E1437" s="24">
        <f t="shared" si="244"/>
        <v>1</v>
      </c>
      <c r="F1437" s="674"/>
      <c r="G1437" s="24">
        <f t="shared" si="245"/>
        <v>1</v>
      </c>
      <c r="H1437" s="674"/>
      <c r="I1437" s="24">
        <f t="shared" si="246"/>
        <v>1</v>
      </c>
      <c r="J1437" s="674"/>
      <c r="K1437" s="24">
        <f t="shared" si="247"/>
        <v>1</v>
      </c>
      <c r="L1437" s="674"/>
      <c r="M1437" s="24">
        <f t="shared" si="248"/>
        <v>1</v>
      </c>
      <c r="N1437" s="674"/>
      <c r="O1437" s="24">
        <f t="shared" si="249"/>
        <v>1</v>
      </c>
      <c r="P1437" s="674"/>
      <c r="Q1437" s="24">
        <f t="shared" si="250"/>
        <v>0</v>
      </c>
      <c r="R1437" s="670">
        <f t="shared" si="251"/>
        <v>0</v>
      </c>
      <c r="S1437" s="322">
        <f t="shared" si="252"/>
        <v>0</v>
      </c>
    </row>
    <row r="1438" spans="1:19">
      <c r="A1438" s="155"/>
      <c r="B1438" s="57"/>
      <c r="C1438" s="24">
        <f t="shared" si="243"/>
        <v>1</v>
      </c>
      <c r="D1438" s="674"/>
      <c r="E1438" s="24">
        <f t="shared" si="244"/>
        <v>1</v>
      </c>
      <c r="F1438" s="674"/>
      <c r="G1438" s="24">
        <f t="shared" si="245"/>
        <v>1</v>
      </c>
      <c r="H1438" s="674"/>
      <c r="I1438" s="24">
        <f t="shared" si="246"/>
        <v>1</v>
      </c>
      <c r="J1438" s="674"/>
      <c r="K1438" s="24">
        <f t="shared" si="247"/>
        <v>1</v>
      </c>
      <c r="L1438" s="674"/>
      <c r="M1438" s="24">
        <f t="shared" si="248"/>
        <v>1</v>
      </c>
      <c r="N1438" s="674"/>
      <c r="O1438" s="24">
        <f t="shared" si="249"/>
        <v>1</v>
      </c>
      <c r="P1438" s="674"/>
      <c r="Q1438" s="24">
        <f t="shared" si="250"/>
        <v>0</v>
      </c>
      <c r="R1438" s="670">
        <f t="shared" si="251"/>
        <v>0</v>
      </c>
      <c r="S1438" s="322">
        <f t="shared" si="252"/>
        <v>0</v>
      </c>
    </row>
    <row r="1439" spans="1:19">
      <c r="A1439" s="155"/>
      <c r="B1439" s="57"/>
      <c r="C1439" s="24">
        <f t="shared" si="243"/>
        <v>1</v>
      </c>
      <c r="D1439" s="674"/>
      <c r="E1439" s="24">
        <f t="shared" si="244"/>
        <v>1</v>
      </c>
      <c r="F1439" s="674"/>
      <c r="G1439" s="24">
        <f t="shared" si="245"/>
        <v>1</v>
      </c>
      <c r="H1439" s="674"/>
      <c r="I1439" s="24">
        <f t="shared" si="246"/>
        <v>1</v>
      </c>
      <c r="J1439" s="674"/>
      <c r="K1439" s="24">
        <f t="shared" si="247"/>
        <v>1</v>
      </c>
      <c r="L1439" s="674"/>
      <c r="M1439" s="24">
        <f t="shared" si="248"/>
        <v>1</v>
      </c>
      <c r="N1439" s="674"/>
      <c r="O1439" s="24">
        <f t="shared" si="249"/>
        <v>1</v>
      </c>
      <c r="P1439" s="674"/>
      <c r="Q1439" s="24">
        <f t="shared" si="250"/>
        <v>0</v>
      </c>
      <c r="R1439" s="670">
        <f t="shared" si="251"/>
        <v>0</v>
      </c>
      <c r="S1439" s="322">
        <f t="shared" si="252"/>
        <v>0</v>
      </c>
    </row>
    <row r="1440" spans="1:19">
      <c r="A1440" s="155"/>
      <c r="B1440" s="57"/>
      <c r="C1440" s="24">
        <f t="shared" si="243"/>
        <v>1</v>
      </c>
      <c r="D1440" s="674"/>
      <c r="E1440" s="24">
        <f t="shared" si="244"/>
        <v>1</v>
      </c>
      <c r="F1440" s="674"/>
      <c r="G1440" s="24">
        <f t="shared" si="245"/>
        <v>1</v>
      </c>
      <c r="H1440" s="674"/>
      <c r="I1440" s="24">
        <f t="shared" si="246"/>
        <v>1</v>
      </c>
      <c r="J1440" s="674"/>
      <c r="K1440" s="24">
        <f t="shared" si="247"/>
        <v>1</v>
      </c>
      <c r="L1440" s="674"/>
      <c r="M1440" s="24">
        <f t="shared" si="248"/>
        <v>1</v>
      </c>
      <c r="N1440" s="674"/>
      <c r="O1440" s="24">
        <f t="shared" si="249"/>
        <v>1</v>
      </c>
      <c r="P1440" s="674"/>
      <c r="Q1440" s="24">
        <f t="shared" si="250"/>
        <v>0</v>
      </c>
      <c r="R1440" s="670">
        <f t="shared" si="251"/>
        <v>0</v>
      </c>
      <c r="S1440" s="322">
        <f t="shared" si="252"/>
        <v>0</v>
      </c>
    </row>
    <row r="1441" spans="1:19">
      <c r="A1441" s="155"/>
      <c r="B1441" s="57"/>
      <c r="C1441" s="24">
        <f t="shared" si="243"/>
        <v>1</v>
      </c>
      <c r="D1441" s="674"/>
      <c r="E1441" s="24">
        <f t="shared" si="244"/>
        <v>1</v>
      </c>
      <c r="F1441" s="674"/>
      <c r="G1441" s="24">
        <f t="shared" si="245"/>
        <v>1</v>
      </c>
      <c r="H1441" s="674"/>
      <c r="I1441" s="24">
        <f t="shared" si="246"/>
        <v>1</v>
      </c>
      <c r="J1441" s="674"/>
      <c r="K1441" s="24">
        <f t="shared" si="247"/>
        <v>1</v>
      </c>
      <c r="L1441" s="674"/>
      <c r="M1441" s="24">
        <f t="shared" si="248"/>
        <v>1</v>
      </c>
      <c r="N1441" s="674"/>
      <c r="O1441" s="24">
        <f t="shared" si="249"/>
        <v>1</v>
      </c>
      <c r="P1441" s="674"/>
      <c r="Q1441" s="24">
        <f t="shared" si="250"/>
        <v>0</v>
      </c>
      <c r="R1441" s="670">
        <f t="shared" si="251"/>
        <v>0</v>
      </c>
      <c r="S1441" s="322">
        <f t="shared" si="252"/>
        <v>0</v>
      </c>
    </row>
    <row r="1442" spans="1:19">
      <c r="A1442" s="155"/>
      <c r="B1442" s="57"/>
      <c r="C1442" s="24">
        <f t="shared" si="243"/>
        <v>1</v>
      </c>
      <c r="D1442" s="674"/>
      <c r="E1442" s="24">
        <f t="shared" si="244"/>
        <v>1</v>
      </c>
      <c r="F1442" s="674"/>
      <c r="G1442" s="24">
        <f t="shared" si="245"/>
        <v>1</v>
      </c>
      <c r="H1442" s="674"/>
      <c r="I1442" s="24">
        <f t="shared" si="246"/>
        <v>1</v>
      </c>
      <c r="J1442" s="674"/>
      <c r="K1442" s="24">
        <f t="shared" si="247"/>
        <v>1</v>
      </c>
      <c r="L1442" s="674"/>
      <c r="M1442" s="24">
        <f t="shared" si="248"/>
        <v>1</v>
      </c>
      <c r="N1442" s="674"/>
      <c r="O1442" s="24">
        <f t="shared" si="249"/>
        <v>1</v>
      </c>
      <c r="P1442" s="674"/>
      <c r="Q1442" s="24">
        <f t="shared" si="250"/>
        <v>0</v>
      </c>
      <c r="R1442" s="670">
        <f t="shared" si="251"/>
        <v>0</v>
      </c>
      <c r="S1442" s="322">
        <f t="shared" si="252"/>
        <v>0</v>
      </c>
    </row>
    <row r="1443" spans="1:19">
      <c r="A1443" s="155"/>
      <c r="B1443" s="57"/>
      <c r="C1443" s="24">
        <f t="shared" si="243"/>
        <v>1</v>
      </c>
      <c r="D1443" s="674"/>
      <c r="E1443" s="24">
        <f t="shared" si="244"/>
        <v>1</v>
      </c>
      <c r="F1443" s="674"/>
      <c r="G1443" s="24">
        <f t="shared" si="245"/>
        <v>1</v>
      </c>
      <c r="H1443" s="674"/>
      <c r="I1443" s="24">
        <f t="shared" si="246"/>
        <v>1</v>
      </c>
      <c r="J1443" s="674"/>
      <c r="K1443" s="24">
        <f t="shared" si="247"/>
        <v>1</v>
      </c>
      <c r="L1443" s="674"/>
      <c r="M1443" s="24">
        <f t="shared" si="248"/>
        <v>1</v>
      </c>
      <c r="N1443" s="674"/>
      <c r="O1443" s="24">
        <f t="shared" si="249"/>
        <v>1</v>
      </c>
      <c r="P1443" s="674"/>
      <c r="Q1443" s="24">
        <f t="shared" si="250"/>
        <v>0</v>
      </c>
      <c r="R1443" s="670">
        <f t="shared" si="251"/>
        <v>0</v>
      </c>
      <c r="S1443" s="322">
        <f t="shared" si="252"/>
        <v>0</v>
      </c>
    </row>
    <row r="1444" spans="1:19">
      <c r="A1444" s="155"/>
      <c r="B1444" s="57"/>
      <c r="C1444" s="24">
        <f t="shared" si="243"/>
        <v>1</v>
      </c>
      <c r="D1444" s="674"/>
      <c r="E1444" s="24">
        <f t="shared" si="244"/>
        <v>1</v>
      </c>
      <c r="F1444" s="674"/>
      <c r="G1444" s="24">
        <f t="shared" si="245"/>
        <v>1</v>
      </c>
      <c r="H1444" s="674"/>
      <c r="I1444" s="24">
        <f t="shared" si="246"/>
        <v>1</v>
      </c>
      <c r="J1444" s="674"/>
      <c r="K1444" s="24">
        <f t="shared" si="247"/>
        <v>1</v>
      </c>
      <c r="L1444" s="674"/>
      <c r="M1444" s="24">
        <f t="shared" si="248"/>
        <v>1</v>
      </c>
      <c r="N1444" s="674"/>
      <c r="O1444" s="24">
        <f t="shared" si="249"/>
        <v>1</v>
      </c>
      <c r="P1444" s="674"/>
      <c r="Q1444" s="24">
        <f t="shared" si="250"/>
        <v>0</v>
      </c>
      <c r="R1444" s="670">
        <f t="shared" si="251"/>
        <v>0</v>
      </c>
      <c r="S1444" s="322">
        <f t="shared" si="252"/>
        <v>0</v>
      </c>
    </row>
    <row r="1445" spans="1:19">
      <c r="A1445" s="155"/>
      <c r="B1445" s="57"/>
      <c r="C1445" s="24">
        <f t="shared" si="243"/>
        <v>1</v>
      </c>
      <c r="D1445" s="674"/>
      <c r="E1445" s="24">
        <f t="shared" si="244"/>
        <v>1</v>
      </c>
      <c r="F1445" s="674"/>
      <c r="G1445" s="24">
        <f t="shared" si="245"/>
        <v>1</v>
      </c>
      <c r="H1445" s="674"/>
      <c r="I1445" s="24">
        <f t="shared" si="246"/>
        <v>1</v>
      </c>
      <c r="J1445" s="674"/>
      <c r="K1445" s="24">
        <f t="shared" si="247"/>
        <v>1</v>
      </c>
      <c r="L1445" s="674"/>
      <c r="M1445" s="24">
        <f t="shared" si="248"/>
        <v>1</v>
      </c>
      <c r="N1445" s="674"/>
      <c r="O1445" s="24">
        <f t="shared" si="249"/>
        <v>1</v>
      </c>
      <c r="P1445" s="674"/>
      <c r="Q1445" s="24">
        <f t="shared" si="250"/>
        <v>0</v>
      </c>
      <c r="R1445" s="670">
        <f t="shared" si="251"/>
        <v>0</v>
      </c>
      <c r="S1445" s="322">
        <f t="shared" si="252"/>
        <v>0</v>
      </c>
    </row>
    <row r="1446" spans="1:19">
      <c r="A1446" s="155"/>
      <c r="B1446" s="57"/>
      <c r="C1446" s="24">
        <f t="shared" si="243"/>
        <v>1</v>
      </c>
      <c r="D1446" s="674"/>
      <c r="E1446" s="24">
        <f t="shared" si="244"/>
        <v>1</v>
      </c>
      <c r="F1446" s="674"/>
      <c r="G1446" s="24">
        <f t="shared" si="245"/>
        <v>1</v>
      </c>
      <c r="H1446" s="674"/>
      <c r="I1446" s="24">
        <f t="shared" si="246"/>
        <v>1</v>
      </c>
      <c r="J1446" s="674"/>
      <c r="K1446" s="24">
        <f t="shared" si="247"/>
        <v>1</v>
      </c>
      <c r="L1446" s="674"/>
      <c r="M1446" s="24">
        <f t="shared" si="248"/>
        <v>1</v>
      </c>
      <c r="N1446" s="674"/>
      <c r="O1446" s="24">
        <f t="shared" si="249"/>
        <v>1</v>
      </c>
      <c r="P1446" s="674"/>
      <c r="Q1446" s="24">
        <f t="shared" si="250"/>
        <v>0</v>
      </c>
      <c r="R1446" s="670">
        <f t="shared" si="251"/>
        <v>0</v>
      </c>
      <c r="S1446" s="322">
        <f t="shared" si="252"/>
        <v>0</v>
      </c>
    </row>
    <row r="1447" spans="1:19">
      <c r="A1447" s="155"/>
      <c r="B1447" s="57"/>
      <c r="C1447" s="24">
        <f t="shared" si="243"/>
        <v>1</v>
      </c>
      <c r="D1447" s="674"/>
      <c r="E1447" s="24">
        <f t="shared" si="244"/>
        <v>1</v>
      </c>
      <c r="F1447" s="674"/>
      <c r="G1447" s="24">
        <f t="shared" si="245"/>
        <v>1</v>
      </c>
      <c r="H1447" s="674"/>
      <c r="I1447" s="24">
        <f t="shared" si="246"/>
        <v>1</v>
      </c>
      <c r="J1447" s="674"/>
      <c r="K1447" s="24">
        <f t="shared" si="247"/>
        <v>1</v>
      </c>
      <c r="L1447" s="674"/>
      <c r="M1447" s="24">
        <f t="shared" si="248"/>
        <v>1</v>
      </c>
      <c r="N1447" s="674"/>
      <c r="O1447" s="24">
        <f t="shared" si="249"/>
        <v>1</v>
      </c>
      <c r="P1447" s="674"/>
      <c r="Q1447" s="24">
        <f t="shared" si="250"/>
        <v>0</v>
      </c>
      <c r="R1447" s="670">
        <f t="shared" si="251"/>
        <v>0</v>
      </c>
      <c r="S1447" s="322">
        <f t="shared" si="252"/>
        <v>0</v>
      </c>
    </row>
    <row r="1448" spans="1:19">
      <c r="A1448" s="155"/>
      <c r="B1448" s="57"/>
      <c r="C1448" s="24">
        <f t="shared" si="243"/>
        <v>1</v>
      </c>
      <c r="D1448" s="674"/>
      <c r="E1448" s="24">
        <f t="shared" si="244"/>
        <v>1</v>
      </c>
      <c r="F1448" s="674"/>
      <c r="G1448" s="24">
        <f t="shared" si="245"/>
        <v>1</v>
      </c>
      <c r="H1448" s="674"/>
      <c r="I1448" s="24">
        <f t="shared" si="246"/>
        <v>1</v>
      </c>
      <c r="J1448" s="674"/>
      <c r="K1448" s="24">
        <f t="shared" si="247"/>
        <v>1</v>
      </c>
      <c r="L1448" s="674"/>
      <c r="M1448" s="24">
        <f t="shared" si="248"/>
        <v>1</v>
      </c>
      <c r="N1448" s="674"/>
      <c r="O1448" s="24">
        <f t="shared" si="249"/>
        <v>1</v>
      </c>
      <c r="P1448" s="674"/>
      <c r="Q1448" s="24">
        <f t="shared" si="250"/>
        <v>0</v>
      </c>
      <c r="R1448" s="670">
        <f t="shared" si="251"/>
        <v>0</v>
      </c>
      <c r="S1448" s="322">
        <f t="shared" si="252"/>
        <v>0</v>
      </c>
    </row>
    <row r="1449" spans="1:19">
      <c r="A1449" s="155"/>
      <c r="B1449" s="57"/>
      <c r="C1449" s="24">
        <f t="shared" si="243"/>
        <v>1</v>
      </c>
      <c r="D1449" s="674"/>
      <c r="E1449" s="24">
        <f t="shared" si="244"/>
        <v>1</v>
      </c>
      <c r="F1449" s="674"/>
      <c r="G1449" s="24">
        <f t="shared" si="245"/>
        <v>1</v>
      </c>
      <c r="H1449" s="674"/>
      <c r="I1449" s="24">
        <f t="shared" si="246"/>
        <v>1</v>
      </c>
      <c r="J1449" s="674"/>
      <c r="K1449" s="24">
        <f t="shared" si="247"/>
        <v>1</v>
      </c>
      <c r="L1449" s="674"/>
      <c r="M1449" s="24">
        <f t="shared" si="248"/>
        <v>1</v>
      </c>
      <c r="N1449" s="674"/>
      <c r="O1449" s="24">
        <f t="shared" si="249"/>
        <v>1</v>
      </c>
      <c r="P1449" s="674"/>
      <c r="Q1449" s="24">
        <f t="shared" si="250"/>
        <v>0</v>
      </c>
      <c r="R1449" s="670">
        <f t="shared" si="251"/>
        <v>0</v>
      </c>
      <c r="S1449" s="322">
        <f t="shared" si="252"/>
        <v>0</v>
      </c>
    </row>
    <row r="1450" spans="1:19">
      <c r="A1450" s="155"/>
      <c r="B1450" s="57"/>
      <c r="C1450" s="24">
        <f t="shared" si="243"/>
        <v>1</v>
      </c>
      <c r="D1450" s="674"/>
      <c r="E1450" s="24">
        <f t="shared" si="244"/>
        <v>1</v>
      </c>
      <c r="F1450" s="674"/>
      <c r="G1450" s="24">
        <f t="shared" si="245"/>
        <v>1</v>
      </c>
      <c r="H1450" s="674"/>
      <c r="I1450" s="24">
        <f t="shared" si="246"/>
        <v>1</v>
      </c>
      <c r="J1450" s="674"/>
      <c r="K1450" s="24">
        <f t="shared" si="247"/>
        <v>1</v>
      </c>
      <c r="L1450" s="674"/>
      <c r="M1450" s="24">
        <f t="shared" si="248"/>
        <v>1</v>
      </c>
      <c r="N1450" s="674"/>
      <c r="O1450" s="24">
        <f t="shared" si="249"/>
        <v>1</v>
      </c>
      <c r="P1450" s="674"/>
      <c r="Q1450" s="24">
        <f t="shared" si="250"/>
        <v>0</v>
      </c>
      <c r="R1450" s="670">
        <f t="shared" si="251"/>
        <v>0</v>
      </c>
      <c r="S1450" s="322">
        <f t="shared" si="252"/>
        <v>0</v>
      </c>
    </row>
    <row r="1451" spans="1:19">
      <c r="A1451" s="155"/>
      <c r="B1451" s="57"/>
      <c r="C1451" s="24">
        <f t="shared" si="243"/>
        <v>1</v>
      </c>
      <c r="D1451" s="674"/>
      <c r="E1451" s="24">
        <f t="shared" si="244"/>
        <v>1</v>
      </c>
      <c r="F1451" s="674"/>
      <c r="G1451" s="24">
        <f t="shared" si="245"/>
        <v>1</v>
      </c>
      <c r="H1451" s="674"/>
      <c r="I1451" s="24">
        <f t="shared" si="246"/>
        <v>1</v>
      </c>
      <c r="J1451" s="674"/>
      <c r="K1451" s="24">
        <f t="shared" si="247"/>
        <v>1</v>
      </c>
      <c r="L1451" s="674"/>
      <c r="M1451" s="24">
        <f t="shared" si="248"/>
        <v>1</v>
      </c>
      <c r="N1451" s="674"/>
      <c r="O1451" s="24">
        <f t="shared" si="249"/>
        <v>1</v>
      </c>
      <c r="P1451" s="674"/>
      <c r="Q1451" s="24">
        <f t="shared" si="250"/>
        <v>0</v>
      </c>
      <c r="R1451" s="670">
        <f t="shared" si="251"/>
        <v>0</v>
      </c>
      <c r="S1451" s="322">
        <f t="shared" si="252"/>
        <v>0</v>
      </c>
    </row>
    <row r="1452" spans="1:19">
      <c r="A1452" s="155"/>
      <c r="B1452" s="57"/>
      <c r="C1452" s="24">
        <f t="shared" si="243"/>
        <v>1</v>
      </c>
      <c r="D1452" s="674"/>
      <c r="E1452" s="24">
        <f t="shared" si="244"/>
        <v>1</v>
      </c>
      <c r="F1452" s="674"/>
      <c r="G1452" s="24">
        <f t="shared" si="245"/>
        <v>1</v>
      </c>
      <c r="H1452" s="674"/>
      <c r="I1452" s="24">
        <f t="shared" si="246"/>
        <v>1</v>
      </c>
      <c r="J1452" s="674"/>
      <c r="K1452" s="24">
        <f t="shared" si="247"/>
        <v>1</v>
      </c>
      <c r="L1452" s="674"/>
      <c r="M1452" s="24">
        <f t="shared" si="248"/>
        <v>1</v>
      </c>
      <c r="N1452" s="674"/>
      <c r="O1452" s="24">
        <f t="shared" si="249"/>
        <v>1</v>
      </c>
      <c r="P1452" s="674"/>
      <c r="Q1452" s="24">
        <f t="shared" si="250"/>
        <v>0</v>
      </c>
      <c r="R1452" s="670">
        <f t="shared" si="251"/>
        <v>0</v>
      </c>
      <c r="S1452" s="322">
        <f t="shared" si="252"/>
        <v>0</v>
      </c>
    </row>
    <row r="1453" spans="1:19">
      <c r="A1453" s="155"/>
      <c r="B1453" s="57"/>
      <c r="C1453" s="24">
        <f t="shared" si="243"/>
        <v>1</v>
      </c>
      <c r="D1453" s="674"/>
      <c r="E1453" s="24">
        <f t="shared" si="244"/>
        <v>1</v>
      </c>
      <c r="F1453" s="674"/>
      <c r="G1453" s="24">
        <f t="shared" si="245"/>
        <v>1</v>
      </c>
      <c r="H1453" s="674"/>
      <c r="I1453" s="24">
        <f t="shared" si="246"/>
        <v>1</v>
      </c>
      <c r="J1453" s="674"/>
      <c r="K1453" s="24">
        <f t="shared" si="247"/>
        <v>1</v>
      </c>
      <c r="L1453" s="674"/>
      <c r="M1453" s="24">
        <f t="shared" si="248"/>
        <v>1</v>
      </c>
      <c r="N1453" s="674"/>
      <c r="O1453" s="24">
        <f t="shared" si="249"/>
        <v>1</v>
      </c>
      <c r="P1453" s="674"/>
      <c r="Q1453" s="24">
        <f t="shared" si="250"/>
        <v>0</v>
      </c>
      <c r="R1453" s="670">
        <f t="shared" si="251"/>
        <v>0</v>
      </c>
      <c r="S1453" s="322">
        <f t="shared" si="252"/>
        <v>0</v>
      </c>
    </row>
    <row r="1454" spans="1:19">
      <c r="A1454" s="155"/>
      <c r="B1454" s="57"/>
      <c r="C1454" s="24">
        <f t="shared" si="243"/>
        <v>1</v>
      </c>
      <c r="D1454" s="674"/>
      <c r="E1454" s="24">
        <f t="shared" si="244"/>
        <v>1</v>
      </c>
      <c r="F1454" s="674"/>
      <c r="G1454" s="24">
        <f t="shared" si="245"/>
        <v>1</v>
      </c>
      <c r="H1454" s="674"/>
      <c r="I1454" s="24">
        <f t="shared" si="246"/>
        <v>1</v>
      </c>
      <c r="J1454" s="674"/>
      <c r="K1454" s="24">
        <f t="shared" si="247"/>
        <v>1</v>
      </c>
      <c r="L1454" s="674"/>
      <c r="M1454" s="24">
        <f t="shared" si="248"/>
        <v>1</v>
      </c>
      <c r="N1454" s="674"/>
      <c r="O1454" s="24">
        <f t="shared" si="249"/>
        <v>1</v>
      </c>
      <c r="P1454" s="674"/>
      <c r="Q1454" s="24">
        <f t="shared" si="250"/>
        <v>0</v>
      </c>
      <c r="R1454" s="670">
        <f t="shared" si="251"/>
        <v>0</v>
      </c>
      <c r="S1454" s="322">
        <f t="shared" si="252"/>
        <v>0</v>
      </c>
    </row>
    <row r="1455" spans="1:19">
      <c r="A1455" s="155"/>
      <c r="B1455" s="57"/>
      <c r="C1455" s="24">
        <f t="shared" si="243"/>
        <v>1</v>
      </c>
      <c r="D1455" s="674"/>
      <c r="E1455" s="24">
        <f t="shared" si="244"/>
        <v>1</v>
      </c>
      <c r="F1455" s="674"/>
      <c r="G1455" s="24">
        <f t="shared" si="245"/>
        <v>1</v>
      </c>
      <c r="H1455" s="674"/>
      <c r="I1455" s="24">
        <f t="shared" si="246"/>
        <v>1</v>
      </c>
      <c r="J1455" s="674"/>
      <c r="K1455" s="24">
        <f t="shared" si="247"/>
        <v>1</v>
      </c>
      <c r="L1455" s="674"/>
      <c r="M1455" s="24">
        <f t="shared" si="248"/>
        <v>1</v>
      </c>
      <c r="N1455" s="674"/>
      <c r="O1455" s="24">
        <f t="shared" si="249"/>
        <v>1</v>
      </c>
      <c r="P1455" s="674"/>
      <c r="Q1455" s="24">
        <f t="shared" si="250"/>
        <v>0</v>
      </c>
      <c r="R1455" s="670">
        <f t="shared" si="251"/>
        <v>0</v>
      </c>
      <c r="S1455" s="322">
        <f t="shared" si="252"/>
        <v>0</v>
      </c>
    </row>
    <row r="1456" spans="1:19">
      <c r="A1456" s="155"/>
      <c r="B1456" s="57"/>
      <c r="C1456" s="24">
        <f t="shared" si="243"/>
        <v>1</v>
      </c>
      <c r="D1456" s="674"/>
      <c r="E1456" s="24">
        <f t="shared" si="244"/>
        <v>1</v>
      </c>
      <c r="F1456" s="674"/>
      <c r="G1456" s="24">
        <f t="shared" si="245"/>
        <v>1</v>
      </c>
      <c r="H1456" s="674"/>
      <c r="I1456" s="24">
        <f t="shared" si="246"/>
        <v>1</v>
      </c>
      <c r="J1456" s="674"/>
      <c r="K1456" s="24">
        <f t="shared" si="247"/>
        <v>1</v>
      </c>
      <c r="L1456" s="674"/>
      <c r="M1456" s="24">
        <f t="shared" si="248"/>
        <v>1</v>
      </c>
      <c r="N1456" s="674"/>
      <c r="O1456" s="24">
        <f t="shared" si="249"/>
        <v>1</v>
      </c>
      <c r="P1456" s="674"/>
      <c r="Q1456" s="24">
        <f t="shared" si="250"/>
        <v>0</v>
      </c>
      <c r="R1456" s="670">
        <f t="shared" si="251"/>
        <v>0</v>
      </c>
      <c r="S1456" s="322">
        <f t="shared" si="252"/>
        <v>0</v>
      </c>
    </row>
    <row r="1457" spans="1:19">
      <c r="A1457" s="155"/>
      <c r="B1457" s="57"/>
      <c r="C1457" s="24">
        <f t="shared" si="243"/>
        <v>1</v>
      </c>
      <c r="D1457" s="674"/>
      <c r="E1457" s="24">
        <f t="shared" si="244"/>
        <v>1</v>
      </c>
      <c r="F1457" s="674"/>
      <c r="G1457" s="24">
        <f t="shared" si="245"/>
        <v>1</v>
      </c>
      <c r="H1457" s="674"/>
      <c r="I1457" s="24">
        <f t="shared" si="246"/>
        <v>1</v>
      </c>
      <c r="J1457" s="674"/>
      <c r="K1457" s="24">
        <f t="shared" si="247"/>
        <v>1</v>
      </c>
      <c r="L1457" s="674"/>
      <c r="M1457" s="24">
        <f t="shared" si="248"/>
        <v>1</v>
      </c>
      <c r="N1457" s="674"/>
      <c r="O1457" s="24">
        <f t="shared" si="249"/>
        <v>1</v>
      </c>
      <c r="P1457" s="674"/>
      <c r="Q1457" s="24">
        <f t="shared" si="250"/>
        <v>0</v>
      </c>
      <c r="R1457" s="670">
        <f t="shared" si="251"/>
        <v>0</v>
      </c>
      <c r="S1457" s="322">
        <f t="shared" si="252"/>
        <v>0</v>
      </c>
    </row>
    <row r="1458" spans="1:19">
      <c r="A1458" s="155"/>
      <c r="B1458" s="57"/>
      <c r="C1458" s="24">
        <f t="shared" si="243"/>
        <v>1</v>
      </c>
      <c r="D1458" s="674"/>
      <c r="E1458" s="24">
        <f t="shared" si="244"/>
        <v>1</v>
      </c>
      <c r="F1458" s="674"/>
      <c r="G1458" s="24">
        <f t="shared" si="245"/>
        <v>1</v>
      </c>
      <c r="H1458" s="674"/>
      <c r="I1458" s="24">
        <f t="shared" si="246"/>
        <v>1</v>
      </c>
      <c r="J1458" s="674"/>
      <c r="K1458" s="24">
        <f t="shared" si="247"/>
        <v>1</v>
      </c>
      <c r="L1458" s="674"/>
      <c r="M1458" s="24">
        <f t="shared" si="248"/>
        <v>1</v>
      </c>
      <c r="N1458" s="674"/>
      <c r="O1458" s="24">
        <f t="shared" si="249"/>
        <v>1</v>
      </c>
      <c r="P1458" s="674"/>
      <c r="Q1458" s="24">
        <f t="shared" si="250"/>
        <v>0</v>
      </c>
      <c r="R1458" s="670">
        <f t="shared" si="251"/>
        <v>0</v>
      </c>
      <c r="S1458" s="322">
        <f t="shared" si="252"/>
        <v>0</v>
      </c>
    </row>
    <row r="1459" spans="1:19">
      <c r="A1459" s="155"/>
      <c r="B1459" s="57"/>
      <c r="C1459" s="24">
        <f t="shared" si="243"/>
        <v>1</v>
      </c>
      <c r="D1459" s="674"/>
      <c r="E1459" s="24">
        <f t="shared" si="244"/>
        <v>1</v>
      </c>
      <c r="F1459" s="674"/>
      <c r="G1459" s="24">
        <f t="shared" si="245"/>
        <v>1</v>
      </c>
      <c r="H1459" s="674"/>
      <c r="I1459" s="24">
        <f t="shared" si="246"/>
        <v>1</v>
      </c>
      <c r="J1459" s="674"/>
      <c r="K1459" s="24">
        <f t="shared" si="247"/>
        <v>1</v>
      </c>
      <c r="L1459" s="674"/>
      <c r="M1459" s="24">
        <f t="shared" si="248"/>
        <v>1</v>
      </c>
      <c r="N1459" s="674"/>
      <c r="O1459" s="24">
        <f t="shared" si="249"/>
        <v>1</v>
      </c>
      <c r="P1459" s="674"/>
      <c r="Q1459" s="24">
        <f t="shared" si="250"/>
        <v>0</v>
      </c>
      <c r="R1459" s="670">
        <f t="shared" si="251"/>
        <v>0</v>
      </c>
      <c r="S1459" s="322">
        <f t="shared" si="252"/>
        <v>0</v>
      </c>
    </row>
    <row r="1460" spans="1:19">
      <c r="A1460" s="155"/>
      <c r="B1460" s="57"/>
      <c r="C1460" s="24">
        <f t="shared" si="243"/>
        <v>1</v>
      </c>
      <c r="D1460" s="674"/>
      <c r="E1460" s="24">
        <f t="shared" si="244"/>
        <v>1</v>
      </c>
      <c r="F1460" s="674"/>
      <c r="G1460" s="24">
        <f t="shared" si="245"/>
        <v>1</v>
      </c>
      <c r="H1460" s="674"/>
      <c r="I1460" s="24">
        <f t="shared" si="246"/>
        <v>1</v>
      </c>
      <c r="J1460" s="674"/>
      <c r="K1460" s="24">
        <f t="shared" si="247"/>
        <v>1</v>
      </c>
      <c r="L1460" s="674"/>
      <c r="M1460" s="24">
        <f t="shared" si="248"/>
        <v>1</v>
      </c>
      <c r="N1460" s="674"/>
      <c r="O1460" s="24">
        <f t="shared" si="249"/>
        <v>1</v>
      </c>
      <c r="P1460" s="674"/>
      <c r="Q1460" s="24">
        <f t="shared" si="250"/>
        <v>0</v>
      </c>
      <c r="R1460" s="670">
        <f t="shared" si="251"/>
        <v>0</v>
      </c>
      <c r="S1460" s="322">
        <f t="shared" si="252"/>
        <v>0</v>
      </c>
    </row>
    <row r="1461" spans="1:19">
      <c r="A1461" s="155"/>
      <c r="B1461" s="57"/>
      <c r="C1461" s="24">
        <f t="shared" si="243"/>
        <v>1</v>
      </c>
      <c r="D1461" s="674"/>
      <c r="E1461" s="24">
        <f t="shared" si="244"/>
        <v>1</v>
      </c>
      <c r="F1461" s="674"/>
      <c r="G1461" s="24">
        <f t="shared" si="245"/>
        <v>1</v>
      </c>
      <c r="H1461" s="674"/>
      <c r="I1461" s="24">
        <f t="shared" si="246"/>
        <v>1</v>
      </c>
      <c r="J1461" s="674"/>
      <c r="K1461" s="24">
        <f t="shared" si="247"/>
        <v>1</v>
      </c>
      <c r="L1461" s="674"/>
      <c r="M1461" s="24">
        <f t="shared" si="248"/>
        <v>1</v>
      </c>
      <c r="N1461" s="674"/>
      <c r="O1461" s="24">
        <f t="shared" si="249"/>
        <v>1</v>
      </c>
      <c r="P1461" s="674"/>
      <c r="Q1461" s="24">
        <f t="shared" si="250"/>
        <v>0</v>
      </c>
      <c r="R1461" s="670">
        <f t="shared" si="251"/>
        <v>0</v>
      </c>
      <c r="S1461" s="322">
        <f t="shared" si="252"/>
        <v>0</v>
      </c>
    </row>
    <row r="1462" spans="1:19">
      <c r="A1462" s="155"/>
      <c r="B1462" s="57"/>
      <c r="C1462" s="24">
        <f t="shared" si="243"/>
        <v>1</v>
      </c>
      <c r="D1462" s="674"/>
      <c r="E1462" s="24">
        <f t="shared" si="244"/>
        <v>1</v>
      </c>
      <c r="F1462" s="674"/>
      <c r="G1462" s="24">
        <f t="shared" si="245"/>
        <v>1</v>
      </c>
      <c r="H1462" s="674"/>
      <c r="I1462" s="24">
        <f t="shared" si="246"/>
        <v>1</v>
      </c>
      <c r="J1462" s="674"/>
      <c r="K1462" s="24">
        <f t="shared" si="247"/>
        <v>1</v>
      </c>
      <c r="L1462" s="674"/>
      <c r="M1462" s="24">
        <f t="shared" si="248"/>
        <v>1</v>
      </c>
      <c r="N1462" s="674"/>
      <c r="O1462" s="24">
        <f t="shared" si="249"/>
        <v>1</v>
      </c>
      <c r="P1462" s="674"/>
      <c r="Q1462" s="24">
        <f t="shared" si="250"/>
        <v>0</v>
      </c>
      <c r="R1462" s="670">
        <f t="shared" si="251"/>
        <v>0</v>
      </c>
      <c r="S1462" s="322">
        <f t="shared" si="252"/>
        <v>0</v>
      </c>
    </row>
    <row r="1463" spans="1:19">
      <c r="A1463" s="155"/>
      <c r="B1463" s="57"/>
      <c r="C1463" s="24">
        <f t="shared" si="243"/>
        <v>1</v>
      </c>
      <c r="D1463" s="674"/>
      <c r="E1463" s="24">
        <f t="shared" si="244"/>
        <v>1</v>
      </c>
      <c r="F1463" s="674"/>
      <c r="G1463" s="24">
        <f t="shared" si="245"/>
        <v>1</v>
      </c>
      <c r="H1463" s="674"/>
      <c r="I1463" s="24">
        <f t="shared" si="246"/>
        <v>1</v>
      </c>
      <c r="J1463" s="674"/>
      <c r="K1463" s="24">
        <f t="shared" si="247"/>
        <v>1</v>
      </c>
      <c r="L1463" s="674"/>
      <c r="M1463" s="24">
        <f t="shared" si="248"/>
        <v>1</v>
      </c>
      <c r="N1463" s="674"/>
      <c r="O1463" s="24">
        <f t="shared" si="249"/>
        <v>1</v>
      </c>
      <c r="P1463" s="674"/>
      <c r="Q1463" s="24">
        <f t="shared" si="250"/>
        <v>0</v>
      </c>
      <c r="R1463" s="670">
        <f t="shared" si="251"/>
        <v>0</v>
      </c>
      <c r="S1463" s="322">
        <f t="shared" si="252"/>
        <v>0</v>
      </c>
    </row>
    <row r="1464" spans="1:19">
      <c r="A1464" s="155"/>
      <c r="B1464" s="57"/>
      <c r="C1464" s="24">
        <f t="shared" si="243"/>
        <v>1</v>
      </c>
      <c r="D1464" s="674"/>
      <c r="E1464" s="24">
        <f t="shared" si="244"/>
        <v>1</v>
      </c>
      <c r="F1464" s="674"/>
      <c r="G1464" s="24">
        <f t="shared" si="245"/>
        <v>1</v>
      </c>
      <c r="H1464" s="674"/>
      <c r="I1464" s="24">
        <f t="shared" si="246"/>
        <v>1</v>
      </c>
      <c r="J1464" s="674"/>
      <c r="K1464" s="24">
        <f t="shared" si="247"/>
        <v>1</v>
      </c>
      <c r="L1464" s="674"/>
      <c r="M1464" s="24">
        <f t="shared" si="248"/>
        <v>1</v>
      </c>
      <c r="N1464" s="674"/>
      <c r="O1464" s="24">
        <f t="shared" si="249"/>
        <v>1</v>
      </c>
      <c r="P1464" s="674"/>
      <c r="Q1464" s="24">
        <f t="shared" si="250"/>
        <v>0</v>
      </c>
      <c r="R1464" s="670">
        <f t="shared" si="251"/>
        <v>0</v>
      </c>
      <c r="S1464" s="322">
        <f t="shared" si="252"/>
        <v>0</v>
      </c>
    </row>
    <row r="1465" spans="1:19">
      <c r="A1465" s="155"/>
      <c r="B1465" s="57"/>
      <c r="C1465" s="24">
        <f t="shared" si="243"/>
        <v>1</v>
      </c>
      <c r="D1465" s="674"/>
      <c r="E1465" s="24">
        <f t="shared" si="244"/>
        <v>1</v>
      </c>
      <c r="F1465" s="674"/>
      <c r="G1465" s="24">
        <f t="shared" si="245"/>
        <v>1</v>
      </c>
      <c r="H1465" s="674"/>
      <c r="I1465" s="24">
        <f t="shared" si="246"/>
        <v>1</v>
      </c>
      <c r="J1465" s="674"/>
      <c r="K1465" s="24">
        <f t="shared" si="247"/>
        <v>1</v>
      </c>
      <c r="L1465" s="674"/>
      <c r="M1465" s="24">
        <f t="shared" si="248"/>
        <v>1</v>
      </c>
      <c r="N1465" s="674"/>
      <c r="O1465" s="24">
        <f t="shared" si="249"/>
        <v>1</v>
      </c>
      <c r="P1465" s="674"/>
      <c r="Q1465" s="24">
        <f t="shared" si="250"/>
        <v>0</v>
      </c>
      <c r="R1465" s="670">
        <f t="shared" si="251"/>
        <v>0</v>
      </c>
      <c r="S1465" s="322">
        <f t="shared" si="252"/>
        <v>0</v>
      </c>
    </row>
    <row r="1466" spans="1:19">
      <c r="A1466" s="155"/>
      <c r="B1466" s="57"/>
      <c r="C1466" s="24">
        <f t="shared" si="243"/>
        <v>1</v>
      </c>
      <c r="D1466" s="674"/>
      <c r="E1466" s="24">
        <f t="shared" si="244"/>
        <v>1</v>
      </c>
      <c r="F1466" s="674"/>
      <c r="G1466" s="24">
        <f t="shared" si="245"/>
        <v>1</v>
      </c>
      <c r="H1466" s="674"/>
      <c r="I1466" s="24">
        <f t="shared" si="246"/>
        <v>1</v>
      </c>
      <c r="J1466" s="674"/>
      <c r="K1466" s="24">
        <f t="shared" si="247"/>
        <v>1</v>
      </c>
      <c r="L1466" s="674"/>
      <c r="M1466" s="24">
        <f t="shared" si="248"/>
        <v>1</v>
      </c>
      <c r="N1466" s="674"/>
      <c r="O1466" s="24">
        <f t="shared" si="249"/>
        <v>1</v>
      </c>
      <c r="P1466" s="674"/>
      <c r="Q1466" s="24">
        <f t="shared" si="250"/>
        <v>0</v>
      </c>
      <c r="R1466" s="670">
        <f t="shared" si="251"/>
        <v>0</v>
      </c>
      <c r="S1466" s="322">
        <f t="shared" si="252"/>
        <v>0</v>
      </c>
    </row>
    <row r="1467" spans="1:19">
      <c r="A1467" s="155"/>
      <c r="B1467" s="57"/>
      <c r="C1467" s="24">
        <f t="shared" si="243"/>
        <v>1</v>
      </c>
      <c r="D1467" s="674"/>
      <c r="E1467" s="24">
        <f t="shared" si="244"/>
        <v>1</v>
      </c>
      <c r="F1467" s="674"/>
      <c r="G1467" s="24">
        <f t="shared" si="245"/>
        <v>1</v>
      </c>
      <c r="H1467" s="674"/>
      <c r="I1467" s="24">
        <f t="shared" si="246"/>
        <v>1</v>
      </c>
      <c r="J1467" s="674"/>
      <c r="K1467" s="24">
        <f t="shared" si="247"/>
        <v>1</v>
      </c>
      <c r="L1467" s="674"/>
      <c r="M1467" s="24">
        <f t="shared" si="248"/>
        <v>1</v>
      </c>
      <c r="N1467" s="674"/>
      <c r="O1467" s="24">
        <f t="shared" si="249"/>
        <v>1</v>
      </c>
      <c r="P1467" s="674"/>
      <c r="Q1467" s="24">
        <f t="shared" si="250"/>
        <v>0</v>
      </c>
      <c r="R1467" s="670">
        <f t="shared" si="251"/>
        <v>0</v>
      </c>
      <c r="S1467" s="322">
        <f t="shared" si="252"/>
        <v>0</v>
      </c>
    </row>
    <row r="1468" spans="1:19">
      <c r="A1468" s="155"/>
      <c r="B1468" s="57"/>
      <c r="C1468" s="24">
        <f t="shared" si="243"/>
        <v>1</v>
      </c>
      <c r="D1468" s="674"/>
      <c r="E1468" s="24">
        <f t="shared" si="244"/>
        <v>1</v>
      </c>
      <c r="F1468" s="674"/>
      <c r="G1468" s="24">
        <f t="shared" si="245"/>
        <v>1</v>
      </c>
      <c r="H1468" s="674"/>
      <c r="I1468" s="24">
        <f t="shared" si="246"/>
        <v>1</v>
      </c>
      <c r="J1468" s="674"/>
      <c r="K1468" s="24">
        <f t="shared" si="247"/>
        <v>1</v>
      </c>
      <c r="L1468" s="674"/>
      <c r="M1468" s="24">
        <f t="shared" si="248"/>
        <v>1</v>
      </c>
      <c r="N1468" s="674"/>
      <c r="O1468" s="24">
        <f t="shared" si="249"/>
        <v>1</v>
      </c>
      <c r="P1468" s="674"/>
      <c r="Q1468" s="24">
        <f t="shared" si="250"/>
        <v>0</v>
      </c>
      <c r="R1468" s="670">
        <f t="shared" si="251"/>
        <v>0</v>
      </c>
      <c r="S1468" s="322">
        <f t="shared" si="252"/>
        <v>0</v>
      </c>
    </row>
    <row r="1469" spans="1:19">
      <c r="A1469" s="155"/>
      <c r="B1469" s="57"/>
      <c r="C1469" s="24">
        <f t="shared" si="243"/>
        <v>1</v>
      </c>
      <c r="D1469" s="674"/>
      <c r="E1469" s="24">
        <f t="shared" si="244"/>
        <v>1</v>
      </c>
      <c r="F1469" s="674"/>
      <c r="G1469" s="24">
        <f t="shared" si="245"/>
        <v>1</v>
      </c>
      <c r="H1469" s="674"/>
      <c r="I1469" s="24">
        <f t="shared" si="246"/>
        <v>1</v>
      </c>
      <c r="J1469" s="674"/>
      <c r="K1469" s="24">
        <f t="shared" si="247"/>
        <v>1</v>
      </c>
      <c r="L1469" s="674"/>
      <c r="M1469" s="24">
        <f t="shared" si="248"/>
        <v>1</v>
      </c>
      <c r="N1469" s="674"/>
      <c r="O1469" s="24">
        <f t="shared" si="249"/>
        <v>1</v>
      </c>
      <c r="P1469" s="674"/>
      <c r="Q1469" s="24">
        <f t="shared" si="250"/>
        <v>0</v>
      </c>
      <c r="R1469" s="670">
        <f t="shared" si="251"/>
        <v>0</v>
      </c>
      <c r="S1469" s="322">
        <f t="shared" si="252"/>
        <v>0</v>
      </c>
    </row>
    <row r="1470" spans="1:19">
      <c r="A1470" s="155"/>
      <c r="B1470" s="57"/>
      <c r="C1470" s="24">
        <f t="shared" si="243"/>
        <v>1</v>
      </c>
      <c r="D1470" s="674"/>
      <c r="E1470" s="24">
        <f t="shared" si="244"/>
        <v>1</v>
      </c>
      <c r="F1470" s="674"/>
      <c r="G1470" s="24">
        <f t="shared" si="245"/>
        <v>1</v>
      </c>
      <c r="H1470" s="674"/>
      <c r="I1470" s="24">
        <f t="shared" si="246"/>
        <v>1</v>
      </c>
      <c r="J1470" s="674"/>
      <c r="K1470" s="24">
        <f t="shared" si="247"/>
        <v>1</v>
      </c>
      <c r="L1470" s="674"/>
      <c r="M1470" s="24">
        <f t="shared" si="248"/>
        <v>1</v>
      </c>
      <c r="N1470" s="674"/>
      <c r="O1470" s="24">
        <f t="shared" si="249"/>
        <v>1</v>
      </c>
      <c r="P1470" s="674"/>
      <c r="Q1470" s="24">
        <f t="shared" si="250"/>
        <v>0</v>
      </c>
      <c r="R1470" s="670">
        <f t="shared" si="251"/>
        <v>0</v>
      </c>
      <c r="S1470" s="322">
        <f t="shared" si="252"/>
        <v>0</v>
      </c>
    </row>
    <row r="1471" spans="1:19">
      <c r="A1471" s="155"/>
      <c r="B1471" s="57"/>
      <c r="C1471" s="24">
        <f t="shared" si="243"/>
        <v>1</v>
      </c>
      <c r="D1471" s="674"/>
      <c r="E1471" s="24">
        <f t="shared" si="244"/>
        <v>1</v>
      </c>
      <c r="F1471" s="674"/>
      <c r="G1471" s="24">
        <f t="shared" si="245"/>
        <v>1</v>
      </c>
      <c r="H1471" s="674"/>
      <c r="I1471" s="24">
        <f t="shared" si="246"/>
        <v>1</v>
      </c>
      <c r="J1471" s="674"/>
      <c r="K1471" s="24">
        <f t="shared" si="247"/>
        <v>1</v>
      </c>
      <c r="L1471" s="674"/>
      <c r="M1471" s="24">
        <f t="shared" si="248"/>
        <v>1</v>
      </c>
      <c r="N1471" s="674"/>
      <c r="O1471" s="24">
        <f t="shared" si="249"/>
        <v>1</v>
      </c>
      <c r="P1471" s="674"/>
      <c r="Q1471" s="24">
        <f t="shared" si="250"/>
        <v>0</v>
      </c>
      <c r="R1471" s="670">
        <f t="shared" si="251"/>
        <v>0</v>
      </c>
      <c r="S1471" s="322">
        <f t="shared" si="252"/>
        <v>0</v>
      </c>
    </row>
    <row r="1472" spans="1:19">
      <c r="A1472" s="155"/>
      <c r="B1472" s="57"/>
      <c r="C1472" s="24">
        <f t="shared" si="243"/>
        <v>1</v>
      </c>
      <c r="D1472" s="674"/>
      <c r="E1472" s="24">
        <f t="shared" si="244"/>
        <v>1</v>
      </c>
      <c r="F1472" s="674"/>
      <c r="G1472" s="24">
        <f t="shared" si="245"/>
        <v>1</v>
      </c>
      <c r="H1472" s="674"/>
      <c r="I1472" s="24">
        <f t="shared" si="246"/>
        <v>1</v>
      </c>
      <c r="J1472" s="674"/>
      <c r="K1472" s="24">
        <f t="shared" si="247"/>
        <v>1</v>
      </c>
      <c r="L1472" s="674"/>
      <c r="M1472" s="24">
        <f t="shared" si="248"/>
        <v>1</v>
      </c>
      <c r="N1472" s="674"/>
      <c r="O1472" s="24">
        <f t="shared" si="249"/>
        <v>1</v>
      </c>
      <c r="P1472" s="674"/>
      <c r="Q1472" s="24">
        <f t="shared" si="250"/>
        <v>0</v>
      </c>
      <c r="R1472" s="670">
        <f t="shared" si="251"/>
        <v>0</v>
      </c>
      <c r="S1472" s="322">
        <f t="shared" si="252"/>
        <v>0</v>
      </c>
    </row>
    <row r="1473" spans="1:19">
      <c r="A1473" s="155"/>
      <c r="B1473" s="57"/>
      <c r="C1473" s="24">
        <f t="shared" si="243"/>
        <v>1</v>
      </c>
      <c r="D1473" s="674"/>
      <c r="E1473" s="24">
        <f t="shared" si="244"/>
        <v>1</v>
      </c>
      <c r="F1473" s="674"/>
      <c r="G1473" s="24">
        <f t="shared" si="245"/>
        <v>1</v>
      </c>
      <c r="H1473" s="674"/>
      <c r="I1473" s="24">
        <f t="shared" si="246"/>
        <v>1</v>
      </c>
      <c r="J1473" s="674"/>
      <c r="K1473" s="24">
        <f t="shared" si="247"/>
        <v>1</v>
      </c>
      <c r="L1473" s="674"/>
      <c r="M1473" s="24">
        <f t="shared" si="248"/>
        <v>1</v>
      </c>
      <c r="N1473" s="674"/>
      <c r="O1473" s="24">
        <f t="shared" si="249"/>
        <v>1</v>
      </c>
      <c r="P1473" s="674"/>
      <c r="Q1473" s="24">
        <f t="shared" si="250"/>
        <v>0</v>
      </c>
      <c r="R1473" s="670">
        <f t="shared" si="251"/>
        <v>0</v>
      </c>
      <c r="S1473" s="322">
        <f t="shared" si="252"/>
        <v>0</v>
      </c>
    </row>
    <row r="1474" spans="1:19">
      <c r="A1474" s="155"/>
      <c r="B1474" s="57"/>
      <c r="C1474" s="24">
        <f t="shared" si="243"/>
        <v>1</v>
      </c>
      <c r="D1474" s="674"/>
      <c r="E1474" s="24">
        <f t="shared" si="244"/>
        <v>1</v>
      </c>
      <c r="F1474" s="674"/>
      <c r="G1474" s="24">
        <f t="shared" si="245"/>
        <v>1</v>
      </c>
      <c r="H1474" s="674"/>
      <c r="I1474" s="24">
        <f t="shared" si="246"/>
        <v>1</v>
      </c>
      <c r="J1474" s="674"/>
      <c r="K1474" s="24">
        <f t="shared" si="247"/>
        <v>1</v>
      </c>
      <c r="L1474" s="674"/>
      <c r="M1474" s="24">
        <f t="shared" si="248"/>
        <v>1</v>
      </c>
      <c r="N1474" s="674"/>
      <c r="O1474" s="24">
        <f t="shared" si="249"/>
        <v>1</v>
      </c>
      <c r="P1474" s="674"/>
      <c r="Q1474" s="24">
        <f t="shared" si="250"/>
        <v>0</v>
      </c>
      <c r="R1474" s="670">
        <f t="shared" si="251"/>
        <v>0</v>
      </c>
      <c r="S1474" s="322">
        <f t="shared" si="252"/>
        <v>0</v>
      </c>
    </row>
    <row r="1475" spans="1:19">
      <c r="A1475" s="155"/>
      <c r="B1475" s="57"/>
      <c r="C1475" s="24">
        <f t="shared" si="243"/>
        <v>1</v>
      </c>
      <c r="D1475" s="674"/>
      <c r="E1475" s="24">
        <f t="shared" si="244"/>
        <v>1</v>
      </c>
      <c r="F1475" s="674"/>
      <c r="G1475" s="24">
        <f t="shared" si="245"/>
        <v>1</v>
      </c>
      <c r="H1475" s="674"/>
      <c r="I1475" s="24">
        <f t="shared" si="246"/>
        <v>1</v>
      </c>
      <c r="J1475" s="674"/>
      <c r="K1475" s="24">
        <f t="shared" si="247"/>
        <v>1</v>
      </c>
      <c r="L1475" s="674"/>
      <c r="M1475" s="24">
        <f t="shared" si="248"/>
        <v>1</v>
      </c>
      <c r="N1475" s="674"/>
      <c r="O1475" s="24">
        <f t="shared" si="249"/>
        <v>1</v>
      </c>
      <c r="P1475" s="674"/>
      <c r="Q1475" s="24">
        <f t="shared" si="250"/>
        <v>0</v>
      </c>
      <c r="R1475" s="670">
        <f t="shared" si="251"/>
        <v>0</v>
      </c>
      <c r="S1475" s="322">
        <f t="shared" si="252"/>
        <v>0</v>
      </c>
    </row>
    <row r="1476" spans="1:19">
      <c r="A1476" s="155"/>
      <c r="B1476" s="57"/>
      <c r="C1476" s="24">
        <f t="shared" si="243"/>
        <v>1</v>
      </c>
      <c r="D1476" s="674"/>
      <c r="E1476" s="24">
        <f t="shared" si="244"/>
        <v>1</v>
      </c>
      <c r="F1476" s="674"/>
      <c r="G1476" s="24">
        <f t="shared" si="245"/>
        <v>1</v>
      </c>
      <c r="H1476" s="674"/>
      <c r="I1476" s="24">
        <f t="shared" si="246"/>
        <v>1</v>
      </c>
      <c r="J1476" s="674"/>
      <c r="K1476" s="24">
        <f t="shared" si="247"/>
        <v>1</v>
      </c>
      <c r="L1476" s="674"/>
      <c r="M1476" s="24">
        <f t="shared" si="248"/>
        <v>1</v>
      </c>
      <c r="N1476" s="674"/>
      <c r="O1476" s="24">
        <f t="shared" si="249"/>
        <v>1</v>
      </c>
      <c r="P1476" s="674"/>
      <c r="Q1476" s="24">
        <f t="shared" si="250"/>
        <v>0</v>
      </c>
      <c r="R1476" s="670">
        <f t="shared" si="251"/>
        <v>0</v>
      </c>
      <c r="S1476" s="322">
        <f t="shared" si="252"/>
        <v>0</v>
      </c>
    </row>
    <row r="1477" spans="1:19">
      <c r="A1477" s="155"/>
      <c r="B1477" s="57"/>
      <c r="C1477" s="24">
        <f t="shared" si="243"/>
        <v>1</v>
      </c>
      <c r="D1477" s="674"/>
      <c r="E1477" s="24">
        <f t="shared" si="244"/>
        <v>1</v>
      </c>
      <c r="F1477" s="674"/>
      <c r="G1477" s="24">
        <f t="shared" si="245"/>
        <v>1</v>
      </c>
      <c r="H1477" s="674"/>
      <c r="I1477" s="24">
        <f t="shared" si="246"/>
        <v>1</v>
      </c>
      <c r="J1477" s="674"/>
      <c r="K1477" s="24">
        <f t="shared" si="247"/>
        <v>1</v>
      </c>
      <c r="L1477" s="674"/>
      <c r="M1477" s="24">
        <f t="shared" si="248"/>
        <v>1</v>
      </c>
      <c r="N1477" s="674"/>
      <c r="O1477" s="24">
        <f t="shared" si="249"/>
        <v>1</v>
      </c>
      <c r="P1477" s="674"/>
      <c r="Q1477" s="24">
        <f t="shared" si="250"/>
        <v>0</v>
      </c>
      <c r="R1477" s="670">
        <f t="shared" si="251"/>
        <v>0</v>
      </c>
      <c r="S1477" s="322">
        <f t="shared" si="252"/>
        <v>0</v>
      </c>
    </row>
    <row r="1478" spans="1:19">
      <c r="A1478" s="155"/>
      <c r="B1478" s="57"/>
      <c r="C1478" s="24">
        <f t="shared" si="243"/>
        <v>1</v>
      </c>
      <c r="D1478" s="674"/>
      <c r="E1478" s="24">
        <f t="shared" si="244"/>
        <v>1</v>
      </c>
      <c r="F1478" s="674"/>
      <c r="G1478" s="24">
        <f t="shared" si="245"/>
        <v>1</v>
      </c>
      <c r="H1478" s="674"/>
      <c r="I1478" s="24">
        <f t="shared" si="246"/>
        <v>1</v>
      </c>
      <c r="J1478" s="674"/>
      <c r="K1478" s="24">
        <f t="shared" si="247"/>
        <v>1</v>
      </c>
      <c r="L1478" s="674"/>
      <c r="M1478" s="24">
        <f t="shared" si="248"/>
        <v>1</v>
      </c>
      <c r="N1478" s="674"/>
      <c r="O1478" s="24">
        <f t="shared" si="249"/>
        <v>1</v>
      </c>
      <c r="P1478" s="674"/>
      <c r="Q1478" s="24">
        <f t="shared" si="250"/>
        <v>0</v>
      </c>
      <c r="R1478" s="670">
        <f t="shared" si="251"/>
        <v>0</v>
      </c>
      <c r="S1478" s="322">
        <f t="shared" si="252"/>
        <v>0</v>
      </c>
    </row>
    <row r="1479" spans="1:19">
      <c r="A1479" s="155"/>
      <c r="B1479" s="57"/>
      <c r="C1479" s="24">
        <f t="shared" si="243"/>
        <v>1</v>
      </c>
      <c r="D1479" s="674"/>
      <c r="E1479" s="24">
        <f t="shared" si="244"/>
        <v>1</v>
      </c>
      <c r="F1479" s="674"/>
      <c r="G1479" s="24">
        <f t="shared" si="245"/>
        <v>1</v>
      </c>
      <c r="H1479" s="674"/>
      <c r="I1479" s="24">
        <f t="shared" si="246"/>
        <v>1</v>
      </c>
      <c r="J1479" s="674"/>
      <c r="K1479" s="24">
        <f t="shared" si="247"/>
        <v>1</v>
      </c>
      <c r="L1479" s="674"/>
      <c r="M1479" s="24">
        <f t="shared" si="248"/>
        <v>1</v>
      </c>
      <c r="N1479" s="674"/>
      <c r="O1479" s="24">
        <f t="shared" si="249"/>
        <v>1</v>
      </c>
      <c r="P1479" s="674"/>
      <c r="Q1479" s="24">
        <f t="shared" si="250"/>
        <v>0</v>
      </c>
      <c r="R1479" s="670">
        <f t="shared" si="251"/>
        <v>0</v>
      </c>
      <c r="S1479" s="322">
        <f t="shared" si="252"/>
        <v>0</v>
      </c>
    </row>
    <row r="1480" spans="1:19">
      <c r="A1480" s="155"/>
      <c r="B1480" s="57"/>
      <c r="C1480" s="24">
        <f t="shared" si="243"/>
        <v>1</v>
      </c>
      <c r="D1480" s="674"/>
      <c r="E1480" s="24">
        <f t="shared" si="244"/>
        <v>1</v>
      </c>
      <c r="F1480" s="674"/>
      <c r="G1480" s="24">
        <f t="shared" si="245"/>
        <v>1</v>
      </c>
      <c r="H1480" s="674"/>
      <c r="I1480" s="24">
        <f t="shared" si="246"/>
        <v>1</v>
      </c>
      <c r="J1480" s="674"/>
      <c r="K1480" s="24">
        <f t="shared" si="247"/>
        <v>1</v>
      </c>
      <c r="L1480" s="674"/>
      <c r="M1480" s="24">
        <f t="shared" si="248"/>
        <v>1</v>
      </c>
      <c r="N1480" s="674"/>
      <c r="O1480" s="24">
        <f t="shared" si="249"/>
        <v>1</v>
      </c>
      <c r="P1480" s="674"/>
      <c r="Q1480" s="24">
        <f t="shared" si="250"/>
        <v>0</v>
      </c>
      <c r="R1480" s="670">
        <f t="shared" si="251"/>
        <v>0</v>
      </c>
      <c r="S1480" s="322">
        <f t="shared" si="252"/>
        <v>0</v>
      </c>
    </row>
    <row r="1481" spans="1:19">
      <c r="A1481" s="155"/>
      <c r="B1481" s="57"/>
      <c r="C1481" s="24">
        <f t="shared" si="243"/>
        <v>1</v>
      </c>
      <c r="D1481" s="674"/>
      <c r="E1481" s="24">
        <f t="shared" si="244"/>
        <v>1</v>
      </c>
      <c r="F1481" s="674"/>
      <c r="G1481" s="24">
        <f t="shared" si="245"/>
        <v>1</v>
      </c>
      <c r="H1481" s="674"/>
      <c r="I1481" s="24">
        <f t="shared" si="246"/>
        <v>1</v>
      </c>
      <c r="J1481" s="674"/>
      <c r="K1481" s="24">
        <f t="shared" si="247"/>
        <v>1</v>
      </c>
      <c r="L1481" s="674"/>
      <c r="M1481" s="24">
        <f t="shared" si="248"/>
        <v>1</v>
      </c>
      <c r="N1481" s="674"/>
      <c r="O1481" s="24">
        <f t="shared" si="249"/>
        <v>1</v>
      </c>
      <c r="P1481" s="674"/>
      <c r="Q1481" s="24">
        <f t="shared" si="250"/>
        <v>0</v>
      </c>
      <c r="R1481" s="670">
        <f t="shared" si="251"/>
        <v>0</v>
      </c>
      <c r="S1481" s="322">
        <f t="shared" si="252"/>
        <v>0</v>
      </c>
    </row>
    <row r="1482" spans="1:19">
      <c r="A1482" s="155"/>
      <c r="B1482" s="57"/>
      <c r="C1482" s="24">
        <f t="shared" si="243"/>
        <v>1</v>
      </c>
      <c r="D1482" s="674"/>
      <c r="E1482" s="24">
        <f t="shared" si="244"/>
        <v>1</v>
      </c>
      <c r="F1482" s="674"/>
      <c r="G1482" s="24">
        <f t="shared" si="245"/>
        <v>1</v>
      </c>
      <c r="H1482" s="674"/>
      <c r="I1482" s="24">
        <f t="shared" si="246"/>
        <v>1</v>
      </c>
      <c r="J1482" s="674"/>
      <c r="K1482" s="24">
        <f t="shared" si="247"/>
        <v>1</v>
      </c>
      <c r="L1482" s="674"/>
      <c r="M1482" s="24">
        <f t="shared" si="248"/>
        <v>1</v>
      </c>
      <c r="N1482" s="674"/>
      <c r="O1482" s="24">
        <f t="shared" si="249"/>
        <v>1</v>
      </c>
      <c r="P1482" s="674"/>
      <c r="Q1482" s="24">
        <f t="shared" si="250"/>
        <v>0</v>
      </c>
      <c r="R1482" s="670">
        <f t="shared" si="251"/>
        <v>0</v>
      </c>
      <c r="S1482" s="322">
        <f t="shared" si="252"/>
        <v>0</v>
      </c>
    </row>
    <row r="1483" spans="1:19">
      <c r="A1483" s="155"/>
      <c r="B1483" s="57"/>
      <c r="C1483" s="24">
        <f t="shared" si="243"/>
        <v>1</v>
      </c>
      <c r="D1483" s="674"/>
      <c r="E1483" s="24">
        <f t="shared" si="244"/>
        <v>1</v>
      </c>
      <c r="F1483" s="674"/>
      <c r="G1483" s="24">
        <f t="shared" si="245"/>
        <v>1</v>
      </c>
      <c r="H1483" s="674"/>
      <c r="I1483" s="24">
        <f t="shared" si="246"/>
        <v>1</v>
      </c>
      <c r="J1483" s="674"/>
      <c r="K1483" s="24">
        <f t="shared" si="247"/>
        <v>1</v>
      </c>
      <c r="L1483" s="674"/>
      <c r="M1483" s="24">
        <f t="shared" si="248"/>
        <v>1</v>
      </c>
      <c r="N1483" s="674"/>
      <c r="O1483" s="24">
        <f t="shared" si="249"/>
        <v>1</v>
      </c>
      <c r="P1483" s="674"/>
      <c r="Q1483" s="24">
        <f t="shared" si="250"/>
        <v>0</v>
      </c>
      <c r="R1483" s="670">
        <f t="shared" si="251"/>
        <v>0</v>
      </c>
      <c r="S1483" s="322">
        <f t="shared" si="252"/>
        <v>0</v>
      </c>
    </row>
    <row r="1484" spans="1:19">
      <c r="A1484" s="155"/>
      <c r="B1484" s="57"/>
      <c r="C1484" s="24">
        <f t="shared" si="243"/>
        <v>1</v>
      </c>
      <c r="D1484" s="674"/>
      <c r="E1484" s="24">
        <f t="shared" si="244"/>
        <v>1</v>
      </c>
      <c r="F1484" s="674"/>
      <c r="G1484" s="24">
        <f t="shared" si="245"/>
        <v>1</v>
      </c>
      <c r="H1484" s="674"/>
      <c r="I1484" s="24">
        <f t="shared" si="246"/>
        <v>1</v>
      </c>
      <c r="J1484" s="674"/>
      <c r="K1484" s="24">
        <f t="shared" si="247"/>
        <v>1</v>
      </c>
      <c r="L1484" s="674"/>
      <c r="M1484" s="24">
        <f t="shared" si="248"/>
        <v>1</v>
      </c>
      <c r="N1484" s="674"/>
      <c r="O1484" s="24">
        <f t="shared" si="249"/>
        <v>1</v>
      </c>
      <c r="P1484" s="674"/>
      <c r="Q1484" s="24">
        <f t="shared" si="250"/>
        <v>0</v>
      </c>
      <c r="R1484" s="670">
        <f t="shared" si="251"/>
        <v>0</v>
      </c>
      <c r="S1484" s="322">
        <f t="shared" si="252"/>
        <v>0</v>
      </c>
    </row>
    <row r="1485" spans="1:19">
      <c r="A1485" s="155"/>
      <c r="B1485" s="57"/>
      <c r="C1485" s="24">
        <f t="shared" si="243"/>
        <v>1</v>
      </c>
      <c r="D1485" s="674"/>
      <c r="E1485" s="24">
        <f t="shared" si="244"/>
        <v>1</v>
      </c>
      <c r="F1485" s="674"/>
      <c r="G1485" s="24">
        <f t="shared" si="245"/>
        <v>1</v>
      </c>
      <c r="H1485" s="674"/>
      <c r="I1485" s="24">
        <f t="shared" si="246"/>
        <v>1</v>
      </c>
      <c r="J1485" s="674"/>
      <c r="K1485" s="24">
        <f t="shared" si="247"/>
        <v>1</v>
      </c>
      <c r="L1485" s="674"/>
      <c r="M1485" s="24">
        <f t="shared" si="248"/>
        <v>1</v>
      </c>
      <c r="N1485" s="674"/>
      <c r="O1485" s="24">
        <f t="shared" si="249"/>
        <v>1</v>
      </c>
      <c r="P1485" s="674"/>
      <c r="Q1485" s="24">
        <f t="shared" si="250"/>
        <v>0</v>
      </c>
      <c r="R1485" s="670">
        <f t="shared" si="251"/>
        <v>0</v>
      </c>
      <c r="S1485" s="322">
        <f t="shared" si="252"/>
        <v>0</v>
      </c>
    </row>
    <row r="1486" spans="1:19">
      <c r="A1486" s="155"/>
      <c r="B1486" s="57"/>
      <c r="C1486" s="24">
        <f t="shared" ref="C1486:C1549" si="253">IF(B1486="",1,(LOOKUP(B1486,$3:$3,$4:$4)-LOOKUP($B$24,$3:$3,$4:$4)+100)/100)</f>
        <v>1</v>
      </c>
      <c r="D1486" s="674"/>
      <c r="E1486" s="24">
        <f t="shared" ref="E1486:E1549" si="254">(SUMIF($5:$5,D1486,$6:$6)-SUMIF($5:$5,$D$24,$6:$6)+100)/100</f>
        <v>1</v>
      </c>
      <c r="F1486" s="674"/>
      <c r="G1486" s="24">
        <f t="shared" ref="G1486:G1549" si="255">(SUMIF($7:$7,F1486,$8:$8)-SUMIF($7:$7,$F$24,$8:$8)+100)/100</f>
        <v>1</v>
      </c>
      <c r="H1486" s="674"/>
      <c r="I1486" s="24">
        <f t="shared" ref="I1486:I1549" si="256">(SUMIF($9:$9,H1486,$10:$10)-SUMIF($9:$9,$H$24,$10:$10)+100)/100</f>
        <v>1</v>
      </c>
      <c r="J1486" s="674"/>
      <c r="K1486" s="24">
        <f t="shared" ref="K1486:K1549" si="257">(SUMIF($11:$11,J1486,$12:$12)-SUMIF($11:$11,$J$24,$12:$12)+100)/100</f>
        <v>1</v>
      </c>
      <c r="L1486" s="674"/>
      <c r="M1486" s="24">
        <f t="shared" ref="M1486:M1549" si="258">(SUMIF($13:$13,L1486,$14:$14)-SUMIF($13:$13,$L$24,$14:$14)+100)/100</f>
        <v>1</v>
      </c>
      <c r="N1486" s="674"/>
      <c r="O1486" s="24">
        <f t="shared" ref="O1486:O1549" si="259">(SUMIF($15:$15,N1486,$16:$16)-SUMIF($15:$15,$N$24,$16:$16)+100)/100</f>
        <v>1</v>
      </c>
      <c r="P1486" s="674"/>
      <c r="Q1486" s="24">
        <f t="shared" ref="Q1486:Q1549" si="260">(SUMIF($17:$17,P1486,$18:$18)-SUMIF($17:$17,$P$24,$18:$18)+100)/100</f>
        <v>0</v>
      </c>
      <c r="R1486" s="670">
        <f t="shared" ref="R1486:R1549" si="261">IF(B1486="",0,ROUND($R$24*C1486*E1486*G1486*I1486*K1486*M1486*O1486*Q1486,0))</f>
        <v>0</v>
      </c>
      <c r="S1486" s="322">
        <f t="shared" ref="S1486:S1549" si="262">ROUND(R1486*B1486/10000,0)</f>
        <v>0</v>
      </c>
    </row>
    <row r="1487" spans="1:19">
      <c r="A1487" s="155"/>
      <c r="B1487" s="57"/>
      <c r="C1487" s="24">
        <f t="shared" si="253"/>
        <v>1</v>
      </c>
      <c r="D1487" s="674"/>
      <c r="E1487" s="24">
        <f t="shared" si="254"/>
        <v>1</v>
      </c>
      <c r="F1487" s="674"/>
      <c r="G1487" s="24">
        <f t="shared" si="255"/>
        <v>1</v>
      </c>
      <c r="H1487" s="674"/>
      <c r="I1487" s="24">
        <f t="shared" si="256"/>
        <v>1</v>
      </c>
      <c r="J1487" s="674"/>
      <c r="K1487" s="24">
        <f t="shared" si="257"/>
        <v>1</v>
      </c>
      <c r="L1487" s="674"/>
      <c r="M1487" s="24">
        <f t="shared" si="258"/>
        <v>1</v>
      </c>
      <c r="N1487" s="674"/>
      <c r="O1487" s="24">
        <f t="shared" si="259"/>
        <v>1</v>
      </c>
      <c r="P1487" s="674"/>
      <c r="Q1487" s="24">
        <f t="shared" si="260"/>
        <v>0</v>
      </c>
      <c r="R1487" s="670">
        <f t="shared" si="261"/>
        <v>0</v>
      </c>
      <c r="S1487" s="322">
        <f t="shared" si="262"/>
        <v>0</v>
      </c>
    </row>
    <row r="1488" spans="1:19">
      <c r="A1488" s="155"/>
      <c r="B1488" s="57"/>
      <c r="C1488" s="24">
        <f t="shared" si="253"/>
        <v>1</v>
      </c>
      <c r="D1488" s="674"/>
      <c r="E1488" s="24">
        <f t="shared" si="254"/>
        <v>1</v>
      </c>
      <c r="F1488" s="674"/>
      <c r="G1488" s="24">
        <f t="shared" si="255"/>
        <v>1</v>
      </c>
      <c r="H1488" s="674"/>
      <c r="I1488" s="24">
        <f t="shared" si="256"/>
        <v>1</v>
      </c>
      <c r="J1488" s="674"/>
      <c r="K1488" s="24">
        <f t="shared" si="257"/>
        <v>1</v>
      </c>
      <c r="L1488" s="674"/>
      <c r="M1488" s="24">
        <f t="shared" si="258"/>
        <v>1</v>
      </c>
      <c r="N1488" s="674"/>
      <c r="O1488" s="24">
        <f t="shared" si="259"/>
        <v>1</v>
      </c>
      <c r="P1488" s="674"/>
      <c r="Q1488" s="24">
        <f t="shared" si="260"/>
        <v>0</v>
      </c>
      <c r="R1488" s="670">
        <f t="shared" si="261"/>
        <v>0</v>
      </c>
      <c r="S1488" s="322">
        <f t="shared" si="262"/>
        <v>0</v>
      </c>
    </row>
    <row r="1489" spans="1:19">
      <c r="A1489" s="155"/>
      <c r="B1489" s="57"/>
      <c r="C1489" s="24">
        <f t="shared" si="253"/>
        <v>1</v>
      </c>
      <c r="D1489" s="674"/>
      <c r="E1489" s="24">
        <f t="shared" si="254"/>
        <v>1</v>
      </c>
      <c r="F1489" s="674"/>
      <c r="G1489" s="24">
        <f t="shared" si="255"/>
        <v>1</v>
      </c>
      <c r="H1489" s="674"/>
      <c r="I1489" s="24">
        <f t="shared" si="256"/>
        <v>1</v>
      </c>
      <c r="J1489" s="674"/>
      <c r="K1489" s="24">
        <f t="shared" si="257"/>
        <v>1</v>
      </c>
      <c r="L1489" s="674"/>
      <c r="M1489" s="24">
        <f t="shared" si="258"/>
        <v>1</v>
      </c>
      <c r="N1489" s="674"/>
      <c r="O1489" s="24">
        <f t="shared" si="259"/>
        <v>1</v>
      </c>
      <c r="P1489" s="674"/>
      <c r="Q1489" s="24">
        <f t="shared" si="260"/>
        <v>0</v>
      </c>
      <c r="R1489" s="670">
        <f t="shared" si="261"/>
        <v>0</v>
      </c>
      <c r="S1489" s="322">
        <f t="shared" si="262"/>
        <v>0</v>
      </c>
    </row>
    <row r="1490" spans="1:19">
      <c r="A1490" s="155"/>
      <c r="B1490" s="57"/>
      <c r="C1490" s="24">
        <f t="shared" si="253"/>
        <v>1</v>
      </c>
      <c r="D1490" s="674"/>
      <c r="E1490" s="24">
        <f t="shared" si="254"/>
        <v>1</v>
      </c>
      <c r="F1490" s="674"/>
      <c r="G1490" s="24">
        <f t="shared" si="255"/>
        <v>1</v>
      </c>
      <c r="H1490" s="674"/>
      <c r="I1490" s="24">
        <f t="shared" si="256"/>
        <v>1</v>
      </c>
      <c r="J1490" s="674"/>
      <c r="K1490" s="24">
        <f t="shared" si="257"/>
        <v>1</v>
      </c>
      <c r="L1490" s="674"/>
      <c r="M1490" s="24">
        <f t="shared" si="258"/>
        <v>1</v>
      </c>
      <c r="N1490" s="674"/>
      <c r="O1490" s="24">
        <f t="shared" si="259"/>
        <v>1</v>
      </c>
      <c r="P1490" s="674"/>
      <c r="Q1490" s="24">
        <f t="shared" si="260"/>
        <v>0</v>
      </c>
      <c r="R1490" s="670">
        <f t="shared" si="261"/>
        <v>0</v>
      </c>
      <c r="S1490" s="322">
        <f t="shared" si="262"/>
        <v>0</v>
      </c>
    </row>
    <row r="1491" spans="1:19">
      <c r="A1491" s="155"/>
      <c r="B1491" s="57"/>
      <c r="C1491" s="24">
        <f t="shared" si="253"/>
        <v>1</v>
      </c>
      <c r="D1491" s="674"/>
      <c r="E1491" s="24">
        <f t="shared" si="254"/>
        <v>1</v>
      </c>
      <c r="F1491" s="674"/>
      <c r="G1491" s="24">
        <f t="shared" si="255"/>
        <v>1</v>
      </c>
      <c r="H1491" s="674"/>
      <c r="I1491" s="24">
        <f t="shared" si="256"/>
        <v>1</v>
      </c>
      <c r="J1491" s="674"/>
      <c r="K1491" s="24">
        <f t="shared" si="257"/>
        <v>1</v>
      </c>
      <c r="L1491" s="674"/>
      <c r="M1491" s="24">
        <f t="shared" si="258"/>
        <v>1</v>
      </c>
      <c r="N1491" s="674"/>
      <c r="O1491" s="24">
        <f t="shared" si="259"/>
        <v>1</v>
      </c>
      <c r="P1491" s="674"/>
      <c r="Q1491" s="24">
        <f t="shared" si="260"/>
        <v>0</v>
      </c>
      <c r="R1491" s="670">
        <f t="shared" si="261"/>
        <v>0</v>
      </c>
      <c r="S1491" s="322">
        <f t="shared" si="262"/>
        <v>0</v>
      </c>
    </row>
    <row r="1492" spans="1:19">
      <c r="A1492" s="155"/>
      <c r="B1492" s="57"/>
      <c r="C1492" s="24">
        <f t="shared" si="253"/>
        <v>1</v>
      </c>
      <c r="D1492" s="674"/>
      <c r="E1492" s="24">
        <f t="shared" si="254"/>
        <v>1</v>
      </c>
      <c r="F1492" s="674"/>
      <c r="G1492" s="24">
        <f t="shared" si="255"/>
        <v>1</v>
      </c>
      <c r="H1492" s="674"/>
      <c r="I1492" s="24">
        <f t="shared" si="256"/>
        <v>1</v>
      </c>
      <c r="J1492" s="674"/>
      <c r="K1492" s="24">
        <f t="shared" si="257"/>
        <v>1</v>
      </c>
      <c r="L1492" s="674"/>
      <c r="M1492" s="24">
        <f t="shared" si="258"/>
        <v>1</v>
      </c>
      <c r="N1492" s="674"/>
      <c r="O1492" s="24">
        <f t="shared" si="259"/>
        <v>1</v>
      </c>
      <c r="P1492" s="674"/>
      <c r="Q1492" s="24">
        <f t="shared" si="260"/>
        <v>0</v>
      </c>
      <c r="R1492" s="670">
        <f t="shared" si="261"/>
        <v>0</v>
      </c>
      <c r="S1492" s="322">
        <f t="shared" si="262"/>
        <v>0</v>
      </c>
    </row>
    <row r="1493" spans="1:19">
      <c r="A1493" s="155"/>
      <c r="B1493" s="57"/>
      <c r="C1493" s="24">
        <f t="shared" si="253"/>
        <v>1</v>
      </c>
      <c r="D1493" s="674"/>
      <c r="E1493" s="24">
        <f t="shared" si="254"/>
        <v>1</v>
      </c>
      <c r="F1493" s="674"/>
      <c r="G1493" s="24">
        <f t="shared" si="255"/>
        <v>1</v>
      </c>
      <c r="H1493" s="674"/>
      <c r="I1493" s="24">
        <f t="shared" si="256"/>
        <v>1</v>
      </c>
      <c r="J1493" s="674"/>
      <c r="K1493" s="24">
        <f t="shared" si="257"/>
        <v>1</v>
      </c>
      <c r="L1493" s="674"/>
      <c r="M1493" s="24">
        <f t="shared" si="258"/>
        <v>1</v>
      </c>
      <c r="N1493" s="674"/>
      <c r="O1493" s="24">
        <f t="shared" si="259"/>
        <v>1</v>
      </c>
      <c r="P1493" s="674"/>
      <c r="Q1493" s="24">
        <f t="shared" si="260"/>
        <v>0</v>
      </c>
      <c r="R1493" s="670">
        <f t="shared" si="261"/>
        <v>0</v>
      </c>
      <c r="S1493" s="322">
        <f t="shared" si="262"/>
        <v>0</v>
      </c>
    </row>
    <row r="1494" spans="1:19">
      <c r="A1494" s="155"/>
      <c r="B1494" s="57"/>
      <c r="C1494" s="24">
        <f t="shared" si="253"/>
        <v>1</v>
      </c>
      <c r="D1494" s="674"/>
      <c r="E1494" s="24">
        <f t="shared" si="254"/>
        <v>1</v>
      </c>
      <c r="F1494" s="674"/>
      <c r="G1494" s="24">
        <f t="shared" si="255"/>
        <v>1</v>
      </c>
      <c r="H1494" s="674"/>
      <c r="I1494" s="24">
        <f t="shared" si="256"/>
        <v>1</v>
      </c>
      <c r="J1494" s="674"/>
      <c r="K1494" s="24">
        <f t="shared" si="257"/>
        <v>1</v>
      </c>
      <c r="L1494" s="674"/>
      <c r="M1494" s="24">
        <f t="shared" si="258"/>
        <v>1</v>
      </c>
      <c r="N1494" s="674"/>
      <c r="O1494" s="24">
        <f t="shared" si="259"/>
        <v>1</v>
      </c>
      <c r="P1494" s="674"/>
      <c r="Q1494" s="24">
        <f t="shared" si="260"/>
        <v>0</v>
      </c>
      <c r="R1494" s="670">
        <f t="shared" si="261"/>
        <v>0</v>
      </c>
      <c r="S1494" s="322">
        <f t="shared" si="262"/>
        <v>0</v>
      </c>
    </row>
    <row r="1495" spans="1:19">
      <c r="A1495" s="155"/>
      <c r="B1495" s="57"/>
      <c r="C1495" s="24">
        <f t="shared" si="253"/>
        <v>1</v>
      </c>
      <c r="D1495" s="674"/>
      <c r="E1495" s="24">
        <f t="shared" si="254"/>
        <v>1</v>
      </c>
      <c r="F1495" s="674"/>
      <c r="G1495" s="24">
        <f t="shared" si="255"/>
        <v>1</v>
      </c>
      <c r="H1495" s="674"/>
      <c r="I1495" s="24">
        <f t="shared" si="256"/>
        <v>1</v>
      </c>
      <c r="J1495" s="674"/>
      <c r="K1495" s="24">
        <f t="shared" si="257"/>
        <v>1</v>
      </c>
      <c r="L1495" s="674"/>
      <c r="M1495" s="24">
        <f t="shared" si="258"/>
        <v>1</v>
      </c>
      <c r="N1495" s="674"/>
      <c r="O1495" s="24">
        <f t="shared" si="259"/>
        <v>1</v>
      </c>
      <c r="P1495" s="674"/>
      <c r="Q1495" s="24">
        <f t="shared" si="260"/>
        <v>0</v>
      </c>
      <c r="R1495" s="670">
        <f t="shared" si="261"/>
        <v>0</v>
      </c>
      <c r="S1495" s="322">
        <f t="shared" si="262"/>
        <v>0</v>
      </c>
    </row>
    <row r="1496" spans="1:19">
      <c r="A1496" s="155"/>
      <c r="B1496" s="57"/>
      <c r="C1496" s="24">
        <f t="shared" si="253"/>
        <v>1</v>
      </c>
      <c r="D1496" s="674"/>
      <c r="E1496" s="24">
        <f t="shared" si="254"/>
        <v>1</v>
      </c>
      <c r="F1496" s="674"/>
      <c r="G1496" s="24">
        <f t="shared" si="255"/>
        <v>1</v>
      </c>
      <c r="H1496" s="674"/>
      <c r="I1496" s="24">
        <f t="shared" si="256"/>
        <v>1</v>
      </c>
      <c r="J1496" s="674"/>
      <c r="K1496" s="24">
        <f t="shared" si="257"/>
        <v>1</v>
      </c>
      <c r="L1496" s="674"/>
      <c r="M1496" s="24">
        <f t="shared" si="258"/>
        <v>1</v>
      </c>
      <c r="N1496" s="674"/>
      <c r="O1496" s="24">
        <f t="shared" si="259"/>
        <v>1</v>
      </c>
      <c r="P1496" s="674"/>
      <c r="Q1496" s="24">
        <f t="shared" si="260"/>
        <v>0</v>
      </c>
      <c r="R1496" s="670">
        <f t="shared" si="261"/>
        <v>0</v>
      </c>
      <c r="S1496" s="322">
        <f t="shared" si="262"/>
        <v>0</v>
      </c>
    </row>
    <row r="1497" spans="1:19">
      <c r="A1497" s="155"/>
      <c r="B1497" s="57"/>
      <c r="C1497" s="24">
        <f t="shared" si="253"/>
        <v>1</v>
      </c>
      <c r="D1497" s="674"/>
      <c r="E1497" s="24">
        <f t="shared" si="254"/>
        <v>1</v>
      </c>
      <c r="F1497" s="674"/>
      <c r="G1497" s="24">
        <f t="shared" si="255"/>
        <v>1</v>
      </c>
      <c r="H1497" s="674"/>
      <c r="I1497" s="24">
        <f t="shared" si="256"/>
        <v>1</v>
      </c>
      <c r="J1497" s="674"/>
      <c r="K1497" s="24">
        <f t="shared" si="257"/>
        <v>1</v>
      </c>
      <c r="L1497" s="674"/>
      <c r="M1497" s="24">
        <f t="shared" si="258"/>
        <v>1</v>
      </c>
      <c r="N1497" s="674"/>
      <c r="O1497" s="24">
        <f t="shared" si="259"/>
        <v>1</v>
      </c>
      <c r="P1497" s="674"/>
      <c r="Q1497" s="24">
        <f t="shared" si="260"/>
        <v>0</v>
      </c>
      <c r="R1497" s="670">
        <f t="shared" si="261"/>
        <v>0</v>
      </c>
      <c r="S1497" s="322">
        <f t="shared" si="262"/>
        <v>0</v>
      </c>
    </row>
    <row r="1498" spans="1:19">
      <c r="A1498" s="155"/>
      <c r="B1498" s="57"/>
      <c r="C1498" s="24">
        <f t="shared" si="253"/>
        <v>1</v>
      </c>
      <c r="D1498" s="674"/>
      <c r="E1498" s="24">
        <f t="shared" si="254"/>
        <v>1</v>
      </c>
      <c r="F1498" s="674"/>
      <c r="G1498" s="24">
        <f t="shared" si="255"/>
        <v>1</v>
      </c>
      <c r="H1498" s="674"/>
      <c r="I1498" s="24">
        <f t="shared" si="256"/>
        <v>1</v>
      </c>
      <c r="J1498" s="674"/>
      <c r="K1498" s="24">
        <f t="shared" si="257"/>
        <v>1</v>
      </c>
      <c r="L1498" s="674"/>
      <c r="M1498" s="24">
        <f t="shared" si="258"/>
        <v>1</v>
      </c>
      <c r="N1498" s="674"/>
      <c r="O1498" s="24">
        <f t="shared" si="259"/>
        <v>1</v>
      </c>
      <c r="P1498" s="674"/>
      <c r="Q1498" s="24">
        <f t="shared" si="260"/>
        <v>0</v>
      </c>
      <c r="R1498" s="670">
        <f t="shared" si="261"/>
        <v>0</v>
      </c>
      <c r="S1498" s="322">
        <f t="shared" si="262"/>
        <v>0</v>
      </c>
    </row>
    <row r="1499" spans="1:19">
      <c r="A1499" s="155"/>
      <c r="B1499" s="57"/>
      <c r="C1499" s="24">
        <f t="shared" si="253"/>
        <v>1</v>
      </c>
      <c r="D1499" s="674"/>
      <c r="E1499" s="24">
        <f t="shared" si="254"/>
        <v>1</v>
      </c>
      <c r="F1499" s="674"/>
      <c r="G1499" s="24">
        <f t="shared" si="255"/>
        <v>1</v>
      </c>
      <c r="H1499" s="674"/>
      <c r="I1499" s="24">
        <f t="shared" si="256"/>
        <v>1</v>
      </c>
      <c r="J1499" s="674"/>
      <c r="K1499" s="24">
        <f t="shared" si="257"/>
        <v>1</v>
      </c>
      <c r="L1499" s="674"/>
      <c r="M1499" s="24">
        <f t="shared" si="258"/>
        <v>1</v>
      </c>
      <c r="N1499" s="674"/>
      <c r="O1499" s="24">
        <f t="shared" si="259"/>
        <v>1</v>
      </c>
      <c r="P1499" s="674"/>
      <c r="Q1499" s="24">
        <f t="shared" si="260"/>
        <v>0</v>
      </c>
      <c r="R1499" s="670">
        <f t="shared" si="261"/>
        <v>0</v>
      </c>
      <c r="S1499" s="322">
        <f t="shared" si="262"/>
        <v>0</v>
      </c>
    </row>
    <row r="1500" spans="1:19">
      <c r="A1500" s="155"/>
      <c r="B1500" s="57"/>
      <c r="C1500" s="24">
        <f t="shared" si="253"/>
        <v>1</v>
      </c>
      <c r="D1500" s="674"/>
      <c r="E1500" s="24">
        <f t="shared" si="254"/>
        <v>1</v>
      </c>
      <c r="F1500" s="674"/>
      <c r="G1500" s="24">
        <f t="shared" si="255"/>
        <v>1</v>
      </c>
      <c r="H1500" s="674"/>
      <c r="I1500" s="24">
        <f t="shared" si="256"/>
        <v>1</v>
      </c>
      <c r="J1500" s="674"/>
      <c r="K1500" s="24">
        <f t="shared" si="257"/>
        <v>1</v>
      </c>
      <c r="L1500" s="674"/>
      <c r="M1500" s="24">
        <f t="shared" si="258"/>
        <v>1</v>
      </c>
      <c r="N1500" s="674"/>
      <c r="O1500" s="24">
        <f t="shared" si="259"/>
        <v>1</v>
      </c>
      <c r="P1500" s="674"/>
      <c r="Q1500" s="24">
        <f t="shared" si="260"/>
        <v>0</v>
      </c>
      <c r="R1500" s="670">
        <f t="shared" si="261"/>
        <v>0</v>
      </c>
      <c r="S1500" s="322">
        <f t="shared" si="262"/>
        <v>0</v>
      </c>
    </row>
    <row r="1501" spans="1:19">
      <c r="A1501" s="155"/>
      <c r="B1501" s="57"/>
      <c r="C1501" s="24">
        <f t="shared" si="253"/>
        <v>1</v>
      </c>
      <c r="D1501" s="674"/>
      <c r="E1501" s="24">
        <f t="shared" si="254"/>
        <v>1</v>
      </c>
      <c r="F1501" s="674"/>
      <c r="G1501" s="24">
        <f t="shared" si="255"/>
        <v>1</v>
      </c>
      <c r="H1501" s="674"/>
      <c r="I1501" s="24">
        <f t="shared" si="256"/>
        <v>1</v>
      </c>
      <c r="J1501" s="674"/>
      <c r="K1501" s="24">
        <f t="shared" si="257"/>
        <v>1</v>
      </c>
      <c r="L1501" s="674"/>
      <c r="M1501" s="24">
        <f t="shared" si="258"/>
        <v>1</v>
      </c>
      <c r="N1501" s="674"/>
      <c r="O1501" s="24">
        <f t="shared" si="259"/>
        <v>1</v>
      </c>
      <c r="P1501" s="674"/>
      <c r="Q1501" s="24">
        <f t="shared" si="260"/>
        <v>0</v>
      </c>
      <c r="R1501" s="670">
        <f t="shared" si="261"/>
        <v>0</v>
      </c>
      <c r="S1501" s="322">
        <f t="shared" si="262"/>
        <v>0</v>
      </c>
    </row>
    <row r="1502" spans="1:19">
      <c r="A1502" s="155"/>
      <c r="B1502" s="57"/>
      <c r="C1502" s="24">
        <f t="shared" si="253"/>
        <v>1</v>
      </c>
      <c r="D1502" s="674"/>
      <c r="E1502" s="24">
        <f t="shared" si="254"/>
        <v>1</v>
      </c>
      <c r="F1502" s="674"/>
      <c r="G1502" s="24">
        <f t="shared" si="255"/>
        <v>1</v>
      </c>
      <c r="H1502" s="674"/>
      <c r="I1502" s="24">
        <f t="shared" si="256"/>
        <v>1</v>
      </c>
      <c r="J1502" s="674"/>
      <c r="K1502" s="24">
        <f t="shared" si="257"/>
        <v>1</v>
      </c>
      <c r="L1502" s="674"/>
      <c r="M1502" s="24">
        <f t="shared" si="258"/>
        <v>1</v>
      </c>
      <c r="N1502" s="674"/>
      <c r="O1502" s="24">
        <f t="shared" si="259"/>
        <v>1</v>
      </c>
      <c r="P1502" s="674"/>
      <c r="Q1502" s="24">
        <f t="shared" si="260"/>
        <v>0</v>
      </c>
      <c r="R1502" s="670">
        <f t="shared" si="261"/>
        <v>0</v>
      </c>
      <c r="S1502" s="322">
        <f t="shared" si="262"/>
        <v>0</v>
      </c>
    </row>
    <row r="1503" spans="1:19">
      <c r="A1503" s="155"/>
      <c r="B1503" s="57"/>
      <c r="C1503" s="24">
        <f t="shared" si="253"/>
        <v>1</v>
      </c>
      <c r="D1503" s="674"/>
      <c r="E1503" s="24">
        <f t="shared" si="254"/>
        <v>1</v>
      </c>
      <c r="F1503" s="674"/>
      <c r="G1503" s="24">
        <f t="shared" si="255"/>
        <v>1</v>
      </c>
      <c r="H1503" s="674"/>
      <c r="I1503" s="24">
        <f t="shared" si="256"/>
        <v>1</v>
      </c>
      <c r="J1503" s="674"/>
      <c r="K1503" s="24">
        <f t="shared" si="257"/>
        <v>1</v>
      </c>
      <c r="L1503" s="674"/>
      <c r="M1503" s="24">
        <f t="shared" si="258"/>
        <v>1</v>
      </c>
      <c r="N1503" s="674"/>
      <c r="O1503" s="24">
        <f t="shared" si="259"/>
        <v>1</v>
      </c>
      <c r="P1503" s="674"/>
      <c r="Q1503" s="24">
        <f t="shared" si="260"/>
        <v>0</v>
      </c>
      <c r="R1503" s="670">
        <f t="shared" si="261"/>
        <v>0</v>
      </c>
      <c r="S1503" s="322">
        <f t="shared" si="262"/>
        <v>0</v>
      </c>
    </row>
    <row r="1504" spans="1:19">
      <c r="A1504" s="155"/>
      <c r="B1504" s="57"/>
      <c r="C1504" s="24">
        <f t="shared" si="253"/>
        <v>1</v>
      </c>
      <c r="D1504" s="674"/>
      <c r="E1504" s="24">
        <f t="shared" si="254"/>
        <v>1</v>
      </c>
      <c r="F1504" s="674"/>
      <c r="G1504" s="24">
        <f t="shared" si="255"/>
        <v>1</v>
      </c>
      <c r="H1504" s="674"/>
      <c r="I1504" s="24">
        <f t="shared" si="256"/>
        <v>1</v>
      </c>
      <c r="J1504" s="674"/>
      <c r="K1504" s="24">
        <f t="shared" si="257"/>
        <v>1</v>
      </c>
      <c r="L1504" s="674"/>
      <c r="M1504" s="24">
        <f t="shared" si="258"/>
        <v>1</v>
      </c>
      <c r="N1504" s="674"/>
      <c r="O1504" s="24">
        <f t="shared" si="259"/>
        <v>1</v>
      </c>
      <c r="P1504" s="674"/>
      <c r="Q1504" s="24">
        <f t="shared" si="260"/>
        <v>0</v>
      </c>
      <c r="R1504" s="670">
        <f t="shared" si="261"/>
        <v>0</v>
      </c>
      <c r="S1504" s="322">
        <f t="shared" si="262"/>
        <v>0</v>
      </c>
    </row>
    <row r="1505" spans="1:19">
      <c r="A1505" s="155"/>
      <c r="B1505" s="57"/>
      <c r="C1505" s="24">
        <f t="shared" si="253"/>
        <v>1</v>
      </c>
      <c r="D1505" s="674"/>
      <c r="E1505" s="24">
        <f t="shared" si="254"/>
        <v>1</v>
      </c>
      <c r="F1505" s="674"/>
      <c r="G1505" s="24">
        <f t="shared" si="255"/>
        <v>1</v>
      </c>
      <c r="H1505" s="674"/>
      <c r="I1505" s="24">
        <f t="shared" si="256"/>
        <v>1</v>
      </c>
      <c r="J1505" s="674"/>
      <c r="K1505" s="24">
        <f t="shared" si="257"/>
        <v>1</v>
      </c>
      <c r="L1505" s="674"/>
      <c r="M1505" s="24">
        <f t="shared" si="258"/>
        <v>1</v>
      </c>
      <c r="N1505" s="674"/>
      <c r="O1505" s="24">
        <f t="shared" si="259"/>
        <v>1</v>
      </c>
      <c r="P1505" s="674"/>
      <c r="Q1505" s="24">
        <f t="shared" si="260"/>
        <v>0</v>
      </c>
      <c r="R1505" s="670">
        <f t="shared" si="261"/>
        <v>0</v>
      </c>
      <c r="S1505" s="322">
        <f t="shared" si="262"/>
        <v>0</v>
      </c>
    </row>
    <row r="1506" spans="1:19">
      <c r="A1506" s="155"/>
      <c r="B1506" s="57"/>
      <c r="C1506" s="24">
        <f t="shared" si="253"/>
        <v>1</v>
      </c>
      <c r="D1506" s="674"/>
      <c r="E1506" s="24">
        <f t="shared" si="254"/>
        <v>1</v>
      </c>
      <c r="F1506" s="674"/>
      <c r="G1506" s="24">
        <f t="shared" si="255"/>
        <v>1</v>
      </c>
      <c r="H1506" s="674"/>
      <c r="I1506" s="24">
        <f t="shared" si="256"/>
        <v>1</v>
      </c>
      <c r="J1506" s="674"/>
      <c r="K1506" s="24">
        <f t="shared" si="257"/>
        <v>1</v>
      </c>
      <c r="L1506" s="674"/>
      <c r="M1506" s="24">
        <f t="shared" si="258"/>
        <v>1</v>
      </c>
      <c r="N1506" s="674"/>
      <c r="O1506" s="24">
        <f t="shared" si="259"/>
        <v>1</v>
      </c>
      <c r="P1506" s="674"/>
      <c r="Q1506" s="24">
        <f t="shared" si="260"/>
        <v>0</v>
      </c>
      <c r="R1506" s="670">
        <f t="shared" si="261"/>
        <v>0</v>
      </c>
      <c r="S1506" s="322">
        <f t="shared" si="262"/>
        <v>0</v>
      </c>
    </row>
    <row r="1507" spans="1:19">
      <c r="A1507" s="155"/>
      <c r="B1507" s="57"/>
      <c r="C1507" s="24">
        <f t="shared" si="253"/>
        <v>1</v>
      </c>
      <c r="D1507" s="674"/>
      <c r="E1507" s="24">
        <f t="shared" si="254"/>
        <v>1</v>
      </c>
      <c r="F1507" s="674"/>
      <c r="G1507" s="24">
        <f t="shared" si="255"/>
        <v>1</v>
      </c>
      <c r="H1507" s="674"/>
      <c r="I1507" s="24">
        <f t="shared" si="256"/>
        <v>1</v>
      </c>
      <c r="J1507" s="674"/>
      <c r="K1507" s="24">
        <f t="shared" si="257"/>
        <v>1</v>
      </c>
      <c r="L1507" s="674"/>
      <c r="M1507" s="24">
        <f t="shared" si="258"/>
        <v>1</v>
      </c>
      <c r="N1507" s="674"/>
      <c r="O1507" s="24">
        <f t="shared" si="259"/>
        <v>1</v>
      </c>
      <c r="P1507" s="674"/>
      <c r="Q1507" s="24">
        <f t="shared" si="260"/>
        <v>0</v>
      </c>
      <c r="R1507" s="670">
        <f t="shared" si="261"/>
        <v>0</v>
      </c>
      <c r="S1507" s="322">
        <f t="shared" si="262"/>
        <v>0</v>
      </c>
    </row>
    <row r="1508" spans="1:19">
      <c r="A1508" s="155"/>
      <c r="B1508" s="57"/>
      <c r="C1508" s="24">
        <f t="shared" si="253"/>
        <v>1</v>
      </c>
      <c r="D1508" s="674"/>
      <c r="E1508" s="24">
        <f t="shared" si="254"/>
        <v>1</v>
      </c>
      <c r="F1508" s="674"/>
      <c r="G1508" s="24">
        <f t="shared" si="255"/>
        <v>1</v>
      </c>
      <c r="H1508" s="674"/>
      <c r="I1508" s="24">
        <f t="shared" si="256"/>
        <v>1</v>
      </c>
      <c r="J1508" s="674"/>
      <c r="K1508" s="24">
        <f t="shared" si="257"/>
        <v>1</v>
      </c>
      <c r="L1508" s="674"/>
      <c r="M1508" s="24">
        <f t="shared" si="258"/>
        <v>1</v>
      </c>
      <c r="N1508" s="674"/>
      <c r="O1508" s="24">
        <f t="shared" si="259"/>
        <v>1</v>
      </c>
      <c r="P1508" s="674"/>
      <c r="Q1508" s="24">
        <f t="shared" si="260"/>
        <v>0</v>
      </c>
      <c r="R1508" s="670">
        <f t="shared" si="261"/>
        <v>0</v>
      </c>
      <c r="S1508" s="322">
        <f t="shared" si="262"/>
        <v>0</v>
      </c>
    </row>
    <row r="1509" spans="1:19">
      <c r="A1509" s="155"/>
      <c r="B1509" s="57"/>
      <c r="C1509" s="24">
        <f t="shared" si="253"/>
        <v>1</v>
      </c>
      <c r="D1509" s="674"/>
      <c r="E1509" s="24">
        <f t="shared" si="254"/>
        <v>1</v>
      </c>
      <c r="F1509" s="674"/>
      <c r="G1509" s="24">
        <f t="shared" si="255"/>
        <v>1</v>
      </c>
      <c r="H1509" s="674"/>
      <c r="I1509" s="24">
        <f t="shared" si="256"/>
        <v>1</v>
      </c>
      <c r="J1509" s="674"/>
      <c r="K1509" s="24">
        <f t="shared" si="257"/>
        <v>1</v>
      </c>
      <c r="L1509" s="674"/>
      <c r="M1509" s="24">
        <f t="shared" si="258"/>
        <v>1</v>
      </c>
      <c r="N1509" s="674"/>
      <c r="O1509" s="24">
        <f t="shared" si="259"/>
        <v>1</v>
      </c>
      <c r="P1509" s="674"/>
      <c r="Q1509" s="24">
        <f t="shared" si="260"/>
        <v>0</v>
      </c>
      <c r="R1509" s="670">
        <f t="shared" si="261"/>
        <v>0</v>
      </c>
      <c r="S1509" s="322">
        <f t="shared" si="262"/>
        <v>0</v>
      </c>
    </row>
    <row r="1510" spans="1:19">
      <c r="A1510" s="155"/>
      <c r="B1510" s="57"/>
      <c r="C1510" s="24">
        <f t="shared" si="253"/>
        <v>1</v>
      </c>
      <c r="D1510" s="674"/>
      <c r="E1510" s="24">
        <f t="shared" si="254"/>
        <v>1</v>
      </c>
      <c r="F1510" s="674"/>
      <c r="G1510" s="24">
        <f t="shared" si="255"/>
        <v>1</v>
      </c>
      <c r="H1510" s="674"/>
      <c r="I1510" s="24">
        <f t="shared" si="256"/>
        <v>1</v>
      </c>
      <c r="J1510" s="674"/>
      <c r="K1510" s="24">
        <f t="shared" si="257"/>
        <v>1</v>
      </c>
      <c r="L1510" s="674"/>
      <c r="M1510" s="24">
        <f t="shared" si="258"/>
        <v>1</v>
      </c>
      <c r="N1510" s="674"/>
      <c r="O1510" s="24">
        <f t="shared" si="259"/>
        <v>1</v>
      </c>
      <c r="P1510" s="674"/>
      <c r="Q1510" s="24">
        <f t="shared" si="260"/>
        <v>0</v>
      </c>
      <c r="R1510" s="670">
        <f t="shared" si="261"/>
        <v>0</v>
      </c>
      <c r="S1510" s="322">
        <f t="shared" si="262"/>
        <v>0</v>
      </c>
    </row>
    <row r="1511" spans="1:19">
      <c r="A1511" s="155"/>
      <c r="B1511" s="57"/>
      <c r="C1511" s="24">
        <f t="shared" si="253"/>
        <v>1</v>
      </c>
      <c r="D1511" s="674"/>
      <c r="E1511" s="24">
        <f t="shared" si="254"/>
        <v>1</v>
      </c>
      <c r="F1511" s="674"/>
      <c r="G1511" s="24">
        <f t="shared" si="255"/>
        <v>1</v>
      </c>
      <c r="H1511" s="674"/>
      <c r="I1511" s="24">
        <f t="shared" si="256"/>
        <v>1</v>
      </c>
      <c r="J1511" s="674"/>
      <c r="K1511" s="24">
        <f t="shared" si="257"/>
        <v>1</v>
      </c>
      <c r="L1511" s="674"/>
      <c r="M1511" s="24">
        <f t="shared" si="258"/>
        <v>1</v>
      </c>
      <c r="N1511" s="674"/>
      <c r="O1511" s="24">
        <f t="shared" si="259"/>
        <v>1</v>
      </c>
      <c r="P1511" s="674"/>
      <c r="Q1511" s="24">
        <f t="shared" si="260"/>
        <v>0</v>
      </c>
      <c r="R1511" s="670">
        <f t="shared" si="261"/>
        <v>0</v>
      </c>
      <c r="S1511" s="322">
        <f t="shared" si="262"/>
        <v>0</v>
      </c>
    </row>
    <row r="1512" spans="1:19">
      <c r="A1512" s="155"/>
      <c r="B1512" s="57"/>
      <c r="C1512" s="24">
        <f t="shared" si="253"/>
        <v>1</v>
      </c>
      <c r="D1512" s="674"/>
      <c r="E1512" s="24">
        <f t="shared" si="254"/>
        <v>1</v>
      </c>
      <c r="F1512" s="674"/>
      <c r="G1512" s="24">
        <f t="shared" si="255"/>
        <v>1</v>
      </c>
      <c r="H1512" s="674"/>
      <c r="I1512" s="24">
        <f t="shared" si="256"/>
        <v>1</v>
      </c>
      <c r="J1512" s="674"/>
      <c r="K1512" s="24">
        <f t="shared" si="257"/>
        <v>1</v>
      </c>
      <c r="L1512" s="674"/>
      <c r="M1512" s="24">
        <f t="shared" si="258"/>
        <v>1</v>
      </c>
      <c r="N1512" s="674"/>
      <c r="O1512" s="24">
        <f t="shared" si="259"/>
        <v>1</v>
      </c>
      <c r="P1512" s="674"/>
      <c r="Q1512" s="24">
        <f t="shared" si="260"/>
        <v>0</v>
      </c>
      <c r="R1512" s="670">
        <f t="shared" si="261"/>
        <v>0</v>
      </c>
      <c r="S1512" s="322">
        <f t="shared" si="262"/>
        <v>0</v>
      </c>
    </row>
    <row r="1513" spans="1:19">
      <c r="A1513" s="155"/>
      <c r="B1513" s="57"/>
      <c r="C1513" s="24">
        <f t="shared" si="253"/>
        <v>1</v>
      </c>
      <c r="D1513" s="674"/>
      <c r="E1513" s="24">
        <f t="shared" si="254"/>
        <v>1</v>
      </c>
      <c r="F1513" s="674"/>
      <c r="G1513" s="24">
        <f t="shared" si="255"/>
        <v>1</v>
      </c>
      <c r="H1513" s="674"/>
      <c r="I1513" s="24">
        <f t="shared" si="256"/>
        <v>1</v>
      </c>
      <c r="J1513" s="674"/>
      <c r="K1513" s="24">
        <f t="shared" si="257"/>
        <v>1</v>
      </c>
      <c r="L1513" s="674"/>
      <c r="M1513" s="24">
        <f t="shared" si="258"/>
        <v>1</v>
      </c>
      <c r="N1513" s="674"/>
      <c r="O1513" s="24">
        <f t="shared" si="259"/>
        <v>1</v>
      </c>
      <c r="P1513" s="674"/>
      <c r="Q1513" s="24">
        <f t="shared" si="260"/>
        <v>0</v>
      </c>
      <c r="R1513" s="670">
        <f t="shared" si="261"/>
        <v>0</v>
      </c>
      <c r="S1513" s="322">
        <f t="shared" si="262"/>
        <v>0</v>
      </c>
    </row>
    <row r="1514" spans="1:19">
      <c r="A1514" s="155"/>
      <c r="B1514" s="57"/>
      <c r="C1514" s="24">
        <f t="shared" si="253"/>
        <v>1</v>
      </c>
      <c r="D1514" s="674"/>
      <c r="E1514" s="24">
        <f t="shared" si="254"/>
        <v>1</v>
      </c>
      <c r="F1514" s="674"/>
      <c r="G1514" s="24">
        <f t="shared" si="255"/>
        <v>1</v>
      </c>
      <c r="H1514" s="674"/>
      <c r="I1514" s="24">
        <f t="shared" si="256"/>
        <v>1</v>
      </c>
      <c r="J1514" s="674"/>
      <c r="K1514" s="24">
        <f t="shared" si="257"/>
        <v>1</v>
      </c>
      <c r="L1514" s="674"/>
      <c r="M1514" s="24">
        <f t="shared" si="258"/>
        <v>1</v>
      </c>
      <c r="N1514" s="674"/>
      <c r="O1514" s="24">
        <f t="shared" si="259"/>
        <v>1</v>
      </c>
      <c r="P1514" s="674"/>
      <c r="Q1514" s="24">
        <f t="shared" si="260"/>
        <v>0</v>
      </c>
      <c r="R1514" s="670">
        <f t="shared" si="261"/>
        <v>0</v>
      </c>
      <c r="S1514" s="322">
        <f t="shared" si="262"/>
        <v>0</v>
      </c>
    </row>
    <row r="1515" spans="1:19">
      <c r="A1515" s="155"/>
      <c r="B1515" s="57"/>
      <c r="C1515" s="24">
        <f t="shared" si="253"/>
        <v>1</v>
      </c>
      <c r="D1515" s="674"/>
      <c r="E1515" s="24">
        <f t="shared" si="254"/>
        <v>1</v>
      </c>
      <c r="F1515" s="674"/>
      <c r="G1515" s="24">
        <f t="shared" si="255"/>
        <v>1</v>
      </c>
      <c r="H1515" s="674"/>
      <c r="I1515" s="24">
        <f t="shared" si="256"/>
        <v>1</v>
      </c>
      <c r="J1515" s="674"/>
      <c r="K1515" s="24">
        <f t="shared" si="257"/>
        <v>1</v>
      </c>
      <c r="L1515" s="674"/>
      <c r="M1515" s="24">
        <f t="shared" si="258"/>
        <v>1</v>
      </c>
      <c r="N1515" s="674"/>
      <c r="O1515" s="24">
        <f t="shared" si="259"/>
        <v>1</v>
      </c>
      <c r="P1515" s="674"/>
      <c r="Q1515" s="24">
        <f t="shared" si="260"/>
        <v>0</v>
      </c>
      <c r="R1515" s="670">
        <f t="shared" si="261"/>
        <v>0</v>
      </c>
      <c r="S1515" s="322">
        <f t="shared" si="262"/>
        <v>0</v>
      </c>
    </row>
    <row r="1516" spans="1:19">
      <c r="A1516" s="155"/>
      <c r="B1516" s="57"/>
      <c r="C1516" s="24">
        <f t="shared" si="253"/>
        <v>1</v>
      </c>
      <c r="D1516" s="674"/>
      <c r="E1516" s="24">
        <f t="shared" si="254"/>
        <v>1</v>
      </c>
      <c r="F1516" s="674"/>
      <c r="G1516" s="24">
        <f t="shared" si="255"/>
        <v>1</v>
      </c>
      <c r="H1516" s="674"/>
      <c r="I1516" s="24">
        <f t="shared" si="256"/>
        <v>1</v>
      </c>
      <c r="J1516" s="674"/>
      <c r="K1516" s="24">
        <f t="shared" si="257"/>
        <v>1</v>
      </c>
      <c r="L1516" s="674"/>
      <c r="M1516" s="24">
        <f t="shared" si="258"/>
        <v>1</v>
      </c>
      <c r="N1516" s="674"/>
      <c r="O1516" s="24">
        <f t="shared" si="259"/>
        <v>1</v>
      </c>
      <c r="P1516" s="674"/>
      <c r="Q1516" s="24">
        <f t="shared" si="260"/>
        <v>0</v>
      </c>
      <c r="R1516" s="670">
        <f t="shared" si="261"/>
        <v>0</v>
      </c>
      <c r="S1516" s="322">
        <f t="shared" si="262"/>
        <v>0</v>
      </c>
    </row>
    <row r="1517" spans="1:19">
      <c r="A1517" s="155"/>
      <c r="B1517" s="57"/>
      <c r="C1517" s="24">
        <f t="shared" si="253"/>
        <v>1</v>
      </c>
      <c r="D1517" s="674"/>
      <c r="E1517" s="24">
        <f t="shared" si="254"/>
        <v>1</v>
      </c>
      <c r="F1517" s="674"/>
      <c r="G1517" s="24">
        <f t="shared" si="255"/>
        <v>1</v>
      </c>
      <c r="H1517" s="674"/>
      <c r="I1517" s="24">
        <f t="shared" si="256"/>
        <v>1</v>
      </c>
      <c r="J1517" s="674"/>
      <c r="K1517" s="24">
        <f t="shared" si="257"/>
        <v>1</v>
      </c>
      <c r="L1517" s="674"/>
      <c r="M1517" s="24">
        <f t="shared" si="258"/>
        <v>1</v>
      </c>
      <c r="N1517" s="674"/>
      <c r="O1517" s="24">
        <f t="shared" si="259"/>
        <v>1</v>
      </c>
      <c r="P1517" s="674"/>
      <c r="Q1517" s="24">
        <f t="shared" si="260"/>
        <v>0</v>
      </c>
      <c r="R1517" s="670">
        <f t="shared" si="261"/>
        <v>0</v>
      </c>
      <c r="S1517" s="322">
        <f t="shared" si="262"/>
        <v>0</v>
      </c>
    </row>
    <row r="1518" spans="1:19">
      <c r="A1518" s="155"/>
      <c r="B1518" s="57"/>
      <c r="C1518" s="24">
        <f t="shared" si="253"/>
        <v>1</v>
      </c>
      <c r="D1518" s="674"/>
      <c r="E1518" s="24">
        <f t="shared" si="254"/>
        <v>1</v>
      </c>
      <c r="F1518" s="674"/>
      <c r="G1518" s="24">
        <f t="shared" si="255"/>
        <v>1</v>
      </c>
      <c r="H1518" s="674"/>
      <c r="I1518" s="24">
        <f t="shared" si="256"/>
        <v>1</v>
      </c>
      <c r="J1518" s="674"/>
      <c r="K1518" s="24">
        <f t="shared" si="257"/>
        <v>1</v>
      </c>
      <c r="L1518" s="674"/>
      <c r="M1518" s="24">
        <f t="shared" si="258"/>
        <v>1</v>
      </c>
      <c r="N1518" s="674"/>
      <c r="O1518" s="24">
        <f t="shared" si="259"/>
        <v>1</v>
      </c>
      <c r="P1518" s="674"/>
      <c r="Q1518" s="24">
        <f t="shared" si="260"/>
        <v>0</v>
      </c>
      <c r="R1518" s="670">
        <f t="shared" si="261"/>
        <v>0</v>
      </c>
      <c r="S1518" s="322">
        <f t="shared" si="262"/>
        <v>0</v>
      </c>
    </row>
    <row r="1519" spans="1:19">
      <c r="A1519" s="155"/>
      <c r="B1519" s="57"/>
      <c r="C1519" s="24">
        <f t="shared" si="253"/>
        <v>1</v>
      </c>
      <c r="D1519" s="674"/>
      <c r="E1519" s="24">
        <f t="shared" si="254"/>
        <v>1</v>
      </c>
      <c r="F1519" s="674"/>
      <c r="G1519" s="24">
        <f t="shared" si="255"/>
        <v>1</v>
      </c>
      <c r="H1519" s="674"/>
      <c r="I1519" s="24">
        <f t="shared" si="256"/>
        <v>1</v>
      </c>
      <c r="J1519" s="674"/>
      <c r="K1519" s="24">
        <f t="shared" si="257"/>
        <v>1</v>
      </c>
      <c r="L1519" s="674"/>
      <c r="M1519" s="24">
        <f t="shared" si="258"/>
        <v>1</v>
      </c>
      <c r="N1519" s="674"/>
      <c r="O1519" s="24">
        <f t="shared" si="259"/>
        <v>1</v>
      </c>
      <c r="P1519" s="674"/>
      <c r="Q1519" s="24">
        <f t="shared" si="260"/>
        <v>0</v>
      </c>
      <c r="R1519" s="670">
        <f t="shared" si="261"/>
        <v>0</v>
      </c>
      <c r="S1519" s="322">
        <f t="shared" si="262"/>
        <v>0</v>
      </c>
    </row>
    <row r="1520" spans="1:19">
      <c r="A1520" s="155"/>
      <c r="B1520" s="57"/>
      <c r="C1520" s="24">
        <f t="shared" si="253"/>
        <v>1</v>
      </c>
      <c r="D1520" s="674"/>
      <c r="E1520" s="24">
        <f t="shared" si="254"/>
        <v>1</v>
      </c>
      <c r="F1520" s="674"/>
      <c r="G1520" s="24">
        <f t="shared" si="255"/>
        <v>1</v>
      </c>
      <c r="H1520" s="674"/>
      <c r="I1520" s="24">
        <f t="shared" si="256"/>
        <v>1</v>
      </c>
      <c r="J1520" s="674"/>
      <c r="K1520" s="24">
        <f t="shared" si="257"/>
        <v>1</v>
      </c>
      <c r="L1520" s="674"/>
      <c r="M1520" s="24">
        <f t="shared" si="258"/>
        <v>1</v>
      </c>
      <c r="N1520" s="674"/>
      <c r="O1520" s="24">
        <f t="shared" si="259"/>
        <v>1</v>
      </c>
      <c r="P1520" s="674"/>
      <c r="Q1520" s="24">
        <f t="shared" si="260"/>
        <v>0</v>
      </c>
      <c r="R1520" s="670">
        <f t="shared" si="261"/>
        <v>0</v>
      </c>
      <c r="S1520" s="322">
        <f t="shared" si="262"/>
        <v>0</v>
      </c>
    </row>
    <row r="1521" spans="1:19">
      <c r="A1521" s="155"/>
      <c r="B1521" s="57"/>
      <c r="C1521" s="24">
        <f t="shared" si="253"/>
        <v>1</v>
      </c>
      <c r="D1521" s="674"/>
      <c r="E1521" s="24">
        <f t="shared" si="254"/>
        <v>1</v>
      </c>
      <c r="F1521" s="674"/>
      <c r="G1521" s="24">
        <f t="shared" si="255"/>
        <v>1</v>
      </c>
      <c r="H1521" s="674"/>
      <c r="I1521" s="24">
        <f t="shared" si="256"/>
        <v>1</v>
      </c>
      <c r="J1521" s="674"/>
      <c r="K1521" s="24">
        <f t="shared" si="257"/>
        <v>1</v>
      </c>
      <c r="L1521" s="674"/>
      <c r="M1521" s="24">
        <f t="shared" si="258"/>
        <v>1</v>
      </c>
      <c r="N1521" s="674"/>
      <c r="O1521" s="24">
        <f t="shared" si="259"/>
        <v>1</v>
      </c>
      <c r="P1521" s="674"/>
      <c r="Q1521" s="24">
        <f t="shared" si="260"/>
        <v>0</v>
      </c>
      <c r="R1521" s="670">
        <f t="shared" si="261"/>
        <v>0</v>
      </c>
      <c r="S1521" s="322">
        <f t="shared" si="262"/>
        <v>0</v>
      </c>
    </row>
    <row r="1522" spans="1:19">
      <c r="A1522" s="155"/>
      <c r="B1522" s="57"/>
      <c r="C1522" s="24">
        <f t="shared" si="253"/>
        <v>1</v>
      </c>
      <c r="D1522" s="674"/>
      <c r="E1522" s="24">
        <f t="shared" si="254"/>
        <v>1</v>
      </c>
      <c r="F1522" s="674"/>
      <c r="G1522" s="24">
        <f t="shared" si="255"/>
        <v>1</v>
      </c>
      <c r="H1522" s="674"/>
      <c r="I1522" s="24">
        <f t="shared" si="256"/>
        <v>1</v>
      </c>
      <c r="J1522" s="674"/>
      <c r="K1522" s="24">
        <f t="shared" si="257"/>
        <v>1</v>
      </c>
      <c r="L1522" s="674"/>
      <c r="M1522" s="24">
        <f t="shared" si="258"/>
        <v>1</v>
      </c>
      <c r="N1522" s="674"/>
      <c r="O1522" s="24">
        <f t="shared" si="259"/>
        <v>1</v>
      </c>
      <c r="P1522" s="674"/>
      <c r="Q1522" s="24">
        <f t="shared" si="260"/>
        <v>0</v>
      </c>
      <c r="R1522" s="670">
        <f t="shared" si="261"/>
        <v>0</v>
      </c>
      <c r="S1522" s="322">
        <f t="shared" si="262"/>
        <v>0</v>
      </c>
    </row>
    <row r="1523" spans="1:19">
      <c r="A1523" s="155"/>
      <c r="B1523" s="57"/>
      <c r="C1523" s="24">
        <f t="shared" si="253"/>
        <v>1</v>
      </c>
      <c r="D1523" s="674"/>
      <c r="E1523" s="24">
        <f t="shared" si="254"/>
        <v>1</v>
      </c>
      <c r="F1523" s="674"/>
      <c r="G1523" s="24">
        <f t="shared" si="255"/>
        <v>1</v>
      </c>
      <c r="H1523" s="674"/>
      <c r="I1523" s="24">
        <f t="shared" si="256"/>
        <v>1</v>
      </c>
      <c r="J1523" s="674"/>
      <c r="K1523" s="24">
        <f t="shared" si="257"/>
        <v>1</v>
      </c>
      <c r="L1523" s="674"/>
      <c r="M1523" s="24">
        <f t="shared" si="258"/>
        <v>1</v>
      </c>
      <c r="N1523" s="674"/>
      <c r="O1523" s="24">
        <f t="shared" si="259"/>
        <v>1</v>
      </c>
      <c r="P1523" s="674"/>
      <c r="Q1523" s="24">
        <f t="shared" si="260"/>
        <v>0</v>
      </c>
      <c r="R1523" s="670">
        <f t="shared" si="261"/>
        <v>0</v>
      </c>
      <c r="S1523" s="322">
        <f t="shared" si="262"/>
        <v>0</v>
      </c>
    </row>
    <row r="1524" spans="1:19">
      <c r="A1524" s="155"/>
      <c r="B1524" s="57"/>
      <c r="C1524" s="24">
        <f t="shared" si="253"/>
        <v>1</v>
      </c>
      <c r="D1524" s="674"/>
      <c r="E1524" s="24">
        <f t="shared" si="254"/>
        <v>1</v>
      </c>
      <c r="F1524" s="674"/>
      <c r="G1524" s="24">
        <f t="shared" si="255"/>
        <v>1</v>
      </c>
      <c r="H1524" s="674"/>
      <c r="I1524" s="24">
        <f t="shared" si="256"/>
        <v>1</v>
      </c>
      <c r="J1524" s="674"/>
      <c r="K1524" s="24">
        <f t="shared" si="257"/>
        <v>1</v>
      </c>
      <c r="L1524" s="674"/>
      <c r="M1524" s="24">
        <f t="shared" si="258"/>
        <v>1</v>
      </c>
      <c r="N1524" s="674"/>
      <c r="O1524" s="24">
        <f t="shared" si="259"/>
        <v>1</v>
      </c>
      <c r="P1524" s="674"/>
      <c r="Q1524" s="24">
        <f t="shared" si="260"/>
        <v>0</v>
      </c>
      <c r="R1524" s="670">
        <f t="shared" si="261"/>
        <v>0</v>
      </c>
      <c r="S1524" s="322">
        <f t="shared" si="262"/>
        <v>0</v>
      </c>
    </row>
    <row r="1525" spans="1:19">
      <c r="A1525" s="155"/>
      <c r="B1525" s="57"/>
      <c r="C1525" s="24">
        <f t="shared" si="253"/>
        <v>1</v>
      </c>
      <c r="D1525" s="674"/>
      <c r="E1525" s="24">
        <f t="shared" si="254"/>
        <v>1</v>
      </c>
      <c r="F1525" s="674"/>
      <c r="G1525" s="24">
        <f t="shared" si="255"/>
        <v>1</v>
      </c>
      <c r="H1525" s="674"/>
      <c r="I1525" s="24">
        <f t="shared" si="256"/>
        <v>1</v>
      </c>
      <c r="J1525" s="674"/>
      <c r="K1525" s="24">
        <f t="shared" si="257"/>
        <v>1</v>
      </c>
      <c r="L1525" s="674"/>
      <c r="M1525" s="24">
        <f t="shared" si="258"/>
        <v>1</v>
      </c>
      <c r="N1525" s="674"/>
      <c r="O1525" s="24">
        <f t="shared" si="259"/>
        <v>1</v>
      </c>
      <c r="P1525" s="674"/>
      <c r="Q1525" s="24">
        <f t="shared" si="260"/>
        <v>0</v>
      </c>
      <c r="R1525" s="670">
        <f t="shared" si="261"/>
        <v>0</v>
      </c>
      <c r="S1525" s="322">
        <f t="shared" si="262"/>
        <v>0</v>
      </c>
    </row>
    <row r="1526" spans="1:19">
      <c r="A1526" s="155"/>
      <c r="B1526" s="57"/>
      <c r="C1526" s="24">
        <f t="shared" si="253"/>
        <v>1</v>
      </c>
      <c r="D1526" s="674"/>
      <c r="E1526" s="24">
        <f t="shared" si="254"/>
        <v>1</v>
      </c>
      <c r="F1526" s="674"/>
      <c r="G1526" s="24">
        <f t="shared" si="255"/>
        <v>1</v>
      </c>
      <c r="H1526" s="674"/>
      <c r="I1526" s="24">
        <f t="shared" si="256"/>
        <v>1</v>
      </c>
      <c r="J1526" s="674"/>
      <c r="K1526" s="24">
        <f t="shared" si="257"/>
        <v>1</v>
      </c>
      <c r="L1526" s="674"/>
      <c r="M1526" s="24">
        <f t="shared" si="258"/>
        <v>1</v>
      </c>
      <c r="N1526" s="674"/>
      <c r="O1526" s="24">
        <f t="shared" si="259"/>
        <v>1</v>
      </c>
      <c r="P1526" s="674"/>
      <c r="Q1526" s="24">
        <f t="shared" si="260"/>
        <v>0</v>
      </c>
      <c r="R1526" s="670">
        <f t="shared" si="261"/>
        <v>0</v>
      </c>
      <c r="S1526" s="322">
        <f t="shared" si="262"/>
        <v>0</v>
      </c>
    </row>
    <row r="1527" spans="1:19">
      <c r="A1527" s="155"/>
      <c r="B1527" s="57"/>
      <c r="C1527" s="24">
        <f t="shared" si="253"/>
        <v>1</v>
      </c>
      <c r="D1527" s="674"/>
      <c r="E1527" s="24">
        <f t="shared" si="254"/>
        <v>1</v>
      </c>
      <c r="F1527" s="674"/>
      <c r="G1527" s="24">
        <f t="shared" si="255"/>
        <v>1</v>
      </c>
      <c r="H1527" s="674"/>
      <c r="I1527" s="24">
        <f t="shared" si="256"/>
        <v>1</v>
      </c>
      <c r="J1527" s="674"/>
      <c r="K1527" s="24">
        <f t="shared" si="257"/>
        <v>1</v>
      </c>
      <c r="L1527" s="674"/>
      <c r="M1527" s="24">
        <f t="shared" si="258"/>
        <v>1</v>
      </c>
      <c r="N1527" s="674"/>
      <c r="O1527" s="24">
        <f t="shared" si="259"/>
        <v>1</v>
      </c>
      <c r="P1527" s="674"/>
      <c r="Q1527" s="24">
        <f t="shared" si="260"/>
        <v>0</v>
      </c>
      <c r="R1527" s="670">
        <f t="shared" si="261"/>
        <v>0</v>
      </c>
      <c r="S1527" s="322">
        <f t="shared" si="262"/>
        <v>0</v>
      </c>
    </row>
    <row r="1528" spans="1:19">
      <c r="A1528" s="155"/>
      <c r="B1528" s="57"/>
      <c r="C1528" s="24">
        <f t="shared" si="253"/>
        <v>1</v>
      </c>
      <c r="D1528" s="674"/>
      <c r="E1528" s="24">
        <f t="shared" si="254"/>
        <v>1</v>
      </c>
      <c r="F1528" s="674"/>
      <c r="G1528" s="24">
        <f t="shared" si="255"/>
        <v>1</v>
      </c>
      <c r="H1528" s="674"/>
      <c r="I1528" s="24">
        <f t="shared" si="256"/>
        <v>1</v>
      </c>
      <c r="J1528" s="674"/>
      <c r="K1528" s="24">
        <f t="shared" si="257"/>
        <v>1</v>
      </c>
      <c r="L1528" s="674"/>
      <c r="M1528" s="24">
        <f t="shared" si="258"/>
        <v>1</v>
      </c>
      <c r="N1528" s="674"/>
      <c r="O1528" s="24">
        <f t="shared" si="259"/>
        <v>1</v>
      </c>
      <c r="P1528" s="674"/>
      <c r="Q1528" s="24">
        <f t="shared" si="260"/>
        <v>0</v>
      </c>
      <c r="R1528" s="670">
        <f t="shared" si="261"/>
        <v>0</v>
      </c>
      <c r="S1528" s="322">
        <f t="shared" si="262"/>
        <v>0</v>
      </c>
    </row>
    <row r="1529" spans="1:19">
      <c r="A1529" s="155"/>
      <c r="B1529" s="57"/>
      <c r="C1529" s="24">
        <f t="shared" si="253"/>
        <v>1</v>
      </c>
      <c r="D1529" s="674"/>
      <c r="E1529" s="24">
        <f t="shared" si="254"/>
        <v>1</v>
      </c>
      <c r="F1529" s="674"/>
      <c r="G1529" s="24">
        <f t="shared" si="255"/>
        <v>1</v>
      </c>
      <c r="H1529" s="674"/>
      <c r="I1529" s="24">
        <f t="shared" si="256"/>
        <v>1</v>
      </c>
      <c r="J1529" s="674"/>
      <c r="K1529" s="24">
        <f t="shared" si="257"/>
        <v>1</v>
      </c>
      <c r="L1529" s="674"/>
      <c r="M1529" s="24">
        <f t="shared" si="258"/>
        <v>1</v>
      </c>
      <c r="N1529" s="674"/>
      <c r="O1529" s="24">
        <f t="shared" si="259"/>
        <v>1</v>
      </c>
      <c r="P1529" s="674"/>
      <c r="Q1529" s="24">
        <f t="shared" si="260"/>
        <v>0</v>
      </c>
      <c r="R1529" s="670">
        <f t="shared" si="261"/>
        <v>0</v>
      </c>
      <c r="S1529" s="322">
        <f t="shared" si="262"/>
        <v>0</v>
      </c>
    </row>
    <row r="1530" spans="1:19">
      <c r="A1530" s="155"/>
      <c r="B1530" s="57"/>
      <c r="C1530" s="24">
        <f t="shared" si="253"/>
        <v>1</v>
      </c>
      <c r="D1530" s="674"/>
      <c r="E1530" s="24">
        <f t="shared" si="254"/>
        <v>1</v>
      </c>
      <c r="F1530" s="674"/>
      <c r="G1530" s="24">
        <f t="shared" si="255"/>
        <v>1</v>
      </c>
      <c r="H1530" s="674"/>
      <c r="I1530" s="24">
        <f t="shared" si="256"/>
        <v>1</v>
      </c>
      <c r="J1530" s="674"/>
      <c r="K1530" s="24">
        <f t="shared" si="257"/>
        <v>1</v>
      </c>
      <c r="L1530" s="674"/>
      <c r="M1530" s="24">
        <f t="shared" si="258"/>
        <v>1</v>
      </c>
      <c r="N1530" s="674"/>
      <c r="O1530" s="24">
        <f t="shared" si="259"/>
        <v>1</v>
      </c>
      <c r="P1530" s="674"/>
      <c r="Q1530" s="24">
        <f t="shared" si="260"/>
        <v>0</v>
      </c>
      <c r="R1530" s="670">
        <f t="shared" si="261"/>
        <v>0</v>
      </c>
      <c r="S1530" s="322">
        <f t="shared" si="262"/>
        <v>0</v>
      </c>
    </row>
    <row r="1531" spans="1:19">
      <c r="A1531" s="155"/>
      <c r="B1531" s="57"/>
      <c r="C1531" s="24">
        <f t="shared" si="253"/>
        <v>1</v>
      </c>
      <c r="D1531" s="674"/>
      <c r="E1531" s="24">
        <f t="shared" si="254"/>
        <v>1</v>
      </c>
      <c r="F1531" s="674"/>
      <c r="G1531" s="24">
        <f t="shared" si="255"/>
        <v>1</v>
      </c>
      <c r="H1531" s="674"/>
      <c r="I1531" s="24">
        <f t="shared" si="256"/>
        <v>1</v>
      </c>
      <c r="J1531" s="674"/>
      <c r="K1531" s="24">
        <f t="shared" si="257"/>
        <v>1</v>
      </c>
      <c r="L1531" s="674"/>
      <c r="M1531" s="24">
        <f t="shared" si="258"/>
        <v>1</v>
      </c>
      <c r="N1531" s="674"/>
      <c r="O1531" s="24">
        <f t="shared" si="259"/>
        <v>1</v>
      </c>
      <c r="P1531" s="674"/>
      <c r="Q1531" s="24">
        <f t="shared" si="260"/>
        <v>0</v>
      </c>
      <c r="R1531" s="670">
        <f t="shared" si="261"/>
        <v>0</v>
      </c>
      <c r="S1531" s="322">
        <f t="shared" si="262"/>
        <v>0</v>
      </c>
    </row>
    <row r="1532" spans="1:19">
      <c r="A1532" s="155"/>
      <c r="B1532" s="57"/>
      <c r="C1532" s="24">
        <f t="shared" si="253"/>
        <v>1</v>
      </c>
      <c r="D1532" s="674"/>
      <c r="E1532" s="24">
        <f t="shared" si="254"/>
        <v>1</v>
      </c>
      <c r="F1532" s="674"/>
      <c r="G1532" s="24">
        <f t="shared" si="255"/>
        <v>1</v>
      </c>
      <c r="H1532" s="674"/>
      <c r="I1532" s="24">
        <f t="shared" si="256"/>
        <v>1</v>
      </c>
      <c r="J1532" s="674"/>
      <c r="K1532" s="24">
        <f t="shared" si="257"/>
        <v>1</v>
      </c>
      <c r="L1532" s="674"/>
      <c r="M1532" s="24">
        <f t="shared" si="258"/>
        <v>1</v>
      </c>
      <c r="N1532" s="674"/>
      <c r="O1532" s="24">
        <f t="shared" si="259"/>
        <v>1</v>
      </c>
      <c r="P1532" s="674"/>
      <c r="Q1532" s="24">
        <f t="shared" si="260"/>
        <v>0</v>
      </c>
      <c r="R1532" s="670">
        <f t="shared" si="261"/>
        <v>0</v>
      </c>
      <c r="S1532" s="322">
        <f t="shared" si="262"/>
        <v>0</v>
      </c>
    </row>
    <row r="1533" spans="1:19">
      <c r="A1533" s="155"/>
      <c r="B1533" s="57"/>
      <c r="C1533" s="24">
        <f t="shared" si="253"/>
        <v>1</v>
      </c>
      <c r="D1533" s="674"/>
      <c r="E1533" s="24">
        <f t="shared" si="254"/>
        <v>1</v>
      </c>
      <c r="F1533" s="674"/>
      <c r="G1533" s="24">
        <f t="shared" si="255"/>
        <v>1</v>
      </c>
      <c r="H1533" s="674"/>
      <c r="I1533" s="24">
        <f t="shared" si="256"/>
        <v>1</v>
      </c>
      <c r="J1533" s="674"/>
      <c r="K1533" s="24">
        <f t="shared" si="257"/>
        <v>1</v>
      </c>
      <c r="L1533" s="674"/>
      <c r="M1533" s="24">
        <f t="shared" si="258"/>
        <v>1</v>
      </c>
      <c r="N1533" s="674"/>
      <c r="O1533" s="24">
        <f t="shared" si="259"/>
        <v>1</v>
      </c>
      <c r="P1533" s="674"/>
      <c r="Q1533" s="24">
        <f t="shared" si="260"/>
        <v>0</v>
      </c>
      <c r="R1533" s="670">
        <f t="shared" si="261"/>
        <v>0</v>
      </c>
      <c r="S1533" s="322">
        <f t="shared" si="262"/>
        <v>0</v>
      </c>
    </row>
    <row r="1534" spans="1:19">
      <c r="A1534" s="155"/>
      <c r="B1534" s="57"/>
      <c r="C1534" s="24">
        <f t="shared" si="253"/>
        <v>1</v>
      </c>
      <c r="D1534" s="674"/>
      <c r="E1534" s="24">
        <f t="shared" si="254"/>
        <v>1</v>
      </c>
      <c r="F1534" s="674"/>
      <c r="G1534" s="24">
        <f t="shared" si="255"/>
        <v>1</v>
      </c>
      <c r="H1534" s="674"/>
      <c r="I1534" s="24">
        <f t="shared" si="256"/>
        <v>1</v>
      </c>
      <c r="J1534" s="674"/>
      <c r="K1534" s="24">
        <f t="shared" si="257"/>
        <v>1</v>
      </c>
      <c r="L1534" s="674"/>
      <c r="M1534" s="24">
        <f t="shared" si="258"/>
        <v>1</v>
      </c>
      <c r="N1534" s="674"/>
      <c r="O1534" s="24">
        <f t="shared" si="259"/>
        <v>1</v>
      </c>
      <c r="P1534" s="674"/>
      <c r="Q1534" s="24">
        <f t="shared" si="260"/>
        <v>0</v>
      </c>
      <c r="R1534" s="670">
        <f t="shared" si="261"/>
        <v>0</v>
      </c>
      <c r="S1534" s="322">
        <f t="shared" si="262"/>
        <v>0</v>
      </c>
    </row>
    <row r="1535" spans="1:19">
      <c r="A1535" s="155"/>
      <c r="B1535" s="57"/>
      <c r="C1535" s="24">
        <f t="shared" si="253"/>
        <v>1</v>
      </c>
      <c r="D1535" s="674"/>
      <c r="E1535" s="24">
        <f t="shared" si="254"/>
        <v>1</v>
      </c>
      <c r="F1535" s="674"/>
      <c r="G1535" s="24">
        <f t="shared" si="255"/>
        <v>1</v>
      </c>
      <c r="H1535" s="674"/>
      <c r="I1535" s="24">
        <f t="shared" si="256"/>
        <v>1</v>
      </c>
      <c r="J1535" s="674"/>
      <c r="K1535" s="24">
        <f t="shared" si="257"/>
        <v>1</v>
      </c>
      <c r="L1535" s="674"/>
      <c r="M1535" s="24">
        <f t="shared" si="258"/>
        <v>1</v>
      </c>
      <c r="N1535" s="674"/>
      <c r="O1535" s="24">
        <f t="shared" si="259"/>
        <v>1</v>
      </c>
      <c r="P1535" s="674"/>
      <c r="Q1535" s="24">
        <f t="shared" si="260"/>
        <v>0</v>
      </c>
      <c r="R1535" s="670">
        <f t="shared" si="261"/>
        <v>0</v>
      </c>
      <c r="S1535" s="322">
        <f t="shared" si="262"/>
        <v>0</v>
      </c>
    </row>
    <row r="1536" spans="1:19">
      <c r="A1536" s="155"/>
      <c r="B1536" s="57"/>
      <c r="C1536" s="24">
        <f t="shared" si="253"/>
        <v>1</v>
      </c>
      <c r="D1536" s="674"/>
      <c r="E1536" s="24">
        <f t="shared" si="254"/>
        <v>1</v>
      </c>
      <c r="F1536" s="674"/>
      <c r="G1536" s="24">
        <f t="shared" si="255"/>
        <v>1</v>
      </c>
      <c r="H1536" s="674"/>
      <c r="I1536" s="24">
        <f t="shared" si="256"/>
        <v>1</v>
      </c>
      <c r="J1536" s="674"/>
      <c r="K1536" s="24">
        <f t="shared" si="257"/>
        <v>1</v>
      </c>
      <c r="L1536" s="674"/>
      <c r="M1536" s="24">
        <f t="shared" si="258"/>
        <v>1</v>
      </c>
      <c r="N1536" s="674"/>
      <c r="O1536" s="24">
        <f t="shared" si="259"/>
        <v>1</v>
      </c>
      <c r="P1536" s="674"/>
      <c r="Q1536" s="24">
        <f t="shared" si="260"/>
        <v>0</v>
      </c>
      <c r="R1536" s="670">
        <f t="shared" si="261"/>
        <v>0</v>
      </c>
      <c r="S1536" s="322">
        <f t="shared" si="262"/>
        <v>0</v>
      </c>
    </row>
    <row r="1537" spans="1:19">
      <c r="A1537" s="155"/>
      <c r="B1537" s="57"/>
      <c r="C1537" s="24">
        <f t="shared" si="253"/>
        <v>1</v>
      </c>
      <c r="D1537" s="674"/>
      <c r="E1537" s="24">
        <f t="shared" si="254"/>
        <v>1</v>
      </c>
      <c r="F1537" s="674"/>
      <c r="G1537" s="24">
        <f t="shared" si="255"/>
        <v>1</v>
      </c>
      <c r="H1537" s="674"/>
      <c r="I1537" s="24">
        <f t="shared" si="256"/>
        <v>1</v>
      </c>
      <c r="J1537" s="674"/>
      <c r="K1537" s="24">
        <f t="shared" si="257"/>
        <v>1</v>
      </c>
      <c r="L1537" s="674"/>
      <c r="M1537" s="24">
        <f t="shared" si="258"/>
        <v>1</v>
      </c>
      <c r="N1537" s="674"/>
      <c r="O1537" s="24">
        <f t="shared" si="259"/>
        <v>1</v>
      </c>
      <c r="P1537" s="674"/>
      <c r="Q1537" s="24">
        <f t="shared" si="260"/>
        <v>0</v>
      </c>
      <c r="R1537" s="670">
        <f t="shared" si="261"/>
        <v>0</v>
      </c>
      <c r="S1537" s="322">
        <f t="shared" si="262"/>
        <v>0</v>
      </c>
    </row>
    <row r="1538" spans="1:19">
      <c r="A1538" s="155"/>
      <c r="B1538" s="57"/>
      <c r="C1538" s="24">
        <f t="shared" si="253"/>
        <v>1</v>
      </c>
      <c r="D1538" s="674"/>
      <c r="E1538" s="24">
        <f t="shared" si="254"/>
        <v>1</v>
      </c>
      <c r="F1538" s="674"/>
      <c r="G1538" s="24">
        <f t="shared" si="255"/>
        <v>1</v>
      </c>
      <c r="H1538" s="674"/>
      <c r="I1538" s="24">
        <f t="shared" si="256"/>
        <v>1</v>
      </c>
      <c r="J1538" s="674"/>
      <c r="K1538" s="24">
        <f t="shared" si="257"/>
        <v>1</v>
      </c>
      <c r="L1538" s="674"/>
      <c r="M1538" s="24">
        <f t="shared" si="258"/>
        <v>1</v>
      </c>
      <c r="N1538" s="674"/>
      <c r="O1538" s="24">
        <f t="shared" si="259"/>
        <v>1</v>
      </c>
      <c r="P1538" s="674"/>
      <c r="Q1538" s="24">
        <f t="shared" si="260"/>
        <v>0</v>
      </c>
      <c r="R1538" s="670">
        <f t="shared" si="261"/>
        <v>0</v>
      </c>
      <c r="S1538" s="322">
        <f t="shared" si="262"/>
        <v>0</v>
      </c>
    </row>
    <row r="1539" spans="1:19">
      <c r="A1539" s="155"/>
      <c r="B1539" s="57"/>
      <c r="C1539" s="24">
        <f t="shared" si="253"/>
        <v>1</v>
      </c>
      <c r="D1539" s="674"/>
      <c r="E1539" s="24">
        <f t="shared" si="254"/>
        <v>1</v>
      </c>
      <c r="F1539" s="674"/>
      <c r="G1539" s="24">
        <f t="shared" si="255"/>
        <v>1</v>
      </c>
      <c r="H1539" s="674"/>
      <c r="I1539" s="24">
        <f t="shared" si="256"/>
        <v>1</v>
      </c>
      <c r="J1539" s="674"/>
      <c r="K1539" s="24">
        <f t="shared" si="257"/>
        <v>1</v>
      </c>
      <c r="L1539" s="674"/>
      <c r="M1539" s="24">
        <f t="shared" si="258"/>
        <v>1</v>
      </c>
      <c r="N1539" s="674"/>
      <c r="O1539" s="24">
        <f t="shared" si="259"/>
        <v>1</v>
      </c>
      <c r="P1539" s="674"/>
      <c r="Q1539" s="24">
        <f t="shared" si="260"/>
        <v>0</v>
      </c>
      <c r="R1539" s="670">
        <f t="shared" si="261"/>
        <v>0</v>
      </c>
      <c r="S1539" s="322">
        <f t="shared" si="262"/>
        <v>0</v>
      </c>
    </row>
    <row r="1540" spans="1:19">
      <c r="A1540" s="155"/>
      <c r="B1540" s="57"/>
      <c r="C1540" s="24">
        <f t="shared" si="253"/>
        <v>1</v>
      </c>
      <c r="D1540" s="674"/>
      <c r="E1540" s="24">
        <f t="shared" si="254"/>
        <v>1</v>
      </c>
      <c r="F1540" s="674"/>
      <c r="G1540" s="24">
        <f t="shared" si="255"/>
        <v>1</v>
      </c>
      <c r="H1540" s="674"/>
      <c r="I1540" s="24">
        <f t="shared" si="256"/>
        <v>1</v>
      </c>
      <c r="J1540" s="674"/>
      <c r="K1540" s="24">
        <f t="shared" si="257"/>
        <v>1</v>
      </c>
      <c r="L1540" s="674"/>
      <c r="M1540" s="24">
        <f t="shared" si="258"/>
        <v>1</v>
      </c>
      <c r="N1540" s="674"/>
      <c r="O1540" s="24">
        <f t="shared" si="259"/>
        <v>1</v>
      </c>
      <c r="P1540" s="674"/>
      <c r="Q1540" s="24">
        <f t="shared" si="260"/>
        <v>0</v>
      </c>
      <c r="R1540" s="670">
        <f t="shared" si="261"/>
        <v>0</v>
      </c>
      <c r="S1540" s="322">
        <f t="shared" si="262"/>
        <v>0</v>
      </c>
    </row>
    <row r="1541" spans="1:19">
      <c r="A1541" s="155"/>
      <c r="B1541" s="57"/>
      <c r="C1541" s="24">
        <f t="shared" si="253"/>
        <v>1</v>
      </c>
      <c r="D1541" s="674"/>
      <c r="E1541" s="24">
        <f t="shared" si="254"/>
        <v>1</v>
      </c>
      <c r="F1541" s="674"/>
      <c r="G1541" s="24">
        <f t="shared" si="255"/>
        <v>1</v>
      </c>
      <c r="H1541" s="674"/>
      <c r="I1541" s="24">
        <f t="shared" si="256"/>
        <v>1</v>
      </c>
      <c r="J1541" s="674"/>
      <c r="K1541" s="24">
        <f t="shared" si="257"/>
        <v>1</v>
      </c>
      <c r="L1541" s="674"/>
      <c r="M1541" s="24">
        <f t="shared" si="258"/>
        <v>1</v>
      </c>
      <c r="N1541" s="674"/>
      <c r="O1541" s="24">
        <f t="shared" si="259"/>
        <v>1</v>
      </c>
      <c r="P1541" s="674"/>
      <c r="Q1541" s="24">
        <f t="shared" si="260"/>
        <v>0</v>
      </c>
      <c r="R1541" s="670">
        <f t="shared" si="261"/>
        <v>0</v>
      </c>
      <c r="S1541" s="322">
        <f t="shared" si="262"/>
        <v>0</v>
      </c>
    </row>
    <row r="1542" spans="1:19">
      <c r="A1542" s="155"/>
      <c r="B1542" s="57"/>
      <c r="C1542" s="24">
        <f t="shared" si="253"/>
        <v>1</v>
      </c>
      <c r="D1542" s="674"/>
      <c r="E1542" s="24">
        <f t="shared" si="254"/>
        <v>1</v>
      </c>
      <c r="F1542" s="674"/>
      <c r="G1542" s="24">
        <f t="shared" si="255"/>
        <v>1</v>
      </c>
      <c r="H1542" s="674"/>
      <c r="I1542" s="24">
        <f t="shared" si="256"/>
        <v>1</v>
      </c>
      <c r="J1542" s="674"/>
      <c r="K1542" s="24">
        <f t="shared" si="257"/>
        <v>1</v>
      </c>
      <c r="L1542" s="674"/>
      <c r="M1542" s="24">
        <f t="shared" si="258"/>
        <v>1</v>
      </c>
      <c r="N1542" s="674"/>
      <c r="O1542" s="24">
        <f t="shared" si="259"/>
        <v>1</v>
      </c>
      <c r="P1542" s="674"/>
      <c r="Q1542" s="24">
        <f t="shared" si="260"/>
        <v>0</v>
      </c>
      <c r="R1542" s="670">
        <f t="shared" si="261"/>
        <v>0</v>
      </c>
      <c r="S1542" s="322">
        <f t="shared" si="262"/>
        <v>0</v>
      </c>
    </row>
    <row r="1543" spans="1:19">
      <c r="A1543" s="155"/>
      <c r="B1543" s="57"/>
      <c r="C1543" s="24">
        <f t="shared" si="253"/>
        <v>1</v>
      </c>
      <c r="D1543" s="674"/>
      <c r="E1543" s="24">
        <f t="shared" si="254"/>
        <v>1</v>
      </c>
      <c r="F1543" s="674"/>
      <c r="G1543" s="24">
        <f t="shared" si="255"/>
        <v>1</v>
      </c>
      <c r="H1543" s="674"/>
      <c r="I1543" s="24">
        <f t="shared" si="256"/>
        <v>1</v>
      </c>
      <c r="J1543" s="674"/>
      <c r="K1543" s="24">
        <f t="shared" si="257"/>
        <v>1</v>
      </c>
      <c r="L1543" s="674"/>
      <c r="M1543" s="24">
        <f t="shared" si="258"/>
        <v>1</v>
      </c>
      <c r="N1543" s="674"/>
      <c r="O1543" s="24">
        <f t="shared" si="259"/>
        <v>1</v>
      </c>
      <c r="P1543" s="674"/>
      <c r="Q1543" s="24">
        <f t="shared" si="260"/>
        <v>0</v>
      </c>
      <c r="R1543" s="670">
        <f t="shared" si="261"/>
        <v>0</v>
      </c>
      <c r="S1543" s="322">
        <f t="shared" si="262"/>
        <v>0</v>
      </c>
    </row>
    <row r="1544" spans="1:19">
      <c r="A1544" s="155"/>
      <c r="B1544" s="57"/>
      <c r="C1544" s="24">
        <f t="shared" si="253"/>
        <v>1</v>
      </c>
      <c r="D1544" s="674"/>
      <c r="E1544" s="24">
        <f t="shared" si="254"/>
        <v>1</v>
      </c>
      <c r="F1544" s="674"/>
      <c r="G1544" s="24">
        <f t="shared" si="255"/>
        <v>1</v>
      </c>
      <c r="H1544" s="674"/>
      <c r="I1544" s="24">
        <f t="shared" si="256"/>
        <v>1</v>
      </c>
      <c r="J1544" s="674"/>
      <c r="K1544" s="24">
        <f t="shared" si="257"/>
        <v>1</v>
      </c>
      <c r="L1544" s="674"/>
      <c r="M1544" s="24">
        <f t="shared" si="258"/>
        <v>1</v>
      </c>
      <c r="N1544" s="674"/>
      <c r="O1544" s="24">
        <f t="shared" si="259"/>
        <v>1</v>
      </c>
      <c r="P1544" s="674"/>
      <c r="Q1544" s="24">
        <f t="shared" si="260"/>
        <v>0</v>
      </c>
      <c r="R1544" s="670">
        <f t="shared" si="261"/>
        <v>0</v>
      </c>
      <c r="S1544" s="322">
        <f t="shared" si="262"/>
        <v>0</v>
      </c>
    </row>
    <row r="1545" spans="1:19">
      <c r="A1545" s="155"/>
      <c r="B1545" s="57"/>
      <c r="C1545" s="24">
        <f t="shared" si="253"/>
        <v>1</v>
      </c>
      <c r="D1545" s="674"/>
      <c r="E1545" s="24">
        <f t="shared" si="254"/>
        <v>1</v>
      </c>
      <c r="F1545" s="674"/>
      <c r="G1545" s="24">
        <f t="shared" si="255"/>
        <v>1</v>
      </c>
      <c r="H1545" s="674"/>
      <c r="I1545" s="24">
        <f t="shared" si="256"/>
        <v>1</v>
      </c>
      <c r="J1545" s="674"/>
      <c r="K1545" s="24">
        <f t="shared" si="257"/>
        <v>1</v>
      </c>
      <c r="L1545" s="674"/>
      <c r="M1545" s="24">
        <f t="shared" si="258"/>
        <v>1</v>
      </c>
      <c r="N1545" s="674"/>
      <c r="O1545" s="24">
        <f t="shared" si="259"/>
        <v>1</v>
      </c>
      <c r="P1545" s="674"/>
      <c r="Q1545" s="24">
        <f t="shared" si="260"/>
        <v>0</v>
      </c>
      <c r="R1545" s="670">
        <f t="shared" si="261"/>
        <v>0</v>
      </c>
      <c r="S1545" s="322">
        <f t="shared" si="262"/>
        <v>0</v>
      </c>
    </row>
    <row r="1546" spans="1:19">
      <c r="A1546" s="155"/>
      <c r="B1546" s="57"/>
      <c r="C1546" s="24">
        <f t="shared" si="253"/>
        <v>1</v>
      </c>
      <c r="D1546" s="674"/>
      <c r="E1546" s="24">
        <f t="shared" si="254"/>
        <v>1</v>
      </c>
      <c r="F1546" s="674"/>
      <c r="G1546" s="24">
        <f t="shared" si="255"/>
        <v>1</v>
      </c>
      <c r="H1546" s="674"/>
      <c r="I1546" s="24">
        <f t="shared" si="256"/>
        <v>1</v>
      </c>
      <c r="J1546" s="674"/>
      <c r="K1546" s="24">
        <f t="shared" si="257"/>
        <v>1</v>
      </c>
      <c r="L1546" s="674"/>
      <c r="M1546" s="24">
        <f t="shared" si="258"/>
        <v>1</v>
      </c>
      <c r="N1546" s="674"/>
      <c r="O1546" s="24">
        <f t="shared" si="259"/>
        <v>1</v>
      </c>
      <c r="P1546" s="674"/>
      <c r="Q1546" s="24">
        <f t="shared" si="260"/>
        <v>0</v>
      </c>
      <c r="R1546" s="670">
        <f t="shared" si="261"/>
        <v>0</v>
      </c>
      <c r="S1546" s="322">
        <f t="shared" si="262"/>
        <v>0</v>
      </c>
    </row>
    <row r="1547" spans="1:19">
      <c r="A1547" s="155"/>
      <c r="B1547" s="57"/>
      <c r="C1547" s="24">
        <f t="shared" si="253"/>
        <v>1</v>
      </c>
      <c r="D1547" s="674"/>
      <c r="E1547" s="24">
        <f t="shared" si="254"/>
        <v>1</v>
      </c>
      <c r="F1547" s="674"/>
      <c r="G1547" s="24">
        <f t="shared" si="255"/>
        <v>1</v>
      </c>
      <c r="H1547" s="674"/>
      <c r="I1547" s="24">
        <f t="shared" si="256"/>
        <v>1</v>
      </c>
      <c r="J1547" s="674"/>
      <c r="K1547" s="24">
        <f t="shared" si="257"/>
        <v>1</v>
      </c>
      <c r="L1547" s="674"/>
      <c r="M1547" s="24">
        <f t="shared" si="258"/>
        <v>1</v>
      </c>
      <c r="N1547" s="674"/>
      <c r="O1547" s="24">
        <f t="shared" si="259"/>
        <v>1</v>
      </c>
      <c r="P1547" s="674"/>
      <c r="Q1547" s="24">
        <f t="shared" si="260"/>
        <v>0</v>
      </c>
      <c r="R1547" s="670">
        <f t="shared" si="261"/>
        <v>0</v>
      </c>
      <c r="S1547" s="322">
        <f t="shared" si="262"/>
        <v>0</v>
      </c>
    </row>
    <row r="1548" spans="1:19">
      <c r="A1548" s="155"/>
      <c r="B1548" s="57"/>
      <c r="C1548" s="24">
        <f t="shared" si="253"/>
        <v>1</v>
      </c>
      <c r="D1548" s="674"/>
      <c r="E1548" s="24">
        <f t="shared" si="254"/>
        <v>1</v>
      </c>
      <c r="F1548" s="674"/>
      <c r="G1548" s="24">
        <f t="shared" si="255"/>
        <v>1</v>
      </c>
      <c r="H1548" s="674"/>
      <c r="I1548" s="24">
        <f t="shared" si="256"/>
        <v>1</v>
      </c>
      <c r="J1548" s="674"/>
      <c r="K1548" s="24">
        <f t="shared" si="257"/>
        <v>1</v>
      </c>
      <c r="L1548" s="674"/>
      <c r="M1548" s="24">
        <f t="shared" si="258"/>
        <v>1</v>
      </c>
      <c r="N1548" s="674"/>
      <c r="O1548" s="24">
        <f t="shared" si="259"/>
        <v>1</v>
      </c>
      <c r="P1548" s="674"/>
      <c r="Q1548" s="24">
        <f t="shared" si="260"/>
        <v>0</v>
      </c>
      <c r="R1548" s="670">
        <f t="shared" si="261"/>
        <v>0</v>
      </c>
      <c r="S1548" s="322">
        <f t="shared" si="262"/>
        <v>0</v>
      </c>
    </row>
    <row r="1549" spans="1:19">
      <c r="A1549" s="155"/>
      <c r="B1549" s="57"/>
      <c r="C1549" s="24">
        <f t="shared" si="253"/>
        <v>1</v>
      </c>
      <c r="D1549" s="674"/>
      <c r="E1549" s="24">
        <f t="shared" si="254"/>
        <v>1</v>
      </c>
      <c r="F1549" s="674"/>
      <c r="G1549" s="24">
        <f t="shared" si="255"/>
        <v>1</v>
      </c>
      <c r="H1549" s="674"/>
      <c r="I1549" s="24">
        <f t="shared" si="256"/>
        <v>1</v>
      </c>
      <c r="J1549" s="674"/>
      <c r="K1549" s="24">
        <f t="shared" si="257"/>
        <v>1</v>
      </c>
      <c r="L1549" s="674"/>
      <c r="M1549" s="24">
        <f t="shared" si="258"/>
        <v>1</v>
      </c>
      <c r="N1549" s="674"/>
      <c r="O1549" s="24">
        <f t="shared" si="259"/>
        <v>1</v>
      </c>
      <c r="P1549" s="674"/>
      <c r="Q1549" s="24">
        <f t="shared" si="260"/>
        <v>0</v>
      </c>
      <c r="R1549" s="670">
        <f t="shared" si="261"/>
        <v>0</v>
      </c>
      <c r="S1549" s="322">
        <f t="shared" si="262"/>
        <v>0</v>
      </c>
    </row>
    <row r="1550" spans="1:19">
      <c r="A1550" s="155"/>
      <c r="B1550" s="57"/>
      <c r="C1550" s="24">
        <f t="shared" ref="C1550:C1601" si="263">IF(B1550="",1,(LOOKUP(B1550,$3:$3,$4:$4)-LOOKUP($B$24,$3:$3,$4:$4)+100)/100)</f>
        <v>1</v>
      </c>
      <c r="D1550" s="674"/>
      <c r="E1550" s="24">
        <f t="shared" ref="E1550:E1601" si="264">(SUMIF($5:$5,D1550,$6:$6)-SUMIF($5:$5,$D$24,$6:$6)+100)/100</f>
        <v>1</v>
      </c>
      <c r="F1550" s="674"/>
      <c r="G1550" s="24">
        <f t="shared" ref="G1550:G1601" si="265">(SUMIF($7:$7,F1550,$8:$8)-SUMIF($7:$7,$F$24,$8:$8)+100)/100</f>
        <v>1</v>
      </c>
      <c r="H1550" s="674"/>
      <c r="I1550" s="24">
        <f t="shared" ref="I1550:I1601" si="266">(SUMIF($9:$9,H1550,$10:$10)-SUMIF($9:$9,$H$24,$10:$10)+100)/100</f>
        <v>1</v>
      </c>
      <c r="J1550" s="674"/>
      <c r="K1550" s="24">
        <f t="shared" ref="K1550:K1601" si="267">(SUMIF($11:$11,J1550,$12:$12)-SUMIF($11:$11,$J$24,$12:$12)+100)/100</f>
        <v>1</v>
      </c>
      <c r="L1550" s="674"/>
      <c r="M1550" s="24">
        <f t="shared" ref="M1550:M1601" si="268">(SUMIF($13:$13,L1550,$14:$14)-SUMIF($13:$13,$L$24,$14:$14)+100)/100</f>
        <v>1</v>
      </c>
      <c r="N1550" s="674"/>
      <c r="O1550" s="24">
        <f t="shared" ref="O1550:O1601" si="269">(SUMIF($15:$15,N1550,$16:$16)-SUMIF($15:$15,$N$24,$16:$16)+100)/100</f>
        <v>1</v>
      </c>
      <c r="P1550" s="674"/>
      <c r="Q1550" s="24">
        <f t="shared" ref="Q1550:Q1601" si="270">(SUMIF($17:$17,P1550,$18:$18)-SUMIF($17:$17,$P$24,$18:$18)+100)/100</f>
        <v>0</v>
      </c>
      <c r="R1550" s="670">
        <f t="shared" ref="R1550:R1601" si="271">IF(B1550="",0,ROUND($R$24*C1550*E1550*G1550*I1550*K1550*M1550*O1550*Q1550,0))</f>
        <v>0</v>
      </c>
      <c r="S1550" s="322">
        <f t="shared" ref="S1550:S1601" si="272">ROUND(R1550*B1550/10000,0)</f>
        <v>0</v>
      </c>
    </row>
    <row r="1551" spans="1:19">
      <c r="A1551" s="155"/>
      <c r="B1551" s="57"/>
      <c r="C1551" s="24">
        <f t="shared" si="263"/>
        <v>1</v>
      </c>
      <c r="D1551" s="674"/>
      <c r="E1551" s="24">
        <f t="shared" si="264"/>
        <v>1</v>
      </c>
      <c r="F1551" s="674"/>
      <c r="G1551" s="24">
        <f t="shared" si="265"/>
        <v>1</v>
      </c>
      <c r="H1551" s="674"/>
      <c r="I1551" s="24">
        <f t="shared" si="266"/>
        <v>1</v>
      </c>
      <c r="J1551" s="674"/>
      <c r="K1551" s="24">
        <f t="shared" si="267"/>
        <v>1</v>
      </c>
      <c r="L1551" s="674"/>
      <c r="M1551" s="24">
        <f t="shared" si="268"/>
        <v>1</v>
      </c>
      <c r="N1551" s="674"/>
      <c r="O1551" s="24">
        <f t="shared" si="269"/>
        <v>1</v>
      </c>
      <c r="P1551" s="674"/>
      <c r="Q1551" s="24">
        <f t="shared" si="270"/>
        <v>0</v>
      </c>
      <c r="R1551" s="670">
        <f t="shared" si="271"/>
        <v>0</v>
      </c>
      <c r="S1551" s="322">
        <f t="shared" si="272"/>
        <v>0</v>
      </c>
    </row>
    <row r="1552" spans="1:19">
      <c r="A1552" s="155"/>
      <c r="B1552" s="57"/>
      <c r="C1552" s="24">
        <f t="shared" si="263"/>
        <v>1</v>
      </c>
      <c r="D1552" s="674"/>
      <c r="E1552" s="24">
        <f t="shared" si="264"/>
        <v>1</v>
      </c>
      <c r="F1552" s="674"/>
      <c r="G1552" s="24">
        <f t="shared" si="265"/>
        <v>1</v>
      </c>
      <c r="H1552" s="674"/>
      <c r="I1552" s="24">
        <f t="shared" si="266"/>
        <v>1</v>
      </c>
      <c r="J1552" s="674"/>
      <c r="K1552" s="24">
        <f t="shared" si="267"/>
        <v>1</v>
      </c>
      <c r="L1552" s="674"/>
      <c r="M1552" s="24">
        <f t="shared" si="268"/>
        <v>1</v>
      </c>
      <c r="N1552" s="674"/>
      <c r="O1552" s="24">
        <f t="shared" si="269"/>
        <v>1</v>
      </c>
      <c r="P1552" s="674"/>
      <c r="Q1552" s="24">
        <f t="shared" si="270"/>
        <v>0</v>
      </c>
      <c r="R1552" s="670">
        <f t="shared" si="271"/>
        <v>0</v>
      </c>
      <c r="S1552" s="322">
        <f t="shared" si="272"/>
        <v>0</v>
      </c>
    </row>
    <row r="1553" spans="1:19">
      <c r="A1553" s="155"/>
      <c r="B1553" s="57"/>
      <c r="C1553" s="24">
        <f t="shared" si="263"/>
        <v>1</v>
      </c>
      <c r="D1553" s="674"/>
      <c r="E1553" s="24">
        <f t="shared" si="264"/>
        <v>1</v>
      </c>
      <c r="F1553" s="674"/>
      <c r="G1553" s="24">
        <f t="shared" si="265"/>
        <v>1</v>
      </c>
      <c r="H1553" s="674"/>
      <c r="I1553" s="24">
        <f t="shared" si="266"/>
        <v>1</v>
      </c>
      <c r="J1553" s="674"/>
      <c r="K1553" s="24">
        <f t="shared" si="267"/>
        <v>1</v>
      </c>
      <c r="L1553" s="674"/>
      <c r="M1553" s="24">
        <f t="shared" si="268"/>
        <v>1</v>
      </c>
      <c r="N1553" s="674"/>
      <c r="O1553" s="24">
        <f t="shared" si="269"/>
        <v>1</v>
      </c>
      <c r="P1553" s="674"/>
      <c r="Q1553" s="24">
        <f t="shared" si="270"/>
        <v>0</v>
      </c>
      <c r="R1553" s="670">
        <f t="shared" si="271"/>
        <v>0</v>
      </c>
      <c r="S1553" s="322">
        <f t="shared" si="272"/>
        <v>0</v>
      </c>
    </row>
    <row r="1554" spans="1:19">
      <c r="A1554" s="155"/>
      <c r="B1554" s="57"/>
      <c r="C1554" s="24">
        <f t="shared" si="263"/>
        <v>1</v>
      </c>
      <c r="D1554" s="674"/>
      <c r="E1554" s="24">
        <f t="shared" si="264"/>
        <v>1</v>
      </c>
      <c r="F1554" s="674"/>
      <c r="G1554" s="24">
        <f t="shared" si="265"/>
        <v>1</v>
      </c>
      <c r="H1554" s="674"/>
      <c r="I1554" s="24">
        <f t="shared" si="266"/>
        <v>1</v>
      </c>
      <c r="J1554" s="674"/>
      <c r="K1554" s="24">
        <f t="shared" si="267"/>
        <v>1</v>
      </c>
      <c r="L1554" s="674"/>
      <c r="M1554" s="24">
        <f t="shared" si="268"/>
        <v>1</v>
      </c>
      <c r="N1554" s="674"/>
      <c r="O1554" s="24">
        <f t="shared" si="269"/>
        <v>1</v>
      </c>
      <c r="P1554" s="674"/>
      <c r="Q1554" s="24">
        <f t="shared" si="270"/>
        <v>0</v>
      </c>
      <c r="R1554" s="670">
        <f t="shared" si="271"/>
        <v>0</v>
      </c>
      <c r="S1554" s="322">
        <f t="shared" si="272"/>
        <v>0</v>
      </c>
    </row>
    <row r="1555" spans="1:19">
      <c r="A1555" s="155"/>
      <c r="B1555" s="57"/>
      <c r="C1555" s="24">
        <f t="shared" si="263"/>
        <v>1</v>
      </c>
      <c r="D1555" s="674"/>
      <c r="E1555" s="24">
        <f t="shared" si="264"/>
        <v>1</v>
      </c>
      <c r="F1555" s="674"/>
      <c r="G1555" s="24">
        <f t="shared" si="265"/>
        <v>1</v>
      </c>
      <c r="H1555" s="674"/>
      <c r="I1555" s="24">
        <f t="shared" si="266"/>
        <v>1</v>
      </c>
      <c r="J1555" s="674"/>
      <c r="K1555" s="24">
        <f t="shared" si="267"/>
        <v>1</v>
      </c>
      <c r="L1555" s="674"/>
      <c r="M1555" s="24">
        <f t="shared" si="268"/>
        <v>1</v>
      </c>
      <c r="N1555" s="674"/>
      <c r="O1555" s="24">
        <f t="shared" si="269"/>
        <v>1</v>
      </c>
      <c r="P1555" s="674"/>
      <c r="Q1555" s="24">
        <f t="shared" si="270"/>
        <v>0</v>
      </c>
      <c r="R1555" s="670">
        <f t="shared" si="271"/>
        <v>0</v>
      </c>
      <c r="S1555" s="322">
        <f t="shared" si="272"/>
        <v>0</v>
      </c>
    </row>
    <row r="1556" spans="1:19">
      <c r="A1556" s="155"/>
      <c r="B1556" s="57"/>
      <c r="C1556" s="24">
        <f t="shared" si="263"/>
        <v>1</v>
      </c>
      <c r="D1556" s="674"/>
      <c r="E1556" s="24">
        <f t="shared" si="264"/>
        <v>1</v>
      </c>
      <c r="F1556" s="674"/>
      <c r="G1556" s="24">
        <f t="shared" si="265"/>
        <v>1</v>
      </c>
      <c r="H1556" s="674"/>
      <c r="I1556" s="24">
        <f t="shared" si="266"/>
        <v>1</v>
      </c>
      <c r="J1556" s="674"/>
      <c r="K1556" s="24">
        <f t="shared" si="267"/>
        <v>1</v>
      </c>
      <c r="L1556" s="674"/>
      <c r="M1556" s="24">
        <f t="shared" si="268"/>
        <v>1</v>
      </c>
      <c r="N1556" s="674"/>
      <c r="O1556" s="24">
        <f t="shared" si="269"/>
        <v>1</v>
      </c>
      <c r="P1556" s="674"/>
      <c r="Q1556" s="24">
        <f t="shared" si="270"/>
        <v>0</v>
      </c>
      <c r="R1556" s="670">
        <f t="shared" si="271"/>
        <v>0</v>
      </c>
      <c r="S1556" s="322">
        <f t="shared" si="272"/>
        <v>0</v>
      </c>
    </row>
    <row r="1557" spans="1:19">
      <c r="A1557" s="155"/>
      <c r="B1557" s="57"/>
      <c r="C1557" s="24">
        <f t="shared" si="263"/>
        <v>1</v>
      </c>
      <c r="D1557" s="674"/>
      <c r="E1557" s="24">
        <f t="shared" si="264"/>
        <v>1</v>
      </c>
      <c r="F1557" s="674"/>
      <c r="G1557" s="24">
        <f t="shared" si="265"/>
        <v>1</v>
      </c>
      <c r="H1557" s="674"/>
      <c r="I1557" s="24">
        <f t="shared" si="266"/>
        <v>1</v>
      </c>
      <c r="J1557" s="674"/>
      <c r="K1557" s="24">
        <f t="shared" si="267"/>
        <v>1</v>
      </c>
      <c r="L1557" s="674"/>
      <c r="M1557" s="24">
        <f t="shared" si="268"/>
        <v>1</v>
      </c>
      <c r="N1557" s="674"/>
      <c r="O1557" s="24">
        <f t="shared" si="269"/>
        <v>1</v>
      </c>
      <c r="P1557" s="674"/>
      <c r="Q1557" s="24">
        <f t="shared" si="270"/>
        <v>0</v>
      </c>
      <c r="R1557" s="670">
        <f t="shared" si="271"/>
        <v>0</v>
      </c>
      <c r="S1557" s="322">
        <f t="shared" si="272"/>
        <v>0</v>
      </c>
    </row>
    <row r="1558" spans="1:19">
      <c r="A1558" s="155"/>
      <c r="B1558" s="57"/>
      <c r="C1558" s="24">
        <f t="shared" si="263"/>
        <v>1</v>
      </c>
      <c r="D1558" s="674"/>
      <c r="E1558" s="24">
        <f t="shared" si="264"/>
        <v>1</v>
      </c>
      <c r="F1558" s="674"/>
      <c r="G1558" s="24">
        <f t="shared" si="265"/>
        <v>1</v>
      </c>
      <c r="H1558" s="674"/>
      <c r="I1558" s="24">
        <f t="shared" si="266"/>
        <v>1</v>
      </c>
      <c r="J1558" s="674"/>
      <c r="K1558" s="24">
        <f t="shared" si="267"/>
        <v>1</v>
      </c>
      <c r="L1558" s="674"/>
      <c r="M1558" s="24">
        <f t="shared" si="268"/>
        <v>1</v>
      </c>
      <c r="N1558" s="674"/>
      <c r="O1558" s="24">
        <f t="shared" si="269"/>
        <v>1</v>
      </c>
      <c r="P1558" s="674"/>
      <c r="Q1558" s="24">
        <f t="shared" si="270"/>
        <v>0</v>
      </c>
      <c r="R1558" s="670">
        <f t="shared" si="271"/>
        <v>0</v>
      </c>
      <c r="S1558" s="322">
        <f t="shared" si="272"/>
        <v>0</v>
      </c>
    </row>
    <row r="1559" spans="1:19">
      <c r="A1559" s="155"/>
      <c r="B1559" s="57"/>
      <c r="C1559" s="24">
        <f t="shared" si="263"/>
        <v>1</v>
      </c>
      <c r="D1559" s="674"/>
      <c r="E1559" s="24">
        <f t="shared" si="264"/>
        <v>1</v>
      </c>
      <c r="F1559" s="674"/>
      <c r="G1559" s="24">
        <f t="shared" si="265"/>
        <v>1</v>
      </c>
      <c r="H1559" s="674"/>
      <c r="I1559" s="24">
        <f t="shared" si="266"/>
        <v>1</v>
      </c>
      <c r="J1559" s="674"/>
      <c r="K1559" s="24">
        <f t="shared" si="267"/>
        <v>1</v>
      </c>
      <c r="L1559" s="674"/>
      <c r="M1559" s="24">
        <f t="shared" si="268"/>
        <v>1</v>
      </c>
      <c r="N1559" s="674"/>
      <c r="O1559" s="24">
        <f t="shared" si="269"/>
        <v>1</v>
      </c>
      <c r="P1559" s="674"/>
      <c r="Q1559" s="24">
        <f t="shared" si="270"/>
        <v>0</v>
      </c>
      <c r="R1559" s="670">
        <f t="shared" si="271"/>
        <v>0</v>
      </c>
      <c r="S1559" s="322">
        <f t="shared" si="272"/>
        <v>0</v>
      </c>
    </row>
    <row r="1560" spans="1:19">
      <c r="A1560" s="155"/>
      <c r="B1560" s="57"/>
      <c r="C1560" s="24">
        <f t="shared" si="263"/>
        <v>1</v>
      </c>
      <c r="D1560" s="674"/>
      <c r="E1560" s="24">
        <f t="shared" si="264"/>
        <v>1</v>
      </c>
      <c r="F1560" s="674"/>
      <c r="G1560" s="24">
        <f t="shared" si="265"/>
        <v>1</v>
      </c>
      <c r="H1560" s="674"/>
      <c r="I1560" s="24">
        <f t="shared" si="266"/>
        <v>1</v>
      </c>
      <c r="J1560" s="674"/>
      <c r="K1560" s="24">
        <f t="shared" si="267"/>
        <v>1</v>
      </c>
      <c r="L1560" s="674"/>
      <c r="M1560" s="24">
        <f t="shared" si="268"/>
        <v>1</v>
      </c>
      <c r="N1560" s="674"/>
      <c r="O1560" s="24">
        <f t="shared" si="269"/>
        <v>1</v>
      </c>
      <c r="P1560" s="674"/>
      <c r="Q1560" s="24">
        <f t="shared" si="270"/>
        <v>0</v>
      </c>
      <c r="R1560" s="670">
        <f t="shared" si="271"/>
        <v>0</v>
      </c>
      <c r="S1560" s="322">
        <f t="shared" si="272"/>
        <v>0</v>
      </c>
    </row>
    <row r="1561" spans="1:19">
      <c r="A1561" s="155"/>
      <c r="B1561" s="57"/>
      <c r="C1561" s="24">
        <f t="shared" si="263"/>
        <v>1</v>
      </c>
      <c r="D1561" s="674"/>
      <c r="E1561" s="24">
        <f t="shared" si="264"/>
        <v>1</v>
      </c>
      <c r="F1561" s="674"/>
      <c r="G1561" s="24">
        <f t="shared" si="265"/>
        <v>1</v>
      </c>
      <c r="H1561" s="674"/>
      <c r="I1561" s="24">
        <f t="shared" si="266"/>
        <v>1</v>
      </c>
      <c r="J1561" s="674"/>
      <c r="K1561" s="24">
        <f t="shared" si="267"/>
        <v>1</v>
      </c>
      <c r="L1561" s="674"/>
      <c r="M1561" s="24">
        <f t="shared" si="268"/>
        <v>1</v>
      </c>
      <c r="N1561" s="674"/>
      <c r="O1561" s="24">
        <f t="shared" si="269"/>
        <v>1</v>
      </c>
      <c r="P1561" s="674"/>
      <c r="Q1561" s="24">
        <f t="shared" si="270"/>
        <v>0</v>
      </c>
      <c r="R1561" s="670">
        <f t="shared" si="271"/>
        <v>0</v>
      </c>
      <c r="S1561" s="322">
        <f t="shared" si="272"/>
        <v>0</v>
      </c>
    </row>
    <row r="1562" spans="1:19">
      <c r="A1562" s="155"/>
      <c r="B1562" s="57"/>
      <c r="C1562" s="24">
        <f t="shared" si="263"/>
        <v>1</v>
      </c>
      <c r="D1562" s="674"/>
      <c r="E1562" s="24">
        <f t="shared" si="264"/>
        <v>1</v>
      </c>
      <c r="F1562" s="674"/>
      <c r="G1562" s="24">
        <f t="shared" si="265"/>
        <v>1</v>
      </c>
      <c r="H1562" s="674"/>
      <c r="I1562" s="24">
        <f t="shared" si="266"/>
        <v>1</v>
      </c>
      <c r="J1562" s="674"/>
      <c r="K1562" s="24">
        <f t="shared" si="267"/>
        <v>1</v>
      </c>
      <c r="L1562" s="674"/>
      <c r="M1562" s="24">
        <f t="shared" si="268"/>
        <v>1</v>
      </c>
      <c r="N1562" s="674"/>
      <c r="O1562" s="24">
        <f t="shared" si="269"/>
        <v>1</v>
      </c>
      <c r="P1562" s="674"/>
      <c r="Q1562" s="24">
        <f t="shared" si="270"/>
        <v>0</v>
      </c>
      <c r="R1562" s="670">
        <f t="shared" si="271"/>
        <v>0</v>
      </c>
      <c r="S1562" s="322">
        <f t="shared" si="272"/>
        <v>0</v>
      </c>
    </row>
    <row r="1563" spans="1:19">
      <c r="A1563" s="155"/>
      <c r="B1563" s="57"/>
      <c r="C1563" s="24">
        <f t="shared" si="263"/>
        <v>1</v>
      </c>
      <c r="D1563" s="674"/>
      <c r="E1563" s="24">
        <f t="shared" si="264"/>
        <v>1</v>
      </c>
      <c r="F1563" s="674"/>
      <c r="G1563" s="24">
        <f t="shared" si="265"/>
        <v>1</v>
      </c>
      <c r="H1563" s="674"/>
      <c r="I1563" s="24">
        <f t="shared" si="266"/>
        <v>1</v>
      </c>
      <c r="J1563" s="674"/>
      <c r="K1563" s="24">
        <f t="shared" si="267"/>
        <v>1</v>
      </c>
      <c r="L1563" s="674"/>
      <c r="M1563" s="24">
        <f t="shared" si="268"/>
        <v>1</v>
      </c>
      <c r="N1563" s="674"/>
      <c r="O1563" s="24">
        <f t="shared" si="269"/>
        <v>1</v>
      </c>
      <c r="P1563" s="674"/>
      <c r="Q1563" s="24">
        <f t="shared" si="270"/>
        <v>0</v>
      </c>
      <c r="R1563" s="670">
        <f t="shared" si="271"/>
        <v>0</v>
      </c>
      <c r="S1563" s="322">
        <f t="shared" si="272"/>
        <v>0</v>
      </c>
    </row>
    <row r="1564" spans="1:19">
      <c r="A1564" s="155"/>
      <c r="B1564" s="57"/>
      <c r="C1564" s="24">
        <f t="shared" si="263"/>
        <v>1</v>
      </c>
      <c r="D1564" s="674"/>
      <c r="E1564" s="24">
        <f t="shared" si="264"/>
        <v>1</v>
      </c>
      <c r="F1564" s="674"/>
      <c r="G1564" s="24">
        <f t="shared" si="265"/>
        <v>1</v>
      </c>
      <c r="H1564" s="674"/>
      <c r="I1564" s="24">
        <f t="shared" si="266"/>
        <v>1</v>
      </c>
      <c r="J1564" s="674"/>
      <c r="K1564" s="24">
        <f t="shared" si="267"/>
        <v>1</v>
      </c>
      <c r="L1564" s="674"/>
      <c r="M1564" s="24">
        <f t="shared" si="268"/>
        <v>1</v>
      </c>
      <c r="N1564" s="674"/>
      <c r="O1564" s="24">
        <f t="shared" si="269"/>
        <v>1</v>
      </c>
      <c r="P1564" s="674"/>
      <c r="Q1564" s="24">
        <f t="shared" si="270"/>
        <v>0</v>
      </c>
      <c r="R1564" s="670">
        <f t="shared" si="271"/>
        <v>0</v>
      </c>
      <c r="S1564" s="322">
        <f t="shared" si="272"/>
        <v>0</v>
      </c>
    </row>
    <row r="1565" spans="1:19">
      <c r="A1565" s="155"/>
      <c r="B1565" s="57"/>
      <c r="C1565" s="24">
        <f t="shared" si="263"/>
        <v>1</v>
      </c>
      <c r="D1565" s="674"/>
      <c r="E1565" s="24">
        <f t="shared" si="264"/>
        <v>1</v>
      </c>
      <c r="F1565" s="674"/>
      <c r="G1565" s="24">
        <f t="shared" si="265"/>
        <v>1</v>
      </c>
      <c r="H1565" s="674"/>
      <c r="I1565" s="24">
        <f t="shared" si="266"/>
        <v>1</v>
      </c>
      <c r="J1565" s="674"/>
      <c r="K1565" s="24">
        <f t="shared" si="267"/>
        <v>1</v>
      </c>
      <c r="L1565" s="674"/>
      <c r="M1565" s="24">
        <f t="shared" si="268"/>
        <v>1</v>
      </c>
      <c r="N1565" s="674"/>
      <c r="O1565" s="24">
        <f t="shared" si="269"/>
        <v>1</v>
      </c>
      <c r="P1565" s="674"/>
      <c r="Q1565" s="24">
        <f t="shared" si="270"/>
        <v>0</v>
      </c>
      <c r="R1565" s="670">
        <f t="shared" si="271"/>
        <v>0</v>
      </c>
      <c r="S1565" s="322">
        <f t="shared" si="272"/>
        <v>0</v>
      </c>
    </row>
    <row r="1566" spans="1:19">
      <c r="A1566" s="155"/>
      <c r="B1566" s="57"/>
      <c r="C1566" s="24">
        <f t="shared" si="263"/>
        <v>1</v>
      </c>
      <c r="D1566" s="674"/>
      <c r="E1566" s="24">
        <f t="shared" si="264"/>
        <v>1</v>
      </c>
      <c r="F1566" s="674"/>
      <c r="G1566" s="24">
        <f t="shared" si="265"/>
        <v>1</v>
      </c>
      <c r="H1566" s="674"/>
      <c r="I1566" s="24">
        <f t="shared" si="266"/>
        <v>1</v>
      </c>
      <c r="J1566" s="674"/>
      <c r="K1566" s="24">
        <f t="shared" si="267"/>
        <v>1</v>
      </c>
      <c r="L1566" s="674"/>
      <c r="M1566" s="24">
        <f t="shared" si="268"/>
        <v>1</v>
      </c>
      <c r="N1566" s="674"/>
      <c r="O1566" s="24">
        <f t="shared" si="269"/>
        <v>1</v>
      </c>
      <c r="P1566" s="674"/>
      <c r="Q1566" s="24">
        <f t="shared" si="270"/>
        <v>0</v>
      </c>
      <c r="R1566" s="670">
        <f t="shared" si="271"/>
        <v>0</v>
      </c>
      <c r="S1566" s="322">
        <f t="shared" si="272"/>
        <v>0</v>
      </c>
    </row>
    <row r="1567" spans="1:19">
      <c r="A1567" s="155"/>
      <c r="B1567" s="57"/>
      <c r="C1567" s="24">
        <f t="shared" si="263"/>
        <v>1</v>
      </c>
      <c r="D1567" s="674"/>
      <c r="E1567" s="24">
        <f t="shared" si="264"/>
        <v>1</v>
      </c>
      <c r="F1567" s="674"/>
      <c r="G1567" s="24">
        <f t="shared" si="265"/>
        <v>1</v>
      </c>
      <c r="H1567" s="674"/>
      <c r="I1567" s="24">
        <f t="shared" si="266"/>
        <v>1</v>
      </c>
      <c r="J1567" s="674"/>
      <c r="K1567" s="24">
        <f t="shared" si="267"/>
        <v>1</v>
      </c>
      <c r="L1567" s="674"/>
      <c r="M1567" s="24">
        <f t="shared" si="268"/>
        <v>1</v>
      </c>
      <c r="N1567" s="674"/>
      <c r="O1567" s="24">
        <f t="shared" si="269"/>
        <v>1</v>
      </c>
      <c r="P1567" s="674"/>
      <c r="Q1567" s="24">
        <f t="shared" si="270"/>
        <v>0</v>
      </c>
      <c r="R1567" s="670">
        <f t="shared" si="271"/>
        <v>0</v>
      </c>
      <c r="S1567" s="322">
        <f t="shared" si="272"/>
        <v>0</v>
      </c>
    </row>
    <row r="1568" spans="1:19">
      <c r="A1568" s="155"/>
      <c r="B1568" s="57"/>
      <c r="C1568" s="24">
        <f t="shared" si="263"/>
        <v>1</v>
      </c>
      <c r="D1568" s="674"/>
      <c r="E1568" s="24">
        <f t="shared" si="264"/>
        <v>1</v>
      </c>
      <c r="F1568" s="674"/>
      <c r="G1568" s="24">
        <f t="shared" si="265"/>
        <v>1</v>
      </c>
      <c r="H1568" s="674"/>
      <c r="I1568" s="24">
        <f t="shared" si="266"/>
        <v>1</v>
      </c>
      <c r="J1568" s="674"/>
      <c r="K1568" s="24">
        <f t="shared" si="267"/>
        <v>1</v>
      </c>
      <c r="L1568" s="674"/>
      <c r="M1568" s="24">
        <f t="shared" si="268"/>
        <v>1</v>
      </c>
      <c r="N1568" s="674"/>
      <c r="O1568" s="24">
        <f t="shared" si="269"/>
        <v>1</v>
      </c>
      <c r="P1568" s="674"/>
      <c r="Q1568" s="24">
        <f t="shared" si="270"/>
        <v>0</v>
      </c>
      <c r="R1568" s="670">
        <f t="shared" si="271"/>
        <v>0</v>
      </c>
      <c r="S1568" s="322">
        <f t="shared" si="272"/>
        <v>0</v>
      </c>
    </row>
    <row r="1569" spans="1:19">
      <c r="A1569" s="155"/>
      <c r="B1569" s="57"/>
      <c r="C1569" s="24">
        <f t="shared" si="263"/>
        <v>1</v>
      </c>
      <c r="D1569" s="674"/>
      <c r="E1569" s="24">
        <f t="shared" si="264"/>
        <v>1</v>
      </c>
      <c r="F1569" s="674"/>
      <c r="G1569" s="24">
        <f t="shared" si="265"/>
        <v>1</v>
      </c>
      <c r="H1569" s="674"/>
      <c r="I1569" s="24">
        <f t="shared" si="266"/>
        <v>1</v>
      </c>
      <c r="J1569" s="674"/>
      <c r="K1569" s="24">
        <f t="shared" si="267"/>
        <v>1</v>
      </c>
      <c r="L1569" s="674"/>
      <c r="M1569" s="24">
        <f t="shared" si="268"/>
        <v>1</v>
      </c>
      <c r="N1569" s="674"/>
      <c r="O1569" s="24">
        <f t="shared" si="269"/>
        <v>1</v>
      </c>
      <c r="P1569" s="674"/>
      <c r="Q1569" s="24">
        <f t="shared" si="270"/>
        <v>0</v>
      </c>
      <c r="R1569" s="670">
        <f t="shared" si="271"/>
        <v>0</v>
      </c>
      <c r="S1569" s="322">
        <f t="shared" si="272"/>
        <v>0</v>
      </c>
    </row>
    <row r="1570" spans="1:19">
      <c r="A1570" s="155"/>
      <c r="B1570" s="57"/>
      <c r="C1570" s="24">
        <f t="shared" si="263"/>
        <v>1</v>
      </c>
      <c r="D1570" s="674"/>
      <c r="E1570" s="24">
        <f t="shared" si="264"/>
        <v>1</v>
      </c>
      <c r="F1570" s="674"/>
      <c r="G1570" s="24">
        <f t="shared" si="265"/>
        <v>1</v>
      </c>
      <c r="H1570" s="674"/>
      <c r="I1570" s="24">
        <f t="shared" si="266"/>
        <v>1</v>
      </c>
      <c r="J1570" s="674"/>
      <c r="K1570" s="24">
        <f t="shared" si="267"/>
        <v>1</v>
      </c>
      <c r="L1570" s="674"/>
      <c r="M1570" s="24">
        <f t="shared" si="268"/>
        <v>1</v>
      </c>
      <c r="N1570" s="674"/>
      <c r="O1570" s="24">
        <f t="shared" si="269"/>
        <v>1</v>
      </c>
      <c r="P1570" s="674"/>
      <c r="Q1570" s="24">
        <f t="shared" si="270"/>
        <v>0</v>
      </c>
      <c r="R1570" s="670">
        <f t="shared" si="271"/>
        <v>0</v>
      </c>
      <c r="S1570" s="322">
        <f t="shared" si="272"/>
        <v>0</v>
      </c>
    </row>
    <row r="1571" spans="1:19">
      <c r="A1571" s="155"/>
      <c r="B1571" s="57"/>
      <c r="C1571" s="24">
        <f t="shared" si="263"/>
        <v>1</v>
      </c>
      <c r="D1571" s="674"/>
      <c r="E1571" s="24">
        <f t="shared" si="264"/>
        <v>1</v>
      </c>
      <c r="F1571" s="674"/>
      <c r="G1571" s="24">
        <f t="shared" si="265"/>
        <v>1</v>
      </c>
      <c r="H1571" s="674"/>
      <c r="I1571" s="24">
        <f t="shared" si="266"/>
        <v>1</v>
      </c>
      <c r="J1571" s="674"/>
      <c r="K1571" s="24">
        <f t="shared" si="267"/>
        <v>1</v>
      </c>
      <c r="L1571" s="674"/>
      <c r="M1571" s="24">
        <f t="shared" si="268"/>
        <v>1</v>
      </c>
      <c r="N1571" s="674"/>
      <c r="O1571" s="24">
        <f t="shared" si="269"/>
        <v>1</v>
      </c>
      <c r="P1571" s="674"/>
      <c r="Q1571" s="24">
        <f t="shared" si="270"/>
        <v>0</v>
      </c>
      <c r="R1571" s="670">
        <f t="shared" si="271"/>
        <v>0</v>
      </c>
      <c r="S1571" s="322">
        <f t="shared" si="272"/>
        <v>0</v>
      </c>
    </row>
    <row r="1572" spans="1:19">
      <c r="A1572" s="155"/>
      <c r="B1572" s="57"/>
      <c r="C1572" s="24">
        <f t="shared" si="263"/>
        <v>1</v>
      </c>
      <c r="D1572" s="674"/>
      <c r="E1572" s="24">
        <f t="shared" si="264"/>
        <v>1</v>
      </c>
      <c r="F1572" s="674"/>
      <c r="G1572" s="24">
        <f t="shared" si="265"/>
        <v>1</v>
      </c>
      <c r="H1572" s="674"/>
      <c r="I1572" s="24">
        <f t="shared" si="266"/>
        <v>1</v>
      </c>
      <c r="J1572" s="674"/>
      <c r="K1572" s="24">
        <f t="shared" si="267"/>
        <v>1</v>
      </c>
      <c r="L1572" s="674"/>
      <c r="M1572" s="24">
        <f t="shared" si="268"/>
        <v>1</v>
      </c>
      <c r="N1572" s="674"/>
      <c r="O1572" s="24">
        <f t="shared" si="269"/>
        <v>1</v>
      </c>
      <c r="P1572" s="674"/>
      <c r="Q1572" s="24">
        <f t="shared" si="270"/>
        <v>0</v>
      </c>
      <c r="R1572" s="670">
        <f t="shared" si="271"/>
        <v>0</v>
      </c>
      <c r="S1572" s="322">
        <f t="shared" si="272"/>
        <v>0</v>
      </c>
    </row>
    <row r="1573" spans="1:19">
      <c r="A1573" s="155"/>
      <c r="B1573" s="57"/>
      <c r="C1573" s="24">
        <f t="shared" si="263"/>
        <v>1</v>
      </c>
      <c r="D1573" s="674"/>
      <c r="E1573" s="24">
        <f t="shared" si="264"/>
        <v>1</v>
      </c>
      <c r="F1573" s="674"/>
      <c r="G1573" s="24">
        <f t="shared" si="265"/>
        <v>1</v>
      </c>
      <c r="H1573" s="674"/>
      <c r="I1573" s="24">
        <f t="shared" si="266"/>
        <v>1</v>
      </c>
      <c r="J1573" s="674"/>
      <c r="K1573" s="24">
        <f t="shared" si="267"/>
        <v>1</v>
      </c>
      <c r="L1573" s="674"/>
      <c r="M1573" s="24">
        <f t="shared" si="268"/>
        <v>1</v>
      </c>
      <c r="N1573" s="674"/>
      <c r="O1573" s="24">
        <f t="shared" si="269"/>
        <v>1</v>
      </c>
      <c r="P1573" s="674"/>
      <c r="Q1573" s="24">
        <f t="shared" si="270"/>
        <v>0</v>
      </c>
      <c r="R1573" s="670">
        <f t="shared" si="271"/>
        <v>0</v>
      </c>
      <c r="S1573" s="322">
        <f t="shared" si="272"/>
        <v>0</v>
      </c>
    </row>
    <row r="1574" spans="1:19">
      <c r="A1574" s="155"/>
      <c r="B1574" s="57"/>
      <c r="C1574" s="24">
        <f t="shared" si="263"/>
        <v>1</v>
      </c>
      <c r="D1574" s="674"/>
      <c r="E1574" s="24">
        <f t="shared" si="264"/>
        <v>1</v>
      </c>
      <c r="F1574" s="674"/>
      <c r="G1574" s="24">
        <f t="shared" si="265"/>
        <v>1</v>
      </c>
      <c r="H1574" s="674"/>
      <c r="I1574" s="24">
        <f t="shared" si="266"/>
        <v>1</v>
      </c>
      <c r="J1574" s="674"/>
      <c r="K1574" s="24">
        <f t="shared" si="267"/>
        <v>1</v>
      </c>
      <c r="L1574" s="674"/>
      <c r="M1574" s="24">
        <f t="shared" si="268"/>
        <v>1</v>
      </c>
      <c r="N1574" s="674"/>
      <c r="O1574" s="24">
        <f t="shared" si="269"/>
        <v>1</v>
      </c>
      <c r="P1574" s="674"/>
      <c r="Q1574" s="24">
        <f t="shared" si="270"/>
        <v>0</v>
      </c>
      <c r="R1574" s="670">
        <f t="shared" si="271"/>
        <v>0</v>
      </c>
      <c r="S1574" s="322">
        <f t="shared" si="272"/>
        <v>0</v>
      </c>
    </row>
    <row r="1575" spans="1:19">
      <c r="A1575" s="155"/>
      <c r="B1575" s="57"/>
      <c r="C1575" s="24">
        <f t="shared" si="263"/>
        <v>1</v>
      </c>
      <c r="D1575" s="674"/>
      <c r="E1575" s="24">
        <f t="shared" si="264"/>
        <v>1</v>
      </c>
      <c r="F1575" s="674"/>
      <c r="G1575" s="24">
        <f t="shared" si="265"/>
        <v>1</v>
      </c>
      <c r="H1575" s="674"/>
      <c r="I1575" s="24">
        <f t="shared" si="266"/>
        <v>1</v>
      </c>
      <c r="J1575" s="674"/>
      <c r="K1575" s="24">
        <f t="shared" si="267"/>
        <v>1</v>
      </c>
      <c r="L1575" s="674"/>
      <c r="M1575" s="24">
        <f t="shared" si="268"/>
        <v>1</v>
      </c>
      <c r="N1575" s="674"/>
      <c r="O1575" s="24">
        <f t="shared" si="269"/>
        <v>1</v>
      </c>
      <c r="P1575" s="674"/>
      <c r="Q1575" s="24">
        <f t="shared" si="270"/>
        <v>0</v>
      </c>
      <c r="R1575" s="670">
        <f t="shared" si="271"/>
        <v>0</v>
      </c>
      <c r="S1575" s="322">
        <f t="shared" si="272"/>
        <v>0</v>
      </c>
    </row>
    <row r="1576" spans="1:19">
      <c r="A1576" s="155"/>
      <c r="B1576" s="57"/>
      <c r="C1576" s="24">
        <f t="shared" si="263"/>
        <v>1</v>
      </c>
      <c r="D1576" s="674"/>
      <c r="E1576" s="24">
        <f t="shared" si="264"/>
        <v>1</v>
      </c>
      <c r="F1576" s="674"/>
      <c r="G1576" s="24">
        <f t="shared" si="265"/>
        <v>1</v>
      </c>
      <c r="H1576" s="674"/>
      <c r="I1576" s="24">
        <f t="shared" si="266"/>
        <v>1</v>
      </c>
      <c r="J1576" s="674"/>
      <c r="K1576" s="24">
        <f t="shared" si="267"/>
        <v>1</v>
      </c>
      <c r="L1576" s="674"/>
      <c r="M1576" s="24">
        <f t="shared" si="268"/>
        <v>1</v>
      </c>
      <c r="N1576" s="674"/>
      <c r="O1576" s="24">
        <f t="shared" si="269"/>
        <v>1</v>
      </c>
      <c r="P1576" s="674"/>
      <c r="Q1576" s="24">
        <f t="shared" si="270"/>
        <v>0</v>
      </c>
      <c r="R1576" s="670">
        <f t="shared" si="271"/>
        <v>0</v>
      </c>
      <c r="S1576" s="322">
        <f t="shared" si="272"/>
        <v>0</v>
      </c>
    </row>
    <row r="1577" spans="1:19">
      <c r="A1577" s="155"/>
      <c r="B1577" s="57"/>
      <c r="C1577" s="24">
        <f t="shared" si="263"/>
        <v>1</v>
      </c>
      <c r="D1577" s="674"/>
      <c r="E1577" s="24">
        <f t="shared" si="264"/>
        <v>1</v>
      </c>
      <c r="F1577" s="674"/>
      <c r="G1577" s="24">
        <f t="shared" si="265"/>
        <v>1</v>
      </c>
      <c r="H1577" s="674"/>
      <c r="I1577" s="24">
        <f t="shared" si="266"/>
        <v>1</v>
      </c>
      <c r="J1577" s="674"/>
      <c r="K1577" s="24">
        <f t="shared" si="267"/>
        <v>1</v>
      </c>
      <c r="L1577" s="674"/>
      <c r="M1577" s="24">
        <f t="shared" si="268"/>
        <v>1</v>
      </c>
      <c r="N1577" s="674"/>
      <c r="O1577" s="24">
        <f t="shared" si="269"/>
        <v>1</v>
      </c>
      <c r="P1577" s="674"/>
      <c r="Q1577" s="24">
        <f t="shared" si="270"/>
        <v>0</v>
      </c>
      <c r="R1577" s="670">
        <f t="shared" si="271"/>
        <v>0</v>
      </c>
      <c r="S1577" s="322">
        <f t="shared" si="272"/>
        <v>0</v>
      </c>
    </row>
    <row r="1578" spans="1:19">
      <c r="A1578" s="155"/>
      <c r="B1578" s="57"/>
      <c r="C1578" s="24">
        <f t="shared" si="263"/>
        <v>1</v>
      </c>
      <c r="D1578" s="674"/>
      <c r="E1578" s="24">
        <f t="shared" si="264"/>
        <v>1</v>
      </c>
      <c r="F1578" s="674"/>
      <c r="G1578" s="24">
        <f t="shared" si="265"/>
        <v>1</v>
      </c>
      <c r="H1578" s="674"/>
      <c r="I1578" s="24">
        <f t="shared" si="266"/>
        <v>1</v>
      </c>
      <c r="J1578" s="674"/>
      <c r="K1578" s="24">
        <f t="shared" si="267"/>
        <v>1</v>
      </c>
      <c r="L1578" s="674"/>
      <c r="M1578" s="24">
        <f t="shared" si="268"/>
        <v>1</v>
      </c>
      <c r="N1578" s="674"/>
      <c r="O1578" s="24">
        <f t="shared" si="269"/>
        <v>1</v>
      </c>
      <c r="P1578" s="674"/>
      <c r="Q1578" s="24">
        <f t="shared" si="270"/>
        <v>0</v>
      </c>
      <c r="R1578" s="670">
        <f t="shared" si="271"/>
        <v>0</v>
      </c>
      <c r="S1578" s="322">
        <f t="shared" si="272"/>
        <v>0</v>
      </c>
    </row>
    <row r="1579" spans="1:19">
      <c r="A1579" s="155"/>
      <c r="B1579" s="57"/>
      <c r="C1579" s="24">
        <f t="shared" si="263"/>
        <v>1</v>
      </c>
      <c r="D1579" s="674"/>
      <c r="E1579" s="24">
        <f t="shared" si="264"/>
        <v>1</v>
      </c>
      <c r="F1579" s="674"/>
      <c r="G1579" s="24">
        <f t="shared" si="265"/>
        <v>1</v>
      </c>
      <c r="H1579" s="674"/>
      <c r="I1579" s="24">
        <f t="shared" si="266"/>
        <v>1</v>
      </c>
      <c r="J1579" s="674"/>
      <c r="K1579" s="24">
        <f t="shared" si="267"/>
        <v>1</v>
      </c>
      <c r="L1579" s="674"/>
      <c r="M1579" s="24">
        <f t="shared" si="268"/>
        <v>1</v>
      </c>
      <c r="N1579" s="674"/>
      <c r="O1579" s="24">
        <f t="shared" si="269"/>
        <v>1</v>
      </c>
      <c r="P1579" s="674"/>
      <c r="Q1579" s="24">
        <f t="shared" si="270"/>
        <v>0</v>
      </c>
      <c r="R1579" s="670">
        <f t="shared" si="271"/>
        <v>0</v>
      </c>
      <c r="S1579" s="322">
        <f t="shared" si="272"/>
        <v>0</v>
      </c>
    </row>
    <row r="1580" spans="1:19">
      <c r="A1580" s="155"/>
      <c r="B1580" s="57"/>
      <c r="C1580" s="24">
        <f t="shared" si="263"/>
        <v>1</v>
      </c>
      <c r="D1580" s="674"/>
      <c r="E1580" s="24">
        <f t="shared" si="264"/>
        <v>1</v>
      </c>
      <c r="F1580" s="674"/>
      <c r="G1580" s="24">
        <f t="shared" si="265"/>
        <v>1</v>
      </c>
      <c r="H1580" s="674"/>
      <c r="I1580" s="24">
        <f t="shared" si="266"/>
        <v>1</v>
      </c>
      <c r="J1580" s="674"/>
      <c r="K1580" s="24">
        <f t="shared" si="267"/>
        <v>1</v>
      </c>
      <c r="L1580" s="674"/>
      <c r="M1580" s="24">
        <f t="shared" si="268"/>
        <v>1</v>
      </c>
      <c r="N1580" s="674"/>
      <c r="O1580" s="24">
        <f t="shared" si="269"/>
        <v>1</v>
      </c>
      <c r="P1580" s="674"/>
      <c r="Q1580" s="24">
        <f t="shared" si="270"/>
        <v>0</v>
      </c>
      <c r="R1580" s="670">
        <f t="shared" si="271"/>
        <v>0</v>
      </c>
      <c r="S1580" s="322">
        <f t="shared" si="272"/>
        <v>0</v>
      </c>
    </row>
    <row r="1581" spans="1:19">
      <c r="A1581" s="155"/>
      <c r="B1581" s="57"/>
      <c r="C1581" s="24">
        <f t="shared" si="263"/>
        <v>1</v>
      </c>
      <c r="D1581" s="674"/>
      <c r="E1581" s="24">
        <f t="shared" si="264"/>
        <v>1</v>
      </c>
      <c r="F1581" s="674"/>
      <c r="G1581" s="24">
        <f t="shared" si="265"/>
        <v>1</v>
      </c>
      <c r="H1581" s="674"/>
      <c r="I1581" s="24">
        <f t="shared" si="266"/>
        <v>1</v>
      </c>
      <c r="J1581" s="674"/>
      <c r="K1581" s="24">
        <f t="shared" si="267"/>
        <v>1</v>
      </c>
      <c r="L1581" s="674"/>
      <c r="M1581" s="24">
        <f t="shared" si="268"/>
        <v>1</v>
      </c>
      <c r="N1581" s="674"/>
      <c r="O1581" s="24">
        <f t="shared" si="269"/>
        <v>1</v>
      </c>
      <c r="P1581" s="674"/>
      <c r="Q1581" s="24">
        <f t="shared" si="270"/>
        <v>0</v>
      </c>
      <c r="R1581" s="670">
        <f t="shared" si="271"/>
        <v>0</v>
      </c>
      <c r="S1581" s="322">
        <f t="shared" si="272"/>
        <v>0</v>
      </c>
    </row>
    <row r="1582" spans="1:19">
      <c r="A1582" s="155"/>
      <c r="B1582" s="57"/>
      <c r="C1582" s="24">
        <f t="shared" si="263"/>
        <v>1</v>
      </c>
      <c r="D1582" s="674"/>
      <c r="E1582" s="24">
        <f t="shared" si="264"/>
        <v>1</v>
      </c>
      <c r="F1582" s="674"/>
      <c r="G1582" s="24">
        <f t="shared" si="265"/>
        <v>1</v>
      </c>
      <c r="H1582" s="674"/>
      <c r="I1582" s="24">
        <f t="shared" si="266"/>
        <v>1</v>
      </c>
      <c r="J1582" s="674"/>
      <c r="K1582" s="24">
        <f t="shared" si="267"/>
        <v>1</v>
      </c>
      <c r="L1582" s="674"/>
      <c r="M1582" s="24">
        <f t="shared" si="268"/>
        <v>1</v>
      </c>
      <c r="N1582" s="674"/>
      <c r="O1582" s="24">
        <f t="shared" si="269"/>
        <v>1</v>
      </c>
      <c r="P1582" s="674"/>
      <c r="Q1582" s="24">
        <f t="shared" si="270"/>
        <v>0</v>
      </c>
      <c r="R1582" s="670">
        <f t="shared" si="271"/>
        <v>0</v>
      </c>
      <c r="S1582" s="322">
        <f t="shared" si="272"/>
        <v>0</v>
      </c>
    </row>
    <row r="1583" spans="1:19">
      <c r="A1583" s="155"/>
      <c r="B1583" s="57"/>
      <c r="C1583" s="24">
        <f t="shared" si="263"/>
        <v>1</v>
      </c>
      <c r="D1583" s="674"/>
      <c r="E1583" s="24">
        <f t="shared" si="264"/>
        <v>1</v>
      </c>
      <c r="F1583" s="674"/>
      <c r="G1583" s="24">
        <f t="shared" si="265"/>
        <v>1</v>
      </c>
      <c r="H1583" s="674"/>
      <c r="I1583" s="24">
        <f t="shared" si="266"/>
        <v>1</v>
      </c>
      <c r="J1583" s="674"/>
      <c r="K1583" s="24">
        <f t="shared" si="267"/>
        <v>1</v>
      </c>
      <c r="L1583" s="674"/>
      <c r="M1583" s="24">
        <f t="shared" si="268"/>
        <v>1</v>
      </c>
      <c r="N1583" s="674"/>
      <c r="O1583" s="24">
        <f t="shared" si="269"/>
        <v>1</v>
      </c>
      <c r="P1583" s="674"/>
      <c r="Q1583" s="24">
        <f t="shared" si="270"/>
        <v>0</v>
      </c>
      <c r="R1583" s="670">
        <f t="shared" si="271"/>
        <v>0</v>
      </c>
      <c r="S1583" s="322">
        <f t="shared" si="272"/>
        <v>0</v>
      </c>
    </row>
    <row r="1584" spans="1:19">
      <c r="A1584" s="155"/>
      <c r="B1584" s="57"/>
      <c r="C1584" s="24">
        <f t="shared" si="263"/>
        <v>1</v>
      </c>
      <c r="D1584" s="674"/>
      <c r="E1584" s="24">
        <f t="shared" si="264"/>
        <v>1</v>
      </c>
      <c r="F1584" s="674"/>
      <c r="G1584" s="24">
        <f t="shared" si="265"/>
        <v>1</v>
      </c>
      <c r="H1584" s="674"/>
      <c r="I1584" s="24">
        <f t="shared" si="266"/>
        <v>1</v>
      </c>
      <c r="J1584" s="674"/>
      <c r="K1584" s="24">
        <f t="shared" si="267"/>
        <v>1</v>
      </c>
      <c r="L1584" s="674"/>
      <c r="M1584" s="24">
        <f t="shared" si="268"/>
        <v>1</v>
      </c>
      <c r="N1584" s="674"/>
      <c r="O1584" s="24">
        <f t="shared" si="269"/>
        <v>1</v>
      </c>
      <c r="P1584" s="674"/>
      <c r="Q1584" s="24">
        <f t="shared" si="270"/>
        <v>0</v>
      </c>
      <c r="R1584" s="670">
        <f t="shared" si="271"/>
        <v>0</v>
      </c>
      <c r="S1584" s="322">
        <f t="shared" si="272"/>
        <v>0</v>
      </c>
    </row>
    <row r="1585" spans="1:19">
      <c r="A1585" s="155"/>
      <c r="B1585" s="57"/>
      <c r="C1585" s="24">
        <f t="shared" si="263"/>
        <v>1</v>
      </c>
      <c r="D1585" s="674"/>
      <c r="E1585" s="24">
        <f t="shared" si="264"/>
        <v>1</v>
      </c>
      <c r="F1585" s="674"/>
      <c r="G1585" s="24">
        <f t="shared" si="265"/>
        <v>1</v>
      </c>
      <c r="H1585" s="674"/>
      <c r="I1585" s="24">
        <f t="shared" si="266"/>
        <v>1</v>
      </c>
      <c r="J1585" s="674"/>
      <c r="K1585" s="24">
        <f t="shared" si="267"/>
        <v>1</v>
      </c>
      <c r="L1585" s="674"/>
      <c r="M1585" s="24">
        <f t="shared" si="268"/>
        <v>1</v>
      </c>
      <c r="N1585" s="674"/>
      <c r="O1585" s="24">
        <f t="shared" si="269"/>
        <v>1</v>
      </c>
      <c r="P1585" s="674"/>
      <c r="Q1585" s="24">
        <f t="shared" si="270"/>
        <v>0</v>
      </c>
      <c r="R1585" s="670">
        <f t="shared" si="271"/>
        <v>0</v>
      </c>
      <c r="S1585" s="322">
        <f t="shared" si="272"/>
        <v>0</v>
      </c>
    </row>
    <row r="1586" spans="1:19">
      <c r="A1586" s="155"/>
      <c r="B1586" s="57"/>
      <c r="C1586" s="24">
        <f t="shared" si="263"/>
        <v>1</v>
      </c>
      <c r="D1586" s="674"/>
      <c r="E1586" s="24">
        <f t="shared" si="264"/>
        <v>1</v>
      </c>
      <c r="F1586" s="674"/>
      <c r="G1586" s="24">
        <f t="shared" si="265"/>
        <v>1</v>
      </c>
      <c r="H1586" s="674"/>
      <c r="I1586" s="24">
        <f t="shared" si="266"/>
        <v>1</v>
      </c>
      <c r="J1586" s="674"/>
      <c r="K1586" s="24">
        <f t="shared" si="267"/>
        <v>1</v>
      </c>
      <c r="L1586" s="674"/>
      <c r="M1586" s="24">
        <f t="shared" si="268"/>
        <v>1</v>
      </c>
      <c r="N1586" s="674"/>
      <c r="O1586" s="24">
        <f t="shared" si="269"/>
        <v>1</v>
      </c>
      <c r="P1586" s="674"/>
      <c r="Q1586" s="24">
        <f t="shared" si="270"/>
        <v>0</v>
      </c>
      <c r="R1586" s="670">
        <f t="shared" si="271"/>
        <v>0</v>
      </c>
      <c r="S1586" s="322">
        <f t="shared" si="272"/>
        <v>0</v>
      </c>
    </row>
    <row r="1587" spans="1:19">
      <c r="A1587" s="155"/>
      <c r="B1587" s="57"/>
      <c r="C1587" s="24">
        <f t="shared" si="263"/>
        <v>1</v>
      </c>
      <c r="D1587" s="674"/>
      <c r="E1587" s="24">
        <f t="shared" si="264"/>
        <v>1</v>
      </c>
      <c r="F1587" s="674"/>
      <c r="G1587" s="24">
        <f t="shared" si="265"/>
        <v>1</v>
      </c>
      <c r="H1587" s="674"/>
      <c r="I1587" s="24">
        <f t="shared" si="266"/>
        <v>1</v>
      </c>
      <c r="J1587" s="674"/>
      <c r="K1587" s="24">
        <f t="shared" si="267"/>
        <v>1</v>
      </c>
      <c r="L1587" s="674"/>
      <c r="M1587" s="24">
        <f t="shared" si="268"/>
        <v>1</v>
      </c>
      <c r="N1587" s="674"/>
      <c r="O1587" s="24">
        <f t="shared" si="269"/>
        <v>1</v>
      </c>
      <c r="P1587" s="674"/>
      <c r="Q1587" s="24">
        <f t="shared" si="270"/>
        <v>0</v>
      </c>
      <c r="R1587" s="670">
        <f t="shared" si="271"/>
        <v>0</v>
      </c>
      <c r="S1587" s="322">
        <f t="shared" si="272"/>
        <v>0</v>
      </c>
    </row>
    <row r="1588" spans="1:19">
      <c r="A1588" s="155"/>
      <c r="B1588" s="57"/>
      <c r="C1588" s="24">
        <f t="shared" si="263"/>
        <v>1</v>
      </c>
      <c r="D1588" s="674"/>
      <c r="E1588" s="24">
        <f t="shared" si="264"/>
        <v>1</v>
      </c>
      <c r="F1588" s="674"/>
      <c r="G1588" s="24">
        <f t="shared" si="265"/>
        <v>1</v>
      </c>
      <c r="H1588" s="674"/>
      <c r="I1588" s="24">
        <f t="shared" si="266"/>
        <v>1</v>
      </c>
      <c r="J1588" s="674"/>
      <c r="K1588" s="24">
        <f t="shared" si="267"/>
        <v>1</v>
      </c>
      <c r="L1588" s="674"/>
      <c r="M1588" s="24">
        <f t="shared" si="268"/>
        <v>1</v>
      </c>
      <c r="N1588" s="674"/>
      <c r="O1588" s="24">
        <f t="shared" si="269"/>
        <v>1</v>
      </c>
      <c r="P1588" s="674"/>
      <c r="Q1588" s="24">
        <f t="shared" si="270"/>
        <v>0</v>
      </c>
      <c r="R1588" s="670">
        <f t="shared" si="271"/>
        <v>0</v>
      </c>
      <c r="S1588" s="322">
        <f t="shared" si="272"/>
        <v>0</v>
      </c>
    </row>
    <row r="1589" spans="1:19">
      <c r="A1589" s="155"/>
      <c r="B1589" s="57"/>
      <c r="C1589" s="24">
        <f t="shared" si="263"/>
        <v>1</v>
      </c>
      <c r="D1589" s="674"/>
      <c r="E1589" s="24">
        <f t="shared" si="264"/>
        <v>1</v>
      </c>
      <c r="F1589" s="674"/>
      <c r="G1589" s="24">
        <f t="shared" si="265"/>
        <v>1</v>
      </c>
      <c r="H1589" s="674"/>
      <c r="I1589" s="24">
        <f t="shared" si="266"/>
        <v>1</v>
      </c>
      <c r="J1589" s="674"/>
      <c r="K1589" s="24">
        <f t="shared" si="267"/>
        <v>1</v>
      </c>
      <c r="L1589" s="674"/>
      <c r="M1589" s="24">
        <f t="shared" si="268"/>
        <v>1</v>
      </c>
      <c r="N1589" s="674"/>
      <c r="O1589" s="24">
        <f t="shared" si="269"/>
        <v>1</v>
      </c>
      <c r="P1589" s="674"/>
      <c r="Q1589" s="24">
        <f t="shared" si="270"/>
        <v>0</v>
      </c>
      <c r="R1589" s="670">
        <f t="shared" si="271"/>
        <v>0</v>
      </c>
      <c r="S1589" s="322">
        <f t="shared" si="272"/>
        <v>0</v>
      </c>
    </row>
    <row r="1590" spans="1:19">
      <c r="A1590" s="155"/>
      <c r="B1590" s="57"/>
      <c r="C1590" s="24">
        <f t="shared" si="263"/>
        <v>1</v>
      </c>
      <c r="D1590" s="674"/>
      <c r="E1590" s="24">
        <f t="shared" si="264"/>
        <v>1</v>
      </c>
      <c r="F1590" s="674"/>
      <c r="G1590" s="24">
        <f t="shared" si="265"/>
        <v>1</v>
      </c>
      <c r="H1590" s="674"/>
      <c r="I1590" s="24">
        <f t="shared" si="266"/>
        <v>1</v>
      </c>
      <c r="J1590" s="674"/>
      <c r="K1590" s="24">
        <f t="shared" si="267"/>
        <v>1</v>
      </c>
      <c r="L1590" s="674"/>
      <c r="M1590" s="24">
        <f t="shared" si="268"/>
        <v>1</v>
      </c>
      <c r="N1590" s="674"/>
      <c r="O1590" s="24">
        <f t="shared" si="269"/>
        <v>1</v>
      </c>
      <c r="P1590" s="674"/>
      <c r="Q1590" s="24">
        <f t="shared" si="270"/>
        <v>0</v>
      </c>
      <c r="R1590" s="670">
        <f t="shared" si="271"/>
        <v>0</v>
      </c>
      <c r="S1590" s="322">
        <f t="shared" si="272"/>
        <v>0</v>
      </c>
    </row>
    <row r="1591" spans="1:19">
      <c r="A1591" s="155"/>
      <c r="B1591" s="57"/>
      <c r="C1591" s="24">
        <f t="shared" si="263"/>
        <v>1</v>
      </c>
      <c r="D1591" s="674"/>
      <c r="E1591" s="24">
        <f t="shared" si="264"/>
        <v>1</v>
      </c>
      <c r="F1591" s="674"/>
      <c r="G1591" s="24">
        <f t="shared" si="265"/>
        <v>1</v>
      </c>
      <c r="H1591" s="674"/>
      <c r="I1591" s="24">
        <f t="shared" si="266"/>
        <v>1</v>
      </c>
      <c r="J1591" s="674"/>
      <c r="K1591" s="24">
        <f t="shared" si="267"/>
        <v>1</v>
      </c>
      <c r="L1591" s="674"/>
      <c r="M1591" s="24">
        <f t="shared" si="268"/>
        <v>1</v>
      </c>
      <c r="N1591" s="674"/>
      <c r="O1591" s="24">
        <f t="shared" si="269"/>
        <v>1</v>
      </c>
      <c r="P1591" s="674"/>
      <c r="Q1591" s="24">
        <f t="shared" si="270"/>
        <v>0</v>
      </c>
      <c r="R1591" s="670">
        <f t="shared" si="271"/>
        <v>0</v>
      </c>
      <c r="S1591" s="322">
        <f t="shared" si="272"/>
        <v>0</v>
      </c>
    </row>
    <row r="1592" spans="1:19">
      <c r="A1592" s="155"/>
      <c r="B1592" s="57"/>
      <c r="C1592" s="24">
        <f t="shared" si="263"/>
        <v>1</v>
      </c>
      <c r="D1592" s="674"/>
      <c r="E1592" s="24">
        <f t="shared" si="264"/>
        <v>1</v>
      </c>
      <c r="F1592" s="674"/>
      <c r="G1592" s="24">
        <f t="shared" si="265"/>
        <v>1</v>
      </c>
      <c r="H1592" s="674"/>
      <c r="I1592" s="24">
        <f t="shared" si="266"/>
        <v>1</v>
      </c>
      <c r="J1592" s="674"/>
      <c r="K1592" s="24">
        <f t="shared" si="267"/>
        <v>1</v>
      </c>
      <c r="L1592" s="674"/>
      <c r="M1592" s="24">
        <f t="shared" si="268"/>
        <v>1</v>
      </c>
      <c r="N1592" s="674"/>
      <c r="O1592" s="24">
        <f t="shared" si="269"/>
        <v>1</v>
      </c>
      <c r="P1592" s="674"/>
      <c r="Q1592" s="24">
        <f t="shared" si="270"/>
        <v>0</v>
      </c>
      <c r="R1592" s="670">
        <f t="shared" si="271"/>
        <v>0</v>
      </c>
      <c r="S1592" s="322">
        <f t="shared" si="272"/>
        <v>0</v>
      </c>
    </row>
    <row r="1593" spans="1:19">
      <c r="A1593" s="155"/>
      <c r="B1593" s="57"/>
      <c r="C1593" s="24">
        <f t="shared" si="263"/>
        <v>1</v>
      </c>
      <c r="D1593" s="674"/>
      <c r="E1593" s="24">
        <f t="shared" si="264"/>
        <v>1</v>
      </c>
      <c r="F1593" s="674"/>
      <c r="G1593" s="24">
        <f t="shared" si="265"/>
        <v>1</v>
      </c>
      <c r="H1593" s="674"/>
      <c r="I1593" s="24">
        <f t="shared" si="266"/>
        <v>1</v>
      </c>
      <c r="J1593" s="674"/>
      <c r="K1593" s="24">
        <f t="shared" si="267"/>
        <v>1</v>
      </c>
      <c r="L1593" s="674"/>
      <c r="M1593" s="24">
        <f t="shared" si="268"/>
        <v>1</v>
      </c>
      <c r="N1593" s="674"/>
      <c r="O1593" s="24">
        <f t="shared" si="269"/>
        <v>1</v>
      </c>
      <c r="P1593" s="674"/>
      <c r="Q1593" s="24">
        <f t="shared" si="270"/>
        <v>0</v>
      </c>
      <c r="R1593" s="670">
        <f t="shared" si="271"/>
        <v>0</v>
      </c>
      <c r="S1593" s="322">
        <f t="shared" si="272"/>
        <v>0</v>
      </c>
    </row>
    <row r="1594" spans="1:19">
      <c r="A1594" s="155"/>
      <c r="B1594" s="57"/>
      <c r="C1594" s="24">
        <f t="shared" si="263"/>
        <v>1</v>
      </c>
      <c r="D1594" s="674"/>
      <c r="E1594" s="24">
        <f t="shared" si="264"/>
        <v>1</v>
      </c>
      <c r="F1594" s="674"/>
      <c r="G1594" s="24">
        <f t="shared" si="265"/>
        <v>1</v>
      </c>
      <c r="H1594" s="674"/>
      <c r="I1594" s="24">
        <f t="shared" si="266"/>
        <v>1</v>
      </c>
      <c r="J1594" s="674"/>
      <c r="K1594" s="24">
        <f t="shared" si="267"/>
        <v>1</v>
      </c>
      <c r="L1594" s="674"/>
      <c r="M1594" s="24">
        <f t="shared" si="268"/>
        <v>1</v>
      </c>
      <c r="N1594" s="674"/>
      <c r="O1594" s="24">
        <f t="shared" si="269"/>
        <v>1</v>
      </c>
      <c r="P1594" s="674"/>
      <c r="Q1594" s="24">
        <f t="shared" si="270"/>
        <v>0</v>
      </c>
      <c r="R1594" s="670">
        <f t="shared" si="271"/>
        <v>0</v>
      </c>
      <c r="S1594" s="322">
        <f t="shared" si="272"/>
        <v>0</v>
      </c>
    </row>
    <row r="1595" spans="1:19">
      <c r="A1595" s="155"/>
      <c r="B1595" s="57"/>
      <c r="C1595" s="24">
        <f t="shared" si="263"/>
        <v>1</v>
      </c>
      <c r="D1595" s="674"/>
      <c r="E1595" s="24">
        <f t="shared" si="264"/>
        <v>1</v>
      </c>
      <c r="F1595" s="674"/>
      <c r="G1595" s="24">
        <f t="shared" si="265"/>
        <v>1</v>
      </c>
      <c r="H1595" s="674"/>
      <c r="I1595" s="24">
        <f t="shared" si="266"/>
        <v>1</v>
      </c>
      <c r="J1595" s="674"/>
      <c r="K1595" s="24">
        <f t="shared" si="267"/>
        <v>1</v>
      </c>
      <c r="L1595" s="674"/>
      <c r="M1595" s="24">
        <f t="shared" si="268"/>
        <v>1</v>
      </c>
      <c r="N1595" s="674"/>
      <c r="O1595" s="24">
        <f t="shared" si="269"/>
        <v>1</v>
      </c>
      <c r="P1595" s="674"/>
      <c r="Q1595" s="24">
        <f t="shared" si="270"/>
        <v>0</v>
      </c>
      <c r="R1595" s="670">
        <f t="shared" si="271"/>
        <v>0</v>
      </c>
      <c r="S1595" s="322">
        <f t="shared" si="272"/>
        <v>0</v>
      </c>
    </row>
    <row r="1596" spans="1:19">
      <c r="A1596" s="155"/>
      <c r="B1596" s="57"/>
      <c r="C1596" s="24">
        <f t="shared" si="263"/>
        <v>1</v>
      </c>
      <c r="D1596" s="674"/>
      <c r="E1596" s="24">
        <f t="shared" si="264"/>
        <v>1</v>
      </c>
      <c r="F1596" s="674"/>
      <c r="G1596" s="24">
        <f t="shared" si="265"/>
        <v>1</v>
      </c>
      <c r="H1596" s="674"/>
      <c r="I1596" s="24">
        <f t="shared" si="266"/>
        <v>1</v>
      </c>
      <c r="J1596" s="674"/>
      <c r="K1596" s="24">
        <f t="shared" si="267"/>
        <v>1</v>
      </c>
      <c r="L1596" s="674"/>
      <c r="M1596" s="24">
        <f t="shared" si="268"/>
        <v>1</v>
      </c>
      <c r="N1596" s="674"/>
      <c r="O1596" s="24">
        <f t="shared" si="269"/>
        <v>1</v>
      </c>
      <c r="P1596" s="674"/>
      <c r="Q1596" s="24">
        <f t="shared" si="270"/>
        <v>0</v>
      </c>
      <c r="R1596" s="670">
        <f t="shared" si="271"/>
        <v>0</v>
      </c>
      <c r="S1596" s="322">
        <f t="shared" si="272"/>
        <v>0</v>
      </c>
    </row>
    <row r="1597" spans="1:19">
      <c r="A1597" s="155"/>
      <c r="B1597" s="57"/>
      <c r="C1597" s="24">
        <f t="shared" si="263"/>
        <v>1</v>
      </c>
      <c r="D1597" s="674"/>
      <c r="E1597" s="24">
        <f t="shared" si="264"/>
        <v>1</v>
      </c>
      <c r="F1597" s="674"/>
      <c r="G1597" s="24">
        <f t="shared" si="265"/>
        <v>1</v>
      </c>
      <c r="H1597" s="674"/>
      <c r="I1597" s="24">
        <f t="shared" si="266"/>
        <v>1</v>
      </c>
      <c r="J1597" s="674"/>
      <c r="K1597" s="24">
        <f t="shared" si="267"/>
        <v>1</v>
      </c>
      <c r="L1597" s="674"/>
      <c r="M1597" s="24">
        <f t="shared" si="268"/>
        <v>1</v>
      </c>
      <c r="N1597" s="674"/>
      <c r="O1597" s="24">
        <f t="shared" si="269"/>
        <v>1</v>
      </c>
      <c r="P1597" s="674"/>
      <c r="Q1597" s="24">
        <f t="shared" si="270"/>
        <v>0</v>
      </c>
      <c r="R1597" s="670">
        <f t="shared" si="271"/>
        <v>0</v>
      </c>
      <c r="S1597" s="322">
        <f t="shared" si="272"/>
        <v>0</v>
      </c>
    </row>
    <row r="1598" spans="1:19">
      <c r="A1598" s="155"/>
      <c r="B1598" s="57"/>
      <c r="C1598" s="24">
        <f t="shared" si="263"/>
        <v>1</v>
      </c>
      <c r="D1598" s="674"/>
      <c r="E1598" s="24">
        <f t="shared" si="264"/>
        <v>1</v>
      </c>
      <c r="F1598" s="674"/>
      <c r="G1598" s="24">
        <f t="shared" si="265"/>
        <v>1</v>
      </c>
      <c r="H1598" s="674"/>
      <c r="I1598" s="24">
        <f t="shared" si="266"/>
        <v>1</v>
      </c>
      <c r="J1598" s="674"/>
      <c r="K1598" s="24">
        <f t="shared" si="267"/>
        <v>1</v>
      </c>
      <c r="L1598" s="674"/>
      <c r="M1598" s="24">
        <f t="shared" si="268"/>
        <v>1</v>
      </c>
      <c r="N1598" s="674"/>
      <c r="O1598" s="24">
        <f t="shared" si="269"/>
        <v>1</v>
      </c>
      <c r="P1598" s="674"/>
      <c r="Q1598" s="24">
        <f t="shared" si="270"/>
        <v>0</v>
      </c>
      <c r="R1598" s="670">
        <f t="shared" si="271"/>
        <v>0</v>
      </c>
      <c r="S1598" s="322">
        <f t="shared" si="272"/>
        <v>0</v>
      </c>
    </row>
    <row r="1599" spans="1:19">
      <c r="A1599" s="155"/>
      <c r="B1599" s="57"/>
      <c r="C1599" s="24">
        <f t="shared" si="263"/>
        <v>1</v>
      </c>
      <c r="D1599" s="674"/>
      <c r="E1599" s="24">
        <f t="shared" si="264"/>
        <v>1</v>
      </c>
      <c r="F1599" s="674"/>
      <c r="G1599" s="24">
        <f t="shared" si="265"/>
        <v>1</v>
      </c>
      <c r="H1599" s="674"/>
      <c r="I1599" s="24">
        <f t="shared" si="266"/>
        <v>1</v>
      </c>
      <c r="J1599" s="674"/>
      <c r="K1599" s="24">
        <f t="shared" si="267"/>
        <v>1</v>
      </c>
      <c r="L1599" s="674"/>
      <c r="M1599" s="24">
        <f t="shared" si="268"/>
        <v>1</v>
      </c>
      <c r="N1599" s="674"/>
      <c r="O1599" s="24">
        <f t="shared" si="269"/>
        <v>1</v>
      </c>
      <c r="P1599" s="674"/>
      <c r="Q1599" s="24">
        <f t="shared" si="270"/>
        <v>0</v>
      </c>
      <c r="R1599" s="670">
        <f t="shared" si="271"/>
        <v>0</v>
      </c>
      <c r="S1599" s="322">
        <f t="shared" si="272"/>
        <v>0</v>
      </c>
    </row>
    <row r="1600" spans="1:19">
      <c r="A1600" s="155"/>
      <c r="B1600" s="57"/>
      <c r="C1600" s="24">
        <f t="shared" si="263"/>
        <v>1</v>
      </c>
      <c r="D1600" s="674"/>
      <c r="E1600" s="24">
        <f t="shared" si="264"/>
        <v>1</v>
      </c>
      <c r="F1600" s="674"/>
      <c r="G1600" s="24">
        <f t="shared" si="265"/>
        <v>1</v>
      </c>
      <c r="H1600" s="674"/>
      <c r="I1600" s="24">
        <f t="shared" si="266"/>
        <v>1</v>
      </c>
      <c r="J1600" s="674"/>
      <c r="K1600" s="24">
        <f t="shared" si="267"/>
        <v>1</v>
      </c>
      <c r="L1600" s="674"/>
      <c r="M1600" s="24">
        <f t="shared" si="268"/>
        <v>1</v>
      </c>
      <c r="N1600" s="674"/>
      <c r="O1600" s="24">
        <f t="shared" si="269"/>
        <v>1</v>
      </c>
      <c r="P1600" s="674"/>
      <c r="Q1600" s="24">
        <f t="shared" si="270"/>
        <v>0</v>
      </c>
      <c r="R1600" s="670">
        <f t="shared" si="271"/>
        <v>0</v>
      </c>
      <c r="S1600" s="322">
        <f t="shared" si="272"/>
        <v>0</v>
      </c>
    </row>
    <row r="1601" spans="1:19">
      <c r="A1601" s="155"/>
      <c r="B1601" s="57"/>
      <c r="C1601" s="24">
        <f t="shared" si="263"/>
        <v>1</v>
      </c>
      <c r="D1601" s="674"/>
      <c r="E1601" s="24">
        <f t="shared" si="264"/>
        <v>1</v>
      </c>
      <c r="F1601" s="674"/>
      <c r="G1601" s="24">
        <f t="shared" si="265"/>
        <v>1</v>
      </c>
      <c r="H1601" s="674"/>
      <c r="I1601" s="24">
        <f t="shared" si="266"/>
        <v>1</v>
      </c>
      <c r="J1601" s="674"/>
      <c r="K1601" s="24">
        <f t="shared" si="267"/>
        <v>1</v>
      </c>
      <c r="L1601" s="674"/>
      <c r="M1601" s="24">
        <f t="shared" si="268"/>
        <v>1</v>
      </c>
      <c r="N1601" s="674"/>
      <c r="O1601" s="24">
        <f t="shared" si="269"/>
        <v>1</v>
      </c>
      <c r="P1601" s="674"/>
      <c r="Q1601" s="24">
        <f t="shared" si="270"/>
        <v>0</v>
      </c>
      <c r="R1601" s="670">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0"/>
    <col min="2" max="6" width="9" style="2400" customWidth="1"/>
    <col min="7" max="7" width="9" style="2438"/>
    <col min="8" max="8" width="9" style="2400"/>
    <col min="9" max="12" width="9" style="2400" customWidth="1"/>
    <col min="13" max="13" width="2.25" style="2400" customWidth="1"/>
    <col min="14" max="14" width="9" style="2438" customWidth="1"/>
    <col min="15" max="17" width="9" style="2400" customWidth="1"/>
    <col min="18" max="18" width="2.375" style="2400" customWidth="1"/>
    <col min="19" max="19" width="7.125" style="2438"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28" t="s">
        <v>1117</v>
      </c>
      <c r="C1" s="3428"/>
      <c r="D1" s="3428"/>
      <c r="E1" s="3428"/>
      <c r="F1" s="3428"/>
      <c r="G1" s="3424" t="s">
        <v>1118</v>
      </c>
      <c r="H1" s="3424"/>
      <c r="I1" s="3424"/>
      <c r="J1" s="3424"/>
      <c r="K1" s="3424"/>
      <c r="L1" s="3424"/>
      <c r="N1" s="3424" t="s">
        <v>1119</v>
      </c>
      <c r="O1" s="3424"/>
      <c r="P1" s="3424"/>
      <c r="Q1" s="3424"/>
      <c r="S1" s="3424" t="s">
        <v>1120</v>
      </c>
      <c r="T1" s="3424"/>
      <c r="U1" s="3424"/>
      <c r="V1" s="3424"/>
      <c r="X1" s="3423" t="s">
        <v>1121</v>
      </c>
      <c r="Y1" s="3424"/>
      <c r="Z1" s="3424"/>
      <c r="AA1" s="3424"/>
      <c r="AB1" s="3424"/>
      <c r="AD1" s="3423" t="s">
        <v>1122</v>
      </c>
      <c r="AE1" s="3424"/>
      <c r="AF1" s="3424"/>
      <c r="AG1" s="3424"/>
      <c r="AH1" s="3424"/>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2851</v>
      </c>
      <c r="B3" s="2385"/>
      <c r="C3" s="2385"/>
      <c r="D3" s="2386"/>
      <c r="E3" s="2386"/>
      <c r="F3" s="2385"/>
      <c r="G3" s="2387"/>
      <c r="H3" s="2388"/>
      <c r="I3" s="2389">
        <f>ROUND(AVERAGE($I4:$I34),2)</f>
        <v>1.73</v>
      </c>
      <c r="J3" s="2389">
        <f>ROUND(AVERAGE($J4:$J34),2)</f>
        <v>1.0900000000000001</v>
      </c>
      <c r="K3" s="2389">
        <f>ROUND(AVERAGE($K4:$K34),2)</f>
        <v>1.9</v>
      </c>
      <c r="L3" s="2389">
        <f>ROUND(AVERAGE($L4:$L34),2)</f>
        <v>1.25</v>
      </c>
      <c r="N3" s="2387"/>
      <c r="S3" s="2387"/>
      <c r="W3" s="2391"/>
      <c r="X3" s="2392">
        <f>ROUND(SUMPRODUCT(PRODUCT(1+N3:N$33)),4)</f>
        <v>1.619</v>
      </c>
      <c r="Y3" s="2392">
        <f>ROUND(SUMPRODUCT(PRODUCT(1+O3:O$33)),4)</f>
        <v>1.3491</v>
      </c>
      <c r="Z3" s="2392">
        <f t="shared" ref="Z3:Z31" si="0">Y3</f>
        <v>1.3491</v>
      </c>
      <c r="AA3" s="2392">
        <f>ROUND(SUMPRODUCT(PRODUCT(1+P3:P$33)),4)</f>
        <v>1.6988000000000001</v>
      </c>
      <c r="AB3" s="2392">
        <f>ROUND(SUMPRODUCT(PRODUCT(1+Q3:Q$33)),4)</f>
        <v>1.4315</v>
      </c>
      <c r="AD3" s="2393">
        <f>ROUND(AVERAGE(I3:I$34)/100,4)</f>
        <v>1.7299999999999999E-2</v>
      </c>
      <c r="AE3" s="2393">
        <f>ROUND(AVERAGE(J3:J$34)/100,4)</f>
        <v>1.09E-2</v>
      </c>
      <c r="AF3" s="2393">
        <f t="shared" ref="AF3:AF32" si="1">AE3</f>
        <v>1.09E-2</v>
      </c>
      <c r="AG3" s="2393">
        <f>ROUND(AVERAGE(K3:K$34)/100,4)</f>
        <v>1.9E-2</v>
      </c>
      <c r="AH3" s="2393">
        <f>ROUND(AVERAGE(L3:L$34)/100,4)</f>
        <v>1.2500000000000001E-2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7" customFormat="1">
      <c r="A5" s="2402" t="s">
        <v>3053</v>
      </c>
      <c r="B5" s="2403">
        <f t="shared" ref="B5" si="2">B6*(1+N5)</f>
        <v>497.92799851020823</v>
      </c>
      <c r="C5" s="2403">
        <f t="shared" ref="C5" si="3">C6*(1+O5)</f>
        <v>347.77173663537445</v>
      </c>
      <c r="D5" s="2403">
        <f t="shared" ref="D5" si="4">C5</f>
        <v>347.77173663537445</v>
      </c>
      <c r="E5" s="2403">
        <f t="shared" ref="E5" si="5">E6*(1+P5)</f>
        <v>718.44695593258189</v>
      </c>
      <c r="F5" s="2403">
        <f t="shared" ref="F5" si="6">F6*(1+Q5)</f>
        <v>329.12600580153247</v>
      </c>
      <c r="G5" s="3025">
        <v>2021</v>
      </c>
      <c r="H5" s="2405">
        <v>2</v>
      </c>
      <c r="I5" s="2406">
        <v>0</v>
      </c>
      <c r="J5" s="2406">
        <v>0</v>
      </c>
      <c r="K5" s="2406">
        <v>0</v>
      </c>
      <c r="L5" s="2406">
        <v>0</v>
      </c>
      <c r="N5" s="2408">
        <f t="shared" ref="N5" si="7">I5/100</f>
        <v>0</v>
      </c>
      <c r="O5" s="2408">
        <f t="shared" ref="O5" si="8">J5/100</f>
        <v>0</v>
      </c>
      <c r="P5" s="2408">
        <f t="shared" ref="P5" si="9">K5/100</f>
        <v>0</v>
      </c>
      <c r="Q5" s="2408">
        <f t="shared" ref="Q5" si="10">L5/100</f>
        <v>0</v>
      </c>
      <c r="S5" s="2409"/>
      <c r="W5" s="2410" t="s">
        <v>2852</v>
      </c>
      <c r="X5" s="2411">
        <f>ROUND(IF(项目基本情况!B4="出让",SUMPRODUCT(PRODUCT(1+N5:N$34)),SUMPRODUCT(PRODUCT(1+N5:N$33))),4)</f>
        <v>1.619</v>
      </c>
      <c r="Y5" s="2411">
        <f>ROUND(IF(项目基本情况!B4="出让",SUMPRODUCT(PRODUCT(1+O5:O$34)),SUMPRODUCT(PRODUCT(1+O5:O$33))),4)</f>
        <v>1.3491</v>
      </c>
      <c r="Z5" s="2411">
        <f t="shared" ref="Z5" si="11">Y5</f>
        <v>1.3491</v>
      </c>
      <c r="AA5" s="2411">
        <f>ROUND(IF(项目基本情况!B4="出让",SUMPRODUCT(PRODUCT(1+P5:P$34)),SUMPRODUCT(PRODUCT(1+P5:P$33))),4)</f>
        <v>1.6988000000000001</v>
      </c>
      <c r="AB5" s="2411">
        <f>ROUND(IF(项目基本情况!B4="出让",SUMPRODUCT(PRODUCT(1+Q5:Q$34)),SUMPRODUCT(PRODUCT(1+Q5:Q$33))),4)</f>
        <v>1.4315</v>
      </c>
      <c r="AD5" s="2412">
        <f>ROUND(AVERAGE(I5:I$34)/100,4)</f>
        <v>1.7299999999999999E-2</v>
      </c>
      <c r="AE5" s="2412">
        <f>ROUND(AVERAGE(J5:J$34)/100,4)</f>
        <v>1.09E-2</v>
      </c>
      <c r="AF5" s="2412">
        <f t="shared" ref="AF5" si="12">AE5</f>
        <v>1.09E-2</v>
      </c>
      <c r="AG5" s="2412">
        <f>ROUND(AVERAGE(K5:K$34)/100,4)</f>
        <v>1.9E-2</v>
      </c>
      <c r="AH5" s="2412">
        <f>ROUND(AVERAGE(L5:L$34)/100,4)</f>
        <v>1.2500000000000001E-2</v>
      </c>
    </row>
    <row r="6" spans="1:34" s="2420" customFormat="1">
      <c r="A6" s="2413" t="s">
        <v>3052</v>
      </c>
      <c r="B6" s="2414">
        <f t="shared" ref="B6" si="13">B7*(1+N6)</f>
        <v>497.92799851020823</v>
      </c>
      <c r="C6" s="2414">
        <f t="shared" ref="C6" si="14">C7*(1+O6)</f>
        <v>347.77173663537445</v>
      </c>
      <c r="D6" s="2414">
        <f t="shared" ref="D6" si="15">C6</f>
        <v>347.77173663537445</v>
      </c>
      <c r="E6" s="2414">
        <f t="shared" ref="E6" si="16">E7*(1+P6)</f>
        <v>718.44695593258189</v>
      </c>
      <c r="F6" s="2414">
        <f t="shared" ref="F6" si="17">F7*(1+Q6)</f>
        <v>329.12600580153247</v>
      </c>
      <c r="G6" s="3025">
        <v>2021</v>
      </c>
      <c r="H6" s="2415">
        <v>1</v>
      </c>
      <c r="I6" s="2377">
        <v>0.97</v>
      </c>
      <c r="J6" s="2377">
        <v>0.16</v>
      </c>
      <c r="K6" s="2377">
        <v>1.1100000000000001</v>
      </c>
      <c r="L6" s="2378">
        <v>0.36</v>
      </c>
      <c r="M6" s="2400"/>
      <c r="N6" s="2416">
        <f t="shared" ref="N6" si="18">I6/100</f>
        <v>9.7000000000000003E-3</v>
      </c>
      <c r="O6" s="2401">
        <f t="shared" ref="O6" si="19">J6/100</f>
        <v>1.6000000000000001E-3</v>
      </c>
      <c r="P6" s="2401">
        <f t="shared" ref="P6" si="20">K6/100</f>
        <v>1.11E-2</v>
      </c>
      <c r="Q6" s="2401">
        <f t="shared" ref="Q6" si="21">L6/100</f>
        <v>3.5999999999999999E-3</v>
      </c>
      <c r="R6" s="2417"/>
      <c r="S6" s="2416">
        <f>B6/B7-1</f>
        <v>9.7000000000000419E-3</v>
      </c>
      <c r="T6" s="2401">
        <f t="shared" ref="T6" si="22">C6/C7-1</f>
        <v>1.6000000000000458E-3</v>
      </c>
      <c r="U6" s="2401">
        <f t="shared" ref="U6" si="23">D6/D7-1</f>
        <v>1.6000000000000458E-3</v>
      </c>
      <c r="V6" s="2401">
        <f t="shared" ref="V6" si="24">E6/E7-1</f>
        <v>1.110000000000011E-2</v>
      </c>
      <c r="W6" s="2418"/>
      <c r="X6" s="2418">
        <f>ROUND(IF(项目基本情况!B5="出让",SUMPRODUCT(PRODUCT(1+N6:N$34)),SUMPRODUCT(PRODUCT(1+N6:N$33))),4)</f>
        <v>1.619</v>
      </c>
      <c r="Y6" s="2418">
        <f>ROUND(IF(项目基本情况!B5="出让",SUMPRODUCT(PRODUCT(1+O6:O$34)),SUMPRODUCT(PRODUCT(1+O6:O$33))),4)</f>
        <v>1.3491</v>
      </c>
      <c r="Z6" s="2418">
        <f t="shared" ref="Z6" si="25">Y6</f>
        <v>1.3491</v>
      </c>
      <c r="AA6" s="2418">
        <f>ROUND(IF(项目基本情况!B5="出让",SUMPRODUCT(PRODUCT(1+P6:P$34)),SUMPRODUCT(PRODUCT(1+P6:P$33))),4)</f>
        <v>1.6988000000000001</v>
      </c>
      <c r="AB6" s="2418">
        <f>ROUND(IF(项目基本情况!B5="出让",SUMPRODUCT(PRODUCT(1+Q6:Q$34)),SUMPRODUCT(PRODUCT(1+Q6:Q$33))),4)</f>
        <v>1.4315</v>
      </c>
      <c r="AC6" s="2418"/>
      <c r="AD6" s="2419">
        <f>ROUND(AVERAGE(I6:I$34)/100,4)</f>
        <v>1.7899999999999999E-2</v>
      </c>
      <c r="AE6" s="2419">
        <f>ROUND(AVERAGE(J6:J$34)/100,4)</f>
        <v>1.12E-2</v>
      </c>
      <c r="AF6" s="2419">
        <f t="shared" ref="AF6" si="26">AE6</f>
        <v>1.12E-2</v>
      </c>
      <c r="AG6" s="2419">
        <f>ROUND(AVERAGE(K6:K$34)/100,4)</f>
        <v>1.9699999999999999E-2</v>
      </c>
      <c r="AH6" s="2419">
        <f>ROUND(AVERAGE(L6:L$34)/100,4)</f>
        <v>1.29E-2</v>
      </c>
    </row>
    <row r="7" spans="1:34" s="2420" customFormat="1">
      <c r="A7" s="2413" t="s">
        <v>3050</v>
      </c>
      <c r="B7" s="2414">
        <f t="shared" ref="B7" si="27">B8*(1+N7)</f>
        <v>493.14449689037161</v>
      </c>
      <c r="C7" s="2414">
        <f t="shared" ref="C7" si="28">C8*(1+O7)</f>
        <v>347.21619073020611</v>
      </c>
      <c r="D7" s="2414">
        <f t="shared" ref="D7" si="29">C7</f>
        <v>347.21619073020611</v>
      </c>
      <c r="E7" s="2414">
        <f t="shared" ref="E7" si="30">E8*(1+P7)</f>
        <v>710.55974278763904</v>
      </c>
      <c r="F7" s="2414">
        <f t="shared" ref="F7" si="31">F8*(1+Q7)</f>
        <v>327.94540235306141</v>
      </c>
      <c r="G7" s="3024">
        <v>2020</v>
      </c>
      <c r="H7" s="2415">
        <v>4</v>
      </c>
      <c r="I7" s="2377">
        <v>2.0699999999999998</v>
      </c>
      <c r="J7" s="2377">
        <v>0.37</v>
      </c>
      <c r="K7" s="2377">
        <v>2.35</v>
      </c>
      <c r="L7" s="2378">
        <v>2.69</v>
      </c>
      <c r="M7" s="2400"/>
      <c r="N7" s="2416">
        <f t="shared" ref="N7" si="32">I7/100</f>
        <v>2.07E-2</v>
      </c>
      <c r="O7" s="2401">
        <f t="shared" ref="O7" si="33">J7/100</f>
        <v>3.7000000000000002E-3</v>
      </c>
      <c r="P7" s="2401">
        <f t="shared" ref="P7" si="34">K7/100</f>
        <v>2.35E-2</v>
      </c>
      <c r="Q7" s="2401">
        <f t="shared" ref="Q7" si="35">L7/100</f>
        <v>2.69E-2</v>
      </c>
      <c r="R7" s="2417"/>
      <c r="S7" s="2416"/>
      <c r="T7" s="2401"/>
      <c r="U7" s="2401"/>
      <c r="V7" s="2401"/>
      <c r="W7" s="2418"/>
      <c r="X7" s="2418">
        <f>ROUND(IF(项目基本情况!B6="出让",SUMPRODUCT(PRODUCT(1+N7:N$34)),SUMPRODUCT(PRODUCT(1+N7:N$33))),4)</f>
        <v>1.6034999999999999</v>
      </c>
      <c r="Y7" s="2418">
        <f>ROUND(IF(项目基本情况!B6="出让",SUMPRODUCT(PRODUCT(1+O7:O$34)),SUMPRODUCT(PRODUCT(1+O7:O$33))),4)</f>
        <v>1.3469</v>
      </c>
      <c r="Z7" s="2418">
        <f t="shared" ref="Z7" si="36">Y7</f>
        <v>1.3469</v>
      </c>
      <c r="AA7" s="2418">
        <f>ROUND(IF(项目基本情况!B6="出让",SUMPRODUCT(PRODUCT(1+P7:P$34)),SUMPRODUCT(PRODUCT(1+P7:P$33))),4)</f>
        <v>1.6801999999999999</v>
      </c>
      <c r="AB7" s="2418">
        <f>ROUND(IF(项目基本情况!B6="出让",SUMPRODUCT(PRODUCT(1+Q7:Q$34)),SUMPRODUCT(PRODUCT(1+Q7:Q$33))),4)</f>
        <v>1.4263999999999999</v>
      </c>
      <c r="AC7" s="2418"/>
      <c r="AD7" s="2419">
        <f>ROUND(AVERAGE(I7:I$34)/100,4)</f>
        <v>1.8200000000000001E-2</v>
      </c>
      <c r="AE7" s="2419">
        <f>ROUND(AVERAGE(J7:J$34)/100,4)</f>
        <v>1.1599999999999999E-2</v>
      </c>
      <c r="AF7" s="2419">
        <f t="shared" ref="AF7" si="37">AE7</f>
        <v>1.1599999999999999E-2</v>
      </c>
      <c r="AG7" s="2419">
        <f>ROUND(AVERAGE(K7:K$34)/100,4)</f>
        <v>0.02</v>
      </c>
      <c r="AH7" s="2419">
        <f>ROUND(AVERAGE(L7:L$34)/100,4)</f>
        <v>1.3299999999999999E-2</v>
      </c>
    </row>
    <row r="8" spans="1:34" s="2420" customFormat="1">
      <c r="A8" s="2413" t="s">
        <v>3049</v>
      </c>
      <c r="B8" s="2414">
        <f t="shared" ref="B8" si="38">B9*(1+N8)</f>
        <v>483.1434279321756</v>
      </c>
      <c r="C8" s="2414">
        <f t="shared" ref="C8" si="39">C9*(1+O8)</f>
        <v>345.93622669144776</v>
      </c>
      <c r="D8" s="2414">
        <f t="shared" ref="D8" si="40">C8</f>
        <v>345.93622669144776</v>
      </c>
      <c r="E8" s="2414">
        <f t="shared" ref="E8" si="41">E9*(1+P8)</f>
        <v>694.24498562544113</v>
      </c>
      <c r="F8" s="2414">
        <f t="shared" ref="F8" si="42">F9*(1+Q8)</f>
        <v>319.35475932716082</v>
      </c>
      <c r="G8" s="3021">
        <v>2020</v>
      </c>
      <c r="H8" s="2415">
        <v>3</v>
      </c>
      <c r="I8" s="2377">
        <v>0.36</v>
      </c>
      <c r="J8" s="2377">
        <v>-0.39</v>
      </c>
      <c r="K8" s="2377">
        <v>0.49</v>
      </c>
      <c r="L8" s="2378">
        <v>7.0000000000000007E-2</v>
      </c>
      <c r="M8" s="2400"/>
      <c r="N8" s="2416">
        <f t="shared" ref="N8" si="43">I8/100</f>
        <v>3.5999999999999999E-3</v>
      </c>
      <c r="O8" s="2401">
        <f t="shared" ref="O8" si="44">J8/100</f>
        <v>-3.9000000000000003E-3</v>
      </c>
      <c r="P8" s="2401">
        <f t="shared" ref="P8" si="45">K8/100</f>
        <v>4.8999999999999998E-3</v>
      </c>
      <c r="Q8" s="2401">
        <f t="shared" ref="Q8" si="46">L8/100</f>
        <v>7.000000000000001E-4</v>
      </c>
      <c r="R8" s="2417"/>
      <c r="S8" s="2416"/>
      <c r="T8" s="2401"/>
      <c r="U8" s="2401"/>
      <c r="V8" s="2401"/>
      <c r="W8" s="2418"/>
      <c r="X8" s="2418">
        <f>ROUND(IF(项目基本情况!B7="出让",SUMPRODUCT(PRODUCT(1+N8:N$34)),SUMPRODUCT(PRODUCT(1+N8:N$33))),4)</f>
        <v>1.571</v>
      </c>
      <c r="Y8" s="2418">
        <f>ROUND(IF(项目基本情况!B7="出让",SUMPRODUCT(PRODUCT(1+O8:O$34)),SUMPRODUCT(PRODUCT(1+O8:O$33))),4)</f>
        <v>1.3420000000000001</v>
      </c>
      <c r="Z8" s="2418">
        <f t="shared" ref="Z8" si="47">Y8</f>
        <v>1.3420000000000001</v>
      </c>
      <c r="AA8" s="2418">
        <f>ROUND(IF(项目基本情况!B7="出让",SUMPRODUCT(PRODUCT(1+P8:P$34)),SUMPRODUCT(PRODUCT(1+P8:P$33))),4)</f>
        <v>1.6415999999999999</v>
      </c>
      <c r="AB8" s="2418">
        <f>ROUND(IF(项目基本情况!B7="出让",SUMPRODUCT(PRODUCT(1+Q8:Q$34)),SUMPRODUCT(PRODUCT(1+Q8:Q$33))),4)</f>
        <v>1.389</v>
      </c>
      <c r="AC8" s="2418"/>
      <c r="AD8" s="2419">
        <f>ROUND(AVERAGE(I8:I$34)/100,4)</f>
        <v>1.8100000000000002E-2</v>
      </c>
      <c r="AE8" s="2419">
        <f>ROUND(AVERAGE(J8:J$34)/100,4)</f>
        <v>1.1900000000000001E-2</v>
      </c>
      <c r="AF8" s="2419">
        <f t="shared" ref="AF8" si="48">AE8</f>
        <v>1.1900000000000001E-2</v>
      </c>
      <c r="AG8" s="2419">
        <f>ROUND(AVERAGE(K8:K$34)/100,4)</f>
        <v>1.9900000000000001E-2</v>
      </c>
      <c r="AH8" s="2419">
        <f>ROUND(AVERAGE(L8:L$34)/100,4)</f>
        <v>1.2800000000000001E-2</v>
      </c>
    </row>
    <row r="9" spans="1:34" s="2420" customFormat="1">
      <c r="A9" s="2413" t="s">
        <v>2868</v>
      </c>
      <c r="B9" s="2414">
        <f t="shared" ref="B9" si="49">B10*(1+N9)</f>
        <v>481.4103506697644</v>
      </c>
      <c r="C9" s="2414">
        <f t="shared" ref="C9" si="50">C10*(1+O9)</f>
        <v>347.29066026648707</v>
      </c>
      <c r="D9" s="2414">
        <f t="shared" ref="D9" si="51">C9</f>
        <v>347.29066026648707</v>
      </c>
      <c r="E9" s="2414">
        <f t="shared" ref="E9" si="52">E10*(1+P9)</f>
        <v>690.85977273901995</v>
      </c>
      <c r="F9" s="2414">
        <f t="shared" ref="F9" si="53">F10*(1+Q9)</f>
        <v>319.13136737000184</v>
      </c>
      <c r="G9" s="2404">
        <v>2020</v>
      </c>
      <c r="H9" s="2415">
        <v>2</v>
      </c>
      <c r="I9" s="2377">
        <v>0.31</v>
      </c>
      <c r="J9" s="2377">
        <v>-0.78</v>
      </c>
      <c r="K9" s="2377">
        <v>0.5</v>
      </c>
      <c r="L9" s="2378">
        <v>0.47</v>
      </c>
      <c r="M9" s="2400"/>
      <c r="N9" s="2416">
        <f t="shared" ref="N9" si="54">I9/100</f>
        <v>3.0999999999999999E-3</v>
      </c>
      <c r="O9" s="2401">
        <f t="shared" ref="O9" si="55">J9/100</f>
        <v>-7.8000000000000005E-3</v>
      </c>
      <c r="P9" s="2401">
        <f t="shared" ref="P9" si="56">K9/100</f>
        <v>5.0000000000000001E-3</v>
      </c>
      <c r="Q9" s="2401">
        <f t="shared" ref="Q9" si="57">L9/100</f>
        <v>4.6999999999999993E-3</v>
      </c>
      <c r="R9" s="2417"/>
      <c r="S9" s="2416"/>
      <c r="T9" s="2401"/>
      <c r="U9" s="2401"/>
      <c r="V9" s="2401"/>
      <c r="W9" s="2418"/>
      <c r="X9" s="2418">
        <f>ROUND(IF(项目基本情况!B8="出让",SUMPRODUCT(PRODUCT(1+N9:N$34)),SUMPRODUCT(PRODUCT(1+N9:N$33))),4)</f>
        <v>1.5652999999999999</v>
      </c>
      <c r="Y9" s="2418">
        <f>ROUND(IF(项目基本情况!B8="出让",SUMPRODUCT(PRODUCT(1+O9:O$34)),SUMPRODUCT(PRODUCT(1+O9:O$33))),4)</f>
        <v>1.3472</v>
      </c>
      <c r="Z9" s="2418">
        <f t="shared" ref="Z9" si="58">Y9</f>
        <v>1.3472</v>
      </c>
      <c r="AA9" s="2418">
        <f>ROUND(IF(项目基本情况!B8="出让",SUMPRODUCT(PRODUCT(1+P9:P$34)),SUMPRODUCT(PRODUCT(1+P9:P$33))),4)</f>
        <v>1.6335999999999999</v>
      </c>
      <c r="AB9" s="2418">
        <f>ROUND(IF(项目基本情况!B8="出让",SUMPRODUCT(PRODUCT(1+Q9:Q$34)),SUMPRODUCT(PRODUCT(1+Q9:Q$33))),4)</f>
        <v>1.3880999999999999</v>
      </c>
      <c r="AC9" s="2418"/>
      <c r="AD9" s="2419">
        <f>ROUND(AVERAGE(I9:I$34)/100,4)</f>
        <v>1.8599999999999998E-2</v>
      </c>
      <c r="AE9" s="2419">
        <f>ROUND(AVERAGE(J9:J$34)/100,4)</f>
        <v>1.2500000000000001E-2</v>
      </c>
      <c r="AF9" s="2419">
        <f t="shared" ref="AF9" si="59">AE9</f>
        <v>1.2500000000000001E-2</v>
      </c>
      <c r="AG9" s="2419">
        <f>ROUND(AVERAGE(K9:K$34)/100,4)</f>
        <v>2.0400000000000001E-2</v>
      </c>
      <c r="AH9" s="2419">
        <f>ROUND(AVERAGE(L9:L$34)/100,4)</f>
        <v>1.32E-2</v>
      </c>
    </row>
    <row r="10" spans="1:34" s="2420" customFormat="1">
      <c r="A10" s="2413" t="s">
        <v>2866</v>
      </c>
      <c r="B10" s="2414">
        <f t="shared" ref="B10" si="60">B11*(1+N10)</f>
        <v>479.92259063878413</v>
      </c>
      <c r="C10" s="2414">
        <f t="shared" ref="C10" si="61">C11*(1+O10)</f>
        <v>350.02082268341775</v>
      </c>
      <c r="D10" s="2414">
        <f t="shared" ref="D10" si="62">C10</f>
        <v>350.02082268341775</v>
      </c>
      <c r="E10" s="2414">
        <f t="shared" ref="E10" si="63">E11*(1+P10)</f>
        <v>687.42265944181099</v>
      </c>
      <c r="F10" s="2414">
        <f t="shared" ref="F10" si="64">F11*(1+Q10)</f>
        <v>317.63846657708956</v>
      </c>
      <c r="G10" s="2404">
        <v>2020</v>
      </c>
      <c r="H10" s="2415">
        <v>1</v>
      </c>
      <c r="I10" s="2377">
        <v>0.12</v>
      </c>
      <c r="J10" s="2377">
        <v>-0.4</v>
      </c>
      <c r="K10" s="2377">
        <v>0.21</v>
      </c>
      <c r="L10" s="2378">
        <v>0.27</v>
      </c>
      <c r="M10" s="2400"/>
      <c r="N10" s="2416">
        <f t="shared" ref="N10" si="65">I10/100</f>
        <v>1.1999999999999999E-3</v>
      </c>
      <c r="O10" s="2401">
        <f t="shared" ref="O10" si="66">J10/100</f>
        <v>-4.0000000000000001E-3</v>
      </c>
      <c r="P10" s="2401">
        <f t="shared" ref="P10" si="67">K10/100</f>
        <v>2.0999999999999999E-3</v>
      </c>
      <c r="Q10" s="2401">
        <f t="shared" ref="Q10" si="68">L10/100</f>
        <v>2.7000000000000001E-3</v>
      </c>
      <c r="R10" s="2417"/>
      <c r="S10" s="2416">
        <f>B10/B11-1</f>
        <v>1.2000000000000899E-3</v>
      </c>
      <c r="T10" s="2401">
        <f t="shared" ref="T10" si="69">C10/C11-1</f>
        <v>-4.0000000000000036E-3</v>
      </c>
      <c r="U10" s="2401">
        <f t="shared" ref="U10" si="70">D10/D11-1</f>
        <v>-4.0000000000000036E-3</v>
      </c>
      <c r="V10" s="2401">
        <f t="shared" ref="V10" si="71">E10/E11-1</f>
        <v>2.0999999999999908E-3</v>
      </c>
      <c r="W10" s="2418"/>
      <c r="X10" s="2418">
        <f>ROUND(IF(项目基本情况!B8="出让",SUMPRODUCT(PRODUCT(1+N10:N$34)),SUMPRODUCT(PRODUCT(1+N10:N$33))),4)</f>
        <v>1.5605</v>
      </c>
      <c r="Y10" s="2418">
        <f>ROUND(IF(项目基本情况!B8="出让",SUMPRODUCT(PRODUCT(1+O10:O$34)),SUMPRODUCT(PRODUCT(1+O10:O$33))),4)</f>
        <v>1.3577999999999999</v>
      </c>
      <c r="Z10" s="2418">
        <f t="shared" ref="Z10" si="72">Y10</f>
        <v>1.3577999999999999</v>
      </c>
      <c r="AA10" s="2418">
        <f>ROUND(IF(项目基本情况!B8="出让",SUMPRODUCT(PRODUCT(1+P10:P$34)),SUMPRODUCT(PRODUCT(1+P10:P$33))),4)</f>
        <v>1.6254999999999999</v>
      </c>
      <c r="AB10" s="2418">
        <f>ROUND(IF(项目基本情况!B8="出让",SUMPRODUCT(PRODUCT(1+Q10:Q$34)),SUMPRODUCT(PRODUCT(1+Q10:Q$33))),4)</f>
        <v>1.3815999999999999</v>
      </c>
      <c r="AC10" s="2418"/>
      <c r="AD10" s="2419">
        <f>ROUND(AVERAGE(I10:I$34)/100,4)</f>
        <v>1.9199999999999998E-2</v>
      </c>
      <c r="AE10" s="2419">
        <f>ROUND(AVERAGE(J10:J$34)/100,4)</f>
        <v>1.3299999999999999E-2</v>
      </c>
      <c r="AF10" s="2419">
        <f t="shared" ref="AF10" si="73">AE10</f>
        <v>1.3299999999999999E-2</v>
      </c>
      <c r="AG10" s="2419">
        <f>ROUND(AVERAGE(K10:K$34)/100,4)</f>
        <v>2.1100000000000001E-2</v>
      </c>
      <c r="AH10" s="2419">
        <f>ROUND(AVERAGE(L10:L$34)/100,4)</f>
        <v>1.3599999999999999E-2</v>
      </c>
    </row>
    <row r="11" spans="1:34" s="2420" customFormat="1">
      <c r="A11" s="2413" t="s">
        <v>2865</v>
      </c>
      <c r="B11" s="2414">
        <f t="shared" ref="B11" si="74">B12*(1+N11)</f>
        <v>479.34737379023579</v>
      </c>
      <c r="C11" s="2414">
        <f t="shared" ref="C11" si="75">C12*(1+O11)</f>
        <v>351.4265287986122</v>
      </c>
      <c r="D11" s="2414">
        <f t="shared" ref="D11" si="76">C11</f>
        <v>351.4265287986122</v>
      </c>
      <c r="E11" s="2414">
        <f t="shared" ref="E11" si="77">E12*(1+P11)</f>
        <v>685.98209703803116</v>
      </c>
      <c r="F11" s="2414">
        <f t="shared" ref="F11" si="78">F12*(1+Q11)</f>
        <v>316.78315206651001</v>
      </c>
      <c r="G11" s="2404">
        <v>2019</v>
      </c>
      <c r="H11" s="2415">
        <v>4</v>
      </c>
      <c r="I11" s="2415">
        <v>0.45</v>
      </c>
      <c r="J11" s="2415">
        <v>-0.12</v>
      </c>
      <c r="K11" s="2415">
        <v>0.54</v>
      </c>
      <c r="L11" s="2421">
        <v>0.48</v>
      </c>
      <c r="M11" s="2400"/>
      <c r="N11" s="2416">
        <f t="shared" ref="N11:N16" si="79">I11/100</f>
        <v>4.5000000000000005E-3</v>
      </c>
      <c r="O11" s="2401">
        <f t="shared" ref="O11" si="80">J11/100</f>
        <v>-1.1999999999999999E-3</v>
      </c>
      <c r="P11" s="2401">
        <f t="shared" ref="P11" si="81">K11/100</f>
        <v>5.4000000000000003E-3</v>
      </c>
      <c r="Q11" s="2401">
        <f t="shared" ref="Q11" si="82">L11/100</f>
        <v>4.7999999999999996E-3</v>
      </c>
      <c r="R11" s="2417"/>
      <c r="S11" s="2416"/>
      <c r="T11" s="2401"/>
      <c r="U11" s="2401"/>
      <c r="V11" s="2401"/>
      <c r="W11" s="2418"/>
      <c r="X11" s="2418">
        <f>ROUND(IF(项目基本情况!B8="出让",SUMPRODUCT(PRODUCT(1+N11:N$34)),SUMPRODUCT(PRODUCT(1+N11:N$33))),4)</f>
        <v>1.5586</v>
      </c>
      <c r="Y11" s="2418">
        <f>ROUND(IF(项目基本情况!B8="出让",SUMPRODUCT(PRODUCT(1+O11:O$34)),SUMPRODUCT(PRODUCT(1+O11:O$33))),4)</f>
        <v>1.3633</v>
      </c>
      <c r="Z11" s="2418">
        <f t="shared" ref="Z11" si="83">Y11</f>
        <v>1.3633</v>
      </c>
      <c r="AA11" s="2418">
        <f>ROUND(IF(项目基本情况!B8="出让",SUMPRODUCT(PRODUCT(1+P11:P$34)),SUMPRODUCT(PRODUCT(1+P11:P$33))),4)</f>
        <v>1.6221000000000001</v>
      </c>
      <c r="AB11" s="2418">
        <f>ROUND(IF(项目基本情况!B8="出让",SUMPRODUCT(PRODUCT(1+Q11:Q$34)),SUMPRODUCT(PRODUCT(1+Q11:Q$33))),4)</f>
        <v>1.3777999999999999</v>
      </c>
      <c r="AC11" s="2418"/>
      <c r="AD11" s="2419">
        <f>ROUND(AVERAGE(I11:I$34)/100,4)</f>
        <v>0.02</v>
      </c>
      <c r="AE11" s="2419">
        <f>ROUND(AVERAGE(J11:J$34)/100,4)</f>
        <v>1.4E-2</v>
      </c>
      <c r="AF11" s="2419">
        <f t="shared" ref="AF11" si="84">AE11</f>
        <v>1.4E-2</v>
      </c>
      <c r="AG11" s="2419">
        <f>ROUND(AVERAGE(K11:K$34)/100,4)</f>
        <v>2.1899999999999999E-2</v>
      </c>
      <c r="AH11" s="2419">
        <f>ROUND(AVERAGE(L11:L$34)/100,4)</f>
        <v>1.4E-2</v>
      </c>
    </row>
    <row r="12" spans="1:34" s="2420" customFormat="1" ht="13.5" thickBot="1">
      <c r="A12" s="2413" t="s">
        <v>2864</v>
      </c>
      <c r="B12" s="2414">
        <f t="shared" ref="B12" si="85">B13*(1+N12)</f>
        <v>477.19997390765138</v>
      </c>
      <c r="C12" s="2414">
        <f t="shared" ref="C12" si="86">C13*(1+O12)</f>
        <v>351.84874729536665</v>
      </c>
      <c r="D12" s="2414">
        <f t="shared" ref="D12" si="87">C12</f>
        <v>351.84874729536665</v>
      </c>
      <c r="E12" s="2414">
        <f t="shared" ref="E12" si="88">E13*(1+P12)</f>
        <v>682.29768951465201</v>
      </c>
      <c r="F12" s="2414">
        <f t="shared" ref="F12" si="89">F13*(1+Q12)</f>
        <v>315.26985675409043</v>
      </c>
      <c r="G12" s="2404">
        <v>2019</v>
      </c>
      <c r="H12" s="2415">
        <v>3</v>
      </c>
      <c r="I12" s="2415">
        <v>0.61</v>
      </c>
      <c r="J12" s="2415">
        <v>0.67</v>
      </c>
      <c r="K12" s="2415">
        <v>0.6</v>
      </c>
      <c r="L12" s="2421">
        <v>1.03</v>
      </c>
      <c r="M12" s="2400"/>
      <c r="N12" s="2416">
        <f t="shared" si="79"/>
        <v>6.0999999999999995E-3</v>
      </c>
      <c r="O12" s="2401">
        <f t="shared" ref="O12" si="90">J12/100</f>
        <v>6.7000000000000002E-3</v>
      </c>
      <c r="P12" s="2401">
        <f t="shared" ref="P12" si="91">K12/100</f>
        <v>6.0000000000000001E-3</v>
      </c>
      <c r="Q12" s="2401">
        <f t="shared" ref="Q12" si="92">L12/100</f>
        <v>1.03E-2</v>
      </c>
      <c r="R12" s="2417"/>
      <c r="S12" s="2416"/>
      <c r="T12" s="2401"/>
      <c r="U12" s="2401"/>
      <c r="V12" s="2401"/>
      <c r="W12" s="2418"/>
      <c r="X12" s="2418">
        <f>ROUND(IF(项目基本情况!B8="出让",SUMPRODUCT(PRODUCT(1+N12:N$34)),SUMPRODUCT(PRODUCT(1+N12:N$33))),4)</f>
        <v>1.5516000000000001</v>
      </c>
      <c r="Y12" s="2418">
        <f>ROUND(IF(项目基本情况!B8="出让",SUMPRODUCT(PRODUCT(1+O12:O$34)),SUMPRODUCT(PRODUCT(1+O12:O$33))),4)</f>
        <v>1.3649</v>
      </c>
      <c r="Z12" s="2418">
        <f t="shared" ref="Z12" si="93">Y12</f>
        <v>1.3649</v>
      </c>
      <c r="AA12" s="2418">
        <f>ROUND(IF(项目基本情况!B8="出让",SUMPRODUCT(PRODUCT(1+P12:P$34)),SUMPRODUCT(PRODUCT(1+P12:P$33))),4)</f>
        <v>1.6133999999999999</v>
      </c>
      <c r="AB12" s="2418">
        <f>ROUND(IF(项目基本情况!B8="出让",SUMPRODUCT(PRODUCT(1+Q12:Q$34)),SUMPRODUCT(PRODUCT(1+Q12:Q$33))),4)</f>
        <v>1.3713</v>
      </c>
      <c r="AC12" s="2418"/>
      <c r="AD12" s="2419">
        <f>ROUND(AVERAGE(I12:I$34)/100,4)</f>
        <v>2.07E-2</v>
      </c>
      <c r="AE12" s="2419">
        <f>ROUND(AVERAGE(J12:J$34)/100,4)</f>
        <v>1.47E-2</v>
      </c>
      <c r="AF12" s="2419">
        <f t="shared" ref="AF12" si="94">AE12</f>
        <v>1.47E-2</v>
      </c>
      <c r="AG12" s="2419">
        <f>ROUND(AVERAGE(K12:K$34)/100,4)</f>
        <v>2.2599999999999999E-2</v>
      </c>
      <c r="AH12" s="2419">
        <f>ROUND(AVERAGE(L12:L$34)/100,4)</f>
        <v>1.44E-2</v>
      </c>
    </row>
    <row r="13" spans="1:34" s="2420" customFormat="1">
      <c r="A13" s="2413" t="s">
        <v>2862</v>
      </c>
      <c r="B13" s="2414">
        <f t="shared" ref="B13" si="95">B14*(1+N13)</f>
        <v>474.30670301923408</v>
      </c>
      <c r="C13" s="2414">
        <f t="shared" ref="C13" si="96">C14*(1+O13)</f>
        <v>349.50705005996491</v>
      </c>
      <c r="D13" s="2414">
        <f t="shared" ref="D13" si="97">C13</f>
        <v>349.50705005996491</v>
      </c>
      <c r="E13" s="2414">
        <f t="shared" ref="E13" si="98">E14*(1+P13)</f>
        <v>678.22831959706957</v>
      </c>
      <c r="F13" s="2414">
        <f t="shared" ref="F13" si="99">F14*(1+Q13)</f>
        <v>312.0556832169558</v>
      </c>
      <c r="G13" s="2404">
        <v>2019</v>
      </c>
      <c r="H13" s="2422">
        <v>2</v>
      </c>
      <c r="I13" s="2422">
        <v>1.53</v>
      </c>
      <c r="J13" s="2422">
        <v>1.01</v>
      </c>
      <c r="K13" s="2422">
        <v>1.62</v>
      </c>
      <c r="L13" s="2423">
        <v>1.25</v>
      </c>
      <c r="M13" s="2400"/>
      <c r="N13" s="2416">
        <f t="shared" si="79"/>
        <v>1.5300000000000001E-2</v>
      </c>
      <c r="O13" s="2401">
        <f t="shared" ref="O13" si="100">J13/100</f>
        <v>1.01E-2</v>
      </c>
      <c r="P13" s="2401">
        <f t="shared" ref="P13" si="101">K13/100</f>
        <v>1.6200000000000003E-2</v>
      </c>
      <c r="Q13" s="2401">
        <f t="shared" ref="Q13" si="102">L13/100</f>
        <v>1.2500000000000001E-2</v>
      </c>
      <c r="R13" s="2417"/>
      <c r="S13" s="2416"/>
      <c r="T13" s="2401"/>
      <c r="U13" s="2401"/>
      <c r="V13" s="2401"/>
      <c r="W13" s="2418"/>
      <c r="X13" s="2418">
        <f>ROUND(IF(项目基本情况!B8="出让",SUMPRODUCT(PRODUCT(1+N13:N$34)),SUMPRODUCT(PRODUCT(1+N13:N$33))),4)</f>
        <v>1.5422</v>
      </c>
      <c r="Y13" s="2418">
        <f>ROUND(IF(项目基本情况!B8="出让",SUMPRODUCT(PRODUCT(1+O13:O$34)),SUMPRODUCT(PRODUCT(1+O13:O$33))),4)</f>
        <v>1.3557999999999999</v>
      </c>
      <c r="Z13" s="2418">
        <f t="shared" ref="Z13" si="103">Y13</f>
        <v>1.3557999999999999</v>
      </c>
      <c r="AA13" s="2418">
        <f>ROUND(IF(项目基本情况!B8="出让",SUMPRODUCT(PRODUCT(1+P13:P$34)),SUMPRODUCT(PRODUCT(1+P13:P$33))),4)</f>
        <v>1.6036999999999999</v>
      </c>
      <c r="AB13" s="2418">
        <f>ROUND(IF(项目基本情况!B8="出让",SUMPRODUCT(PRODUCT(1+Q13:Q$34)),SUMPRODUCT(PRODUCT(1+Q13:Q$33))),4)</f>
        <v>1.3573</v>
      </c>
      <c r="AC13" s="2418"/>
      <c r="AD13" s="2419">
        <f>ROUND(AVERAGE(I13:I$34)/100,4)</f>
        <v>2.1299999999999999E-2</v>
      </c>
      <c r="AE13" s="2419">
        <f>ROUND(AVERAGE(J13:J$34)/100,4)</f>
        <v>1.4999999999999999E-2</v>
      </c>
      <c r="AF13" s="2419">
        <f t="shared" ref="AF13" si="104">AE13</f>
        <v>1.4999999999999999E-2</v>
      </c>
      <c r="AG13" s="2419">
        <f>ROUND(AVERAGE(K13:K$34)/100,4)</f>
        <v>2.3300000000000001E-2</v>
      </c>
      <c r="AH13" s="2419">
        <f>ROUND(AVERAGE(L13:L$34)/100,4)</f>
        <v>1.46E-2</v>
      </c>
    </row>
    <row r="14" spans="1:34" s="2420" customFormat="1" ht="13.5" thickBot="1">
      <c r="A14" s="2413" t="s">
        <v>2860</v>
      </c>
      <c r="B14" s="2414">
        <f t="shared" ref="B14" si="105">B15*(1+N14)</f>
        <v>467.15916775261894</v>
      </c>
      <c r="C14" s="2414">
        <f t="shared" ref="C14" si="106">C15*(1+O14)</f>
        <v>346.01232557169084</v>
      </c>
      <c r="D14" s="2414">
        <f t="shared" ref="D14" si="107">C14</f>
        <v>346.01232557169084</v>
      </c>
      <c r="E14" s="2414">
        <f t="shared" ref="E14" si="108">E15*(1+P14)</f>
        <v>667.41617752122568</v>
      </c>
      <c r="F14" s="2414">
        <f t="shared" ref="F14" si="109">F15*(1+Q14)</f>
        <v>308.20314391798104</v>
      </c>
      <c r="G14" s="2404">
        <v>2019</v>
      </c>
      <c r="H14" s="2415">
        <v>1</v>
      </c>
      <c r="I14" s="2415">
        <v>0.6</v>
      </c>
      <c r="J14" s="2415">
        <v>0.37</v>
      </c>
      <c r="K14" s="2415">
        <v>0.63</v>
      </c>
      <c r="L14" s="2421">
        <v>1.1299999999999999</v>
      </c>
      <c r="M14" s="2400"/>
      <c r="N14" s="2416">
        <f t="shared" si="79"/>
        <v>6.0000000000000001E-3</v>
      </c>
      <c r="O14" s="2401">
        <f t="shared" ref="O14" si="110">J14/100</f>
        <v>3.7000000000000002E-3</v>
      </c>
      <c r="P14" s="2401">
        <f t="shared" ref="P14" si="111">K14/100</f>
        <v>6.3E-3</v>
      </c>
      <c r="Q14" s="2401">
        <f t="shared" ref="Q14" si="112">L14/100</f>
        <v>1.1299999999999999E-2</v>
      </c>
      <c r="R14" s="2417"/>
      <c r="S14" s="2416">
        <f>B14/B15-1</f>
        <v>6.0000000000000053E-3</v>
      </c>
      <c r="T14" s="2401">
        <f t="shared" ref="T14" si="113">C14/C15-1</f>
        <v>3.7000000000000366E-3</v>
      </c>
      <c r="U14" s="2401">
        <f t="shared" ref="U14" si="114">D14/D15-1</f>
        <v>3.7000000000000366E-3</v>
      </c>
      <c r="V14" s="2401">
        <f t="shared" ref="V14" si="115">E14/E15-1</f>
        <v>6.2999999999999723E-3</v>
      </c>
      <c r="W14" s="2418"/>
      <c r="X14" s="2418">
        <f>ROUND(IF(项目基本情况!B8="出让",SUMPRODUCT(PRODUCT(1+N14:N$34)),SUMPRODUCT(PRODUCT(1+N14:N$33))),4)</f>
        <v>1.5189999999999999</v>
      </c>
      <c r="Y14" s="2418">
        <f>ROUND(IF(项目基本情况!B8="出让",SUMPRODUCT(PRODUCT(1+O14:O$34)),SUMPRODUCT(PRODUCT(1+O14:O$33))),4)</f>
        <v>1.3423</v>
      </c>
      <c r="Z14" s="2418">
        <f t="shared" ref="Z14" si="116">Y14</f>
        <v>1.3423</v>
      </c>
      <c r="AA14" s="2418">
        <f>ROUND(IF(项目基本情况!B8="出让",SUMPRODUCT(PRODUCT(1+P14:P$34)),SUMPRODUCT(PRODUCT(1+P14:P$33))),4)</f>
        <v>1.5782</v>
      </c>
      <c r="AB14" s="2418">
        <f>ROUND(IF(项目基本情况!B8="出让",SUMPRODUCT(PRODUCT(1+Q14:Q$34)),SUMPRODUCT(PRODUCT(1+Q14:Q$33))),4)</f>
        <v>1.3405</v>
      </c>
      <c r="AC14" s="2418"/>
      <c r="AD14" s="2419">
        <f>ROUND(AVERAGE(I14:I$34)/100,4)</f>
        <v>2.1600000000000001E-2</v>
      </c>
      <c r="AE14" s="2419">
        <f>ROUND(AVERAGE(J14:J$34)/100,4)</f>
        <v>1.5299999999999999E-2</v>
      </c>
      <c r="AF14" s="2419">
        <f t="shared" ref="AF14" si="117">AE14</f>
        <v>1.5299999999999999E-2</v>
      </c>
      <c r="AG14" s="2419">
        <f>ROUND(AVERAGE(K14:K$34)/100,4)</f>
        <v>2.3699999999999999E-2</v>
      </c>
      <c r="AH14" s="2419">
        <f>ROUND(AVERAGE(L14:L$34)/100,4)</f>
        <v>1.47E-2</v>
      </c>
    </row>
    <row r="15" spans="1:34" s="2420" customFormat="1">
      <c r="A15" s="2413" t="s">
        <v>2863</v>
      </c>
      <c r="B15" s="2424">
        <f t="shared" ref="B15" si="118">B16*(1+N15)</f>
        <v>464.37293017158942</v>
      </c>
      <c r="C15" s="2424">
        <f t="shared" ref="C15" si="119">C16*(1+O15)</f>
        <v>344.73679941385956</v>
      </c>
      <c r="D15" s="2424">
        <f t="shared" ref="D15" si="120">C15</f>
        <v>344.73679941385956</v>
      </c>
      <c r="E15" s="2424">
        <f t="shared" ref="E15" si="121">E16*(1+P15)</f>
        <v>663.2377795103107</v>
      </c>
      <c r="F15" s="2425">
        <f t="shared" ref="F15" si="122">F16*(1+Q15)</f>
        <v>304.75936311478398</v>
      </c>
      <c r="G15" s="3426">
        <v>2018</v>
      </c>
      <c r="H15" s="2422">
        <v>4</v>
      </c>
      <c r="I15" s="2422">
        <v>0.96</v>
      </c>
      <c r="J15" s="2422">
        <v>1.03</v>
      </c>
      <c r="K15" s="2422">
        <v>0.92</v>
      </c>
      <c r="L15" s="2423">
        <v>1.29</v>
      </c>
      <c r="M15" s="2400"/>
      <c r="N15" s="2416">
        <f t="shared" si="79"/>
        <v>9.5999999999999992E-3</v>
      </c>
      <c r="O15" s="2401">
        <f t="shared" ref="O15" si="123">J15/100</f>
        <v>1.03E-2</v>
      </c>
      <c r="P15" s="2401">
        <f t="shared" ref="P15" si="124">K15/100</f>
        <v>9.1999999999999998E-3</v>
      </c>
      <c r="Q15" s="2401">
        <f t="shared" ref="Q15" si="125">L15/100</f>
        <v>1.29E-2</v>
      </c>
      <c r="R15" s="2417"/>
      <c r="S15" s="2416"/>
      <c r="T15" s="2401"/>
      <c r="U15" s="2401"/>
      <c r="V15" s="2401"/>
      <c r="W15" s="2418"/>
      <c r="X15" s="2418">
        <f>ROUND(SUMPRODUCT(PRODUCT(1+N15:N$33)),4)</f>
        <v>1.5099</v>
      </c>
      <c r="Y15" s="2418">
        <f>ROUND(SUMPRODUCT(PRODUCT(1+O15:O$33)),4)</f>
        <v>1.3372999999999999</v>
      </c>
      <c r="Z15" s="2418">
        <f t="shared" ref="Z15" si="126">Y15</f>
        <v>1.3372999999999999</v>
      </c>
      <c r="AA15" s="2418">
        <f>ROUND(SUMPRODUCT(PRODUCT(1+P15:P$33)),4)</f>
        <v>1.5683</v>
      </c>
      <c r="AB15" s="2418">
        <f>ROUND(SUMPRODUCT(PRODUCT(1+Q15:Q$33)),4)</f>
        <v>1.3255999999999999</v>
      </c>
      <c r="AC15" s="2418"/>
      <c r="AD15" s="2419">
        <f>ROUND(AVERAGE(I15:I$34)/100,4)</f>
        <v>2.24E-2</v>
      </c>
      <c r="AE15" s="2419">
        <f>ROUND(AVERAGE(J15:J$34)/100,4)</f>
        <v>1.5800000000000002E-2</v>
      </c>
      <c r="AF15" s="2419">
        <f t="shared" ref="AF15" si="127">AE15</f>
        <v>1.5800000000000002E-2</v>
      </c>
      <c r="AG15" s="2419">
        <f>ROUND(AVERAGE(K15:K$34)/100,4)</f>
        <v>2.4500000000000001E-2</v>
      </c>
      <c r="AH15" s="2419">
        <f>ROUND(AVERAGE(L15:L$34)/100,4)</f>
        <v>1.49E-2</v>
      </c>
    </row>
    <row r="16" spans="1:34" s="2420" customFormat="1" ht="14.45" customHeight="1">
      <c r="A16" s="2413" t="s">
        <v>2858</v>
      </c>
      <c r="B16" s="2414">
        <f t="shared" ref="B16" si="128">B17*(1+N16)</f>
        <v>459.95733971036987</v>
      </c>
      <c r="C16" s="2414">
        <f t="shared" ref="C16" si="129">C17*(1+O16)</f>
        <v>341.22221064422405</v>
      </c>
      <c r="D16" s="2414">
        <f t="shared" ref="D16" si="130">C16</f>
        <v>341.22221064422405</v>
      </c>
      <c r="E16" s="2414">
        <f t="shared" ref="E16" si="131">E17*(1+P16)</f>
        <v>657.19161663724799</v>
      </c>
      <c r="F16" s="2414">
        <f t="shared" ref="F16" si="132">F17*(1+Q16)</f>
        <v>300.87803644464805</v>
      </c>
      <c r="G16" s="3426"/>
      <c r="H16" s="2415">
        <v>3</v>
      </c>
      <c r="I16" s="2415">
        <v>1.51</v>
      </c>
      <c r="J16" s="2415">
        <v>1.41</v>
      </c>
      <c r="K16" s="2415">
        <v>1.52</v>
      </c>
      <c r="L16" s="2421">
        <v>1.74</v>
      </c>
      <c r="M16" s="2400"/>
      <c r="N16" s="2416">
        <f t="shared" si="79"/>
        <v>1.5100000000000001E-2</v>
      </c>
      <c r="O16" s="2401">
        <f t="shared" ref="O16" si="133">J16/100</f>
        <v>1.41E-2</v>
      </c>
      <c r="P16" s="2401">
        <f t="shared" ref="P16" si="134">K16/100</f>
        <v>1.52E-2</v>
      </c>
      <c r="Q16" s="2401">
        <f t="shared" ref="Q16" si="135">L16/100</f>
        <v>1.7399999999999999E-2</v>
      </c>
      <c r="R16" s="2417"/>
      <c r="S16" s="2416"/>
      <c r="T16" s="2401"/>
      <c r="U16" s="2401"/>
      <c r="V16" s="2401"/>
      <c r="W16" s="2418"/>
      <c r="X16" s="2418">
        <f>ROUND(SUMPRODUCT(PRODUCT(1+N16:N$33)),4)</f>
        <v>1.4956</v>
      </c>
      <c r="Y16" s="2418">
        <f>ROUND(SUMPRODUCT(PRODUCT(1+O16:O$33)),4)</f>
        <v>1.3237000000000001</v>
      </c>
      <c r="Z16" s="2418">
        <f t="shared" ref="Z16" si="136">Y16</f>
        <v>1.3237000000000001</v>
      </c>
      <c r="AA16" s="2418">
        <f>ROUND(SUMPRODUCT(PRODUCT(1+P16:P$33)),4)</f>
        <v>1.554</v>
      </c>
      <c r="AB16" s="2418">
        <f>ROUND(SUMPRODUCT(PRODUCT(1+Q16:Q$33)),4)</f>
        <v>1.3087</v>
      </c>
      <c r="AC16" s="2418"/>
      <c r="AD16" s="2419">
        <f>ROUND(AVERAGE(I16:I$34)/100,4)</f>
        <v>2.3099999999999999E-2</v>
      </c>
      <c r="AE16" s="2419">
        <f>ROUND(AVERAGE(J16:J$34)/100,4)</f>
        <v>1.61E-2</v>
      </c>
      <c r="AF16" s="2419">
        <f t="shared" ref="AF16" si="137">AE16</f>
        <v>1.61E-2</v>
      </c>
      <c r="AG16" s="2419">
        <f>ROUND(AVERAGE(K16:K$34)/100,4)</f>
        <v>2.53E-2</v>
      </c>
      <c r="AH16" s="2419">
        <f>ROUND(AVERAGE(L16:L$34)/100,4)</f>
        <v>1.4999999999999999E-2</v>
      </c>
    </row>
    <row r="17" spans="1:34" s="2420" customFormat="1" ht="14.45" customHeight="1">
      <c r="A17" s="2413" t="s">
        <v>2857</v>
      </c>
      <c r="B17" s="2414">
        <f t="shared" ref="B17" si="138">B18*(1+N17)</f>
        <v>453.11529869999993</v>
      </c>
      <c r="C17" s="2414">
        <f t="shared" ref="C17" si="139">C18*(1+O17)</f>
        <v>336.47787264000004</v>
      </c>
      <c r="D17" s="2414">
        <f t="shared" ref="D17" si="140">C17</f>
        <v>336.47787264000004</v>
      </c>
      <c r="E17" s="2414">
        <f t="shared" ref="E17" si="141">E18*(1+P17)</f>
        <v>647.35186823999993</v>
      </c>
      <c r="F17" s="2414">
        <f t="shared" ref="F17" si="142">F18*(1+Q17)</f>
        <v>295.73229452000004</v>
      </c>
      <c r="G17" s="3426"/>
      <c r="H17" s="2426">
        <v>2</v>
      </c>
      <c r="I17" s="2426">
        <v>1.49</v>
      </c>
      <c r="J17" s="2426">
        <v>0.96</v>
      </c>
      <c r="K17" s="2426">
        <v>1.58</v>
      </c>
      <c r="L17" s="2427">
        <v>2.44</v>
      </c>
      <c r="M17" s="2400"/>
      <c r="N17" s="2416">
        <f t="shared" ref="N17" si="143">I17/100</f>
        <v>1.49E-2</v>
      </c>
      <c r="O17" s="2401">
        <f t="shared" ref="O17" si="144">J17/100</f>
        <v>9.5999999999999992E-3</v>
      </c>
      <c r="P17" s="2401">
        <f t="shared" ref="P17" si="145">K17/100</f>
        <v>1.5800000000000002E-2</v>
      </c>
      <c r="Q17" s="2401">
        <f t="shared" ref="Q17" si="146">L17/100</f>
        <v>2.4399999999999998E-2</v>
      </c>
      <c r="R17" s="2417"/>
      <c r="S17" s="2416"/>
      <c r="T17" s="2401"/>
      <c r="U17" s="2401"/>
      <c r="V17" s="2401"/>
      <c r="W17" s="2418"/>
      <c r="X17" s="2418">
        <f>ROUND(SUMPRODUCT(PRODUCT(1+N17:N$33)),4)</f>
        <v>1.4733000000000001</v>
      </c>
      <c r="Y17" s="2418">
        <f>ROUND(SUMPRODUCT(PRODUCT(1+O17:O$33)),4)</f>
        <v>1.3052999999999999</v>
      </c>
      <c r="Z17" s="2418">
        <f t="shared" ref="Z17" si="147">Y17</f>
        <v>1.3052999999999999</v>
      </c>
      <c r="AA17" s="2418">
        <f>ROUND(SUMPRODUCT(PRODUCT(1+P17:P$33)),4)</f>
        <v>1.5306999999999999</v>
      </c>
      <c r="AB17" s="2418">
        <f>ROUND(SUMPRODUCT(PRODUCT(1+Q17:Q$33)),4)</f>
        <v>1.2863</v>
      </c>
      <c r="AC17" s="2418"/>
      <c r="AD17" s="2419">
        <f>ROUND(AVERAGE(I17:I$34)/100,4)</f>
        <v>2.35E-2</v>
      </c>
      <c r="AE17" s="2419">
        <f>ROUND(AVERAGE(J17:J$34)/100,4)</f>
        <v>1.6199999999999999E-2</v>
      </c>
      <c r="AF17" s="2419">
        <f t="shared" ref="AF17" si="148">AE17</f>
        <v>1.6199999999999999E-2</v>
      </c>
      <c r="AG17" s="2419">
        <f>ROUND(AVERAGE(K17:K$34)/100,4)</f>
        <v>2.5899999999999999E-2</v>
      </c>
      <c r="AH17" s="2419">
        <f>ROUND(AVERAGE(L17:L$34)/100,4)</f>
        <v>1.49E-2</v>
      </c>
    </row>
    <row r="18" spans="1:34" s="2420" customFormat="1" ht="15" customHeight="1" thickBot="1">
      <c r="A18" s="2413" t="s">
        <v>2850</v>
      </c>
      <c r="B18" s="2414">
        <f t="shared" ref="B18" si="149">B19*(1+N18)</f>
        <v>446.46299999999997</v>
      </c>
      <c r="C18" s="2414">
        <f t="shared" ref="C18" si="150">C19*(1+O18)</f>
        <v>333.27840000000003</v>
      </c>
      <c r="D18" s="2414">
        <f t="shared" ref="D18" si="151">C18</f>
        <v>333.27840000000003</v>
      </c>
      <c r="E18" s="2414">
        <f t="shared" ref="E18" si="152">E19*(1+P18)</f>
        <v>637.28279999999995</v>
      </c>
      <c r="F18" s="2414">
        <f t="shared" ref="F18" si="153">F19*(1+Q18)</f>
        <v>288.68830000000003</v>
      </c>
      <c r="G18" s="3433"/>
      <c r="H18" s="2415">
        <v>1</v>
      </c>
      <c r="I18" s="2415">
        <v>1.7</v>
      </c>
      <c r="J18" s="2415">
        <v>1.92</v>
      </c>
      <c r="K18" s="2415">
        <v>1.64</v>
      </c>
      <c r="L18" s="2421">
        <v>2.0099999999999998</v>
      </c>
      <c r="M18" s="2400"/>
      <c r="N18" s="2416">
        <f t="shared" ref="N18:N23" si="154">I18/100</f>
        <v>1.7000000000000001E-2</v>
      </c>
      <c r="O18" s="2401">
        <f t="shared" ref="O18" si="155">J18/100</f>
        <v>1.9199999999999998E-2</v>
      </c>
      <c r="P18" s="2401">
        <f t="shared" ref="P18" si="156">K18/100</f>
        <v>1.6399999999999998E-2</v>
      </c>
      <c r="Q18" s="2401">
        <f t="shared" ref="Q18" si="157">L18/100</f>
        <v>2.0099999999999996E-2</v>
      </c>
      <c r="R18" s="2417"/>
      <c r="S18" s="2416">
        <f>B18/B19-1</f>
        <v>1.6999999999999904E-2</v>
      </c>
      <c r="T18" s="2401">
        <f t="shared" ref="T18" si="158">C18/C19-1</f>
        <v>1.9200000000000106E-2</v>
      </c>
      <c r="U18" s="2401">
        <f t="shared" ref="U18" si="159">D18/D19-1</f>
        <v>1.9200000000000106E-2</v>
      </c>
      <c r="V18" s="2401">
        <f t="shared" ref="V18" si="160">E18/E19-1</f>
        <v>1.639999999999997E-2</v>
      </c>
      <c r="W18" s="2418"/>
      <c r="X18" s="2418">
        <f>ROUND(SUMPRODUCT(PRODUCT(1+N18:N$33)),4)</f>
        <v>1.4517</v>
      </c>
      <c r="Y18" s="2418">
        <f>ROUND(SUMPRODUCT(PRODUCT(1+O18:O$33)),4)</f>
        <v>1.2928999999999999</v>
      </c>
      <c r="Z18" s="2418">
        <f t="shared" ref="Z18" si="161">Y18</f>
        <v>1.2928999999999999</v>
      </c>
      <c r="AA18" s="2418">
        <f>ROUND(SUMPRODUCT(PRODUCT(1+P18:P$33)),4)</f>
        <v>1.5068999999999999</v>
      </c>
      <c r="AB18" s="2418">
        <f>ROUND(SUMPRODUCT(PRODUCT(1+Q18:Q$33)),4)</f>
        <v>1.2557</v>
      </c>
      <c r="AC18" s="2418"/>
      <c r="AD18" s="2419">
        <f>ROUND(AVERAGE(I18:I$34)/100,4)</f>
        <v>2.4E-2</v>
      </c>
      <c r="AE18" s="2419">
        <f>ROUND(AVERAGE(J18:J$34)/100,4)</f>
        <v>1.66E-2</v>
      </c>
      <c r="AF18" s="2419">
        <f t="shared" ref="AF18" si="162">AE18</f>
        <v>1.66E-2</v>
      </c>
      <c r="AG18" s="2419">
        <f>ROUND(AVERAGE(K18:K$34)/100,4)</f>
        <v>2.6499999999999999E-2</v>
      </c>
      <c r="AH18" s="2419">
        <f>ROUND(AVERAGE(L18:L$34)/100,4)</f>
        <v>1.43E-2</v>
      </c>
    </row>
    <row r="19" spans="1:34">
      <c r="A19" s="2413" t="s">
        <v>2848</v>
      </c>
      <c r="B19" s="2428">
        <v>439</v>
      </c>
      <c r="C19" s="2428">
        <v>327</v>
      </c>
      <c r="D19" s="2428">
        <f>C19</f>
        <v>327</v>
      </c>
      <c r="E19" s="2428">
        <v>627</v>
      </c>
      <c r="F19" s="2429">
        <v>283</v>
      </c>
      <c r="G19" s="3429">
        <v>2017</v>
      </c>
      <c r="H19" s="2422">
        <v>4</v>
      </c>
      <c r="I19" s="2422">
        <v>1.71</v>
      </c>
      <c r="J19" s="2422">
        <v>1.78</v>
      </c>
      <c r="K19" s="2422">
        <v>1.71</v>
      </c>
      <c r="L19" s="2423">
        <v>1.43</v>
      </c>
      <c r="N19" s="2416">
        <f t="shared" si="154"/>
        <v>1.7100000000000001E-2</v>
      </c>
      <c r="O19" s="2401">
        <f t="shared" ref="O19" si="163">J19/100</f>
        <v>1.78E-2</v>
      </c>
      <c r="P19" s="2401">
        <f t="shared" ref="P19" si="164">K19/100</f>
        <v>1.7100000000000001E-2</v>
      </c>
      <c r="Q19" s="2401">
        <f t="shared" ref="Q19" si="165">L19/100</f>
        <v>1.43E-2</v>
      </c>
      <c r="R19" s="2417"/>
      <c r="S19" s="2430"/>
      <c r="T19" s="2431"/>
      <c r="U19" s="2431"/>
      <c r="V19" s="2431"/>
      <c r="X19" s="2400">
        <f>ROUND(SUMPRODUCT(PRODUCT(1+N19:N$33)),4)</f>
        <v>1.4274</v>
      </c>
      <c r="Y19" s="2400">
        <f>ROUND(SUMPRODUCT(PRODUCT(1+O19:O$33)),4)</f>
        <v>1.2685</v>
      </c>
      <c r="Z19" s="2400">
        <f t="shared" si="0"/>
        <v>1.2685</v>
      </c>
      <c r="AA19" s="2400">
        <f>ROUND(SUMPRODUCT(PRODUCT(1+P19:P$33)),4)</f>
        <v>1.4825999999999999</v>
      </c>
      <c r="AB19" s="2400">
        <f>ROUND(SUMPRODUCT(PRODUCT(1+Q19:Q$33)),4)</f>
        <v>1.2309000000000001</v>
      </c>
      <c r="AD19" s="2401">
        <f>ROUND(AVERAGE(I19:I$34)/100,4)</f>
        <v>2.4500000000000001E-2</v>
      </c>
      <c r="AE19" s="2401">
        <f>ROUND(AVERAGE(J19:J$34)/100,4)</f>
        <v>1.6500000000000001E-2</v>
      </c>
      <c r="AF19" s="2401">
        <f t="shared" si="1"/>
        <v>1.6500000000000001E-2</v>
      </c>
      <c r="AG19" s="2401">
        <f>ROUND(AVERAGE(K19:K$34)/100,4)</f>
        <v>2.7099999999999999E-2</v>
      </c>
      <c r="AH19" s="2401">
        <f>ROUND(AVERAGE(L19:L$34)/100,4)</f>
        <v>1.3899999999999999E-2</v>
      </c>
    </row>
    <row r="20" spans="1:34" s="2420" customFormat="1" ht="14.45" customHeight="1">
      <c r="A20" s="2413" t="s">
        <v>2849</v>
      </c>
      <c r="B20" s="2414">
        <f t="shared" ref="B20:B21" si="166">B21*(1+N20)</f>
        <v>431.80730811680002</v>
      </c>
      <c r="C20" s="2414">
        <f t="shared" ref="C20:C21" si="167">C21*(1+O20)</f>
        <v>320.57880516480003</v>
      </c>
      <c r="D20" s="2414">
        <f t="shared" ref="D20:D21" si="168">C20</f>
        <v>320.57880516480003</v>
      </c>
      <c r="E20" s="2414">
        <f t="shared" ref="E20:E21" si="169">E21*(1+P20)</f>
        <v>615.96110553196797</v>
      </c>
      <c r="F20" s="2414">
        <f t="shared" ref="F20:F21" si="170">F21*(1+Q20)</f>
        <v>279.46777300108801</v>
      </c>
      <c r="G20" s="3426"/>
      <c r="H20" s="2415">
        <v>3</v>
      </c>
      <c r="I20" s="2415">
        <v>2.98</v>
      </c>
      <c r="J20" s="2415">
        <v>2.11</v>
      </c>
      <c r="K20" s="2415">
        <v>3.24</v>
      </c>
      <c r="L20" s="2421">
        <v>1.72</v>
      </c>
      <c r="M20" s="2400"/>
      <c r="N20" s="2416">
        <f t="shared" si="154"/>
        <v>2.98E-2</v>
      </c>
      <c r="O20" s="2401">
        <f t="shared" ref="O20" si="171">J20/100</f>
        <v>2.1099999999999997E-2</v>
      </c>
      <c r="P20" s="2401">
        <f t="shared" ref="P20" si="172">K20/100</f>
        <v>3.2400000000000005E-2</v>
      </c>
      <c r="Q20" s="2401">
        <f t="shared" ref="Q20" si="173">L20/100</f>
        <v>1.72E-2</v>
      </c>
      <c r="R20" s="2417"/>
      <c r="S20" s="2416"/>
      <c r="T20" s="2401"/>
      <c r="U20" s="2401"/>
      <c r="V20" s="2401"/>
      <c r="W20" s="2418"/>
      <c r="X20" s="2418">
        <f>ROUND(SUMPRODUCT(PRODUCT(1+N20:N$33)),4)</f>
        <v>1.4034</v>
      </c>
      <c r="Y20" s="2418">
        <f>ROUND(SUMPRODUCT(PRODUCT(1+O20:O$33)),4)</f>
        <v>1.2463</v>
      </c>
      <c r="Z20" s="2418">
        <f t="shared" si="0"/>
        <v>1.2463</v>
      </c>
      <c r="AA20" s="2418">
        <f>ROUND(SUMPRODUCT(PRODUCT(1+P20:P$33)),4)</f>
        <v>1.4577</v>
      </c>
      <c r="AB20" s="2418">
        <f>ROUND(SUMPRODUCT(PRODUCT(1+Q20:Q$33)),4)</f>
        <v>1.2136</v>
      </c>
      <c r="AC20" s="2418"/>
      <c r="AD20" s="2419">
        <f>ROUND(AVERAGE(I20:I$34)/100,4)</f>
        <v>2.4899999999999999E-2</v>
      </c>
      <c r="AE20" s="2419">
        <f>ROUND(AVERAGE(J20:J$34)/100,4)</f>
        <v>1.6400000000000001E-2</v>
      </c>
      <c r="AF20" s="2419">
        <f t="shared" si="1"/>
        <v>1.6400000000000001E-2</v>
      </c>
      <c r="AG20" s="2419">
        <f>ROUND(AVERAGE(K20:K$34)/100,4)</f>
        <v>2.7799999999999998E-2</v>
      </c>
      <c r="AH20" s="2419">
        <f>ROUND(AVERAGE(L20:L$34)/100,4)</f>
        <v>1.3899999999999999E-2</v>
      </c>
    </row>
    <row r="21" spans="1:34" s="2407" customFormat="1" ht="14.45" customHeight="1">
      <c r="A21" s="2413" t="s">
        <v>1351</v>
      </c>
      <c r="B21" s="2414">
        <f t="shared" si="166"/>
        <v>419.31181600000002</v>
      </c>
      <c r="C21" s="2414">
        <f t="shared" si="167"/>
        <v>313.95436800000004</v>
      </c>
      <c r="D21" s="2414">
        <f t="shared" si="168"/>
        <v>313.95436800000004</v>
      </c>
      <c r="E21" s="2414">
        <f t="shared" si="169"/>
        <v>596.63028431999999</v>
      </c>
      <c r="F21" s="2414">
        <f t="shared" si="170"/>
        <v>274.74220703999998</v>
      </c>
      <c r="G21" s="3426"/>
      <c r="H21" s="2426">
        <v>2</v>
      </c>
      <c r="I21" s="2426">
        <v>3.4</v>
      </c>
      <c r="J21" s="2426">
        <v>2</v>
      </c>
      <c r="K21" s="2426">
        <v>3.82</v>
      </c>
      <c r="L21" s="2427">
        <v>1.68</v>
      </c>
      <c r="M21" s="2400"/>
      <c r="N21" s="2416">
        <f t="shared" si="154"/>
        <v>3.4000000000000002E-2</v>
      </c>
      <c r="O21" s="2401">
        <f t="shared" ref="O21" si="174">J21/100</f>
        <v>0.02</v>
      </c>
      <c r="P21" s="2401">
        <f t="shared" ref="P21" si="175">K21/100</f>
        <v>3.8199999999999998E-2</v>
      </c>
      <c r="Q21" s="2401">
        <f t="shared" ref="Q21" si="176">L21/100</f>
        <v>1.6799999999999999E-2</v>
      </c>
      <c r="R21" s="2417"/>
      <c r="S21" s="2430"/>
      <c r="T21" s="2431"/>
      <c r="U21" s="2431"/>
      <c r="V21" s="2431"/>
      <c r="W21" s="2394"/>
      <c r="X21" s="2418">
        <f>ROUND(SUMPRODUCT(PRODUCT(1+N21:N$33)),4)</f>
        <v>1.3628</v>
      </c>
      <c r="Y21" s="2418">
        <f>ROUND(SUMPRODUCT(PRODUCT(1+O21:O$33)),4)</f>
        <v>1.2205999999999999</v>
      </c>
      <c r="Z21" s="2418">
        <f t="shared" si="0"/>
        <v>1.2205999999999999</v>
      </c>
      <c r="AA21" s="2418">
        <f>ROUND(SUMPRODUCT(PRODUCT(1+P21:P$33)),4)</f>
        <v>1.4118999999999999</v>
      </c>
      <c r="AB21" s="2418">
        <f>ROUND(SUMPRODUCT(PRODUCT(1+Q21:Q$33)),4)</f>
        <v>1.1930000000000001</v>
      </c>
      <c r="AC21" s="2394"/>
      <c r="AD21" s="2419">
        <f>ROUND(AVERAGE(I21:I$34)/100,4)</f>
        <v>2.46E-2</v>
      </c>
      <c r="AE21" s="2419">
        <f>ROUND(AVERAGE(J21:J$34)/100,4)</f>
        <v>1.6E-2</v>
      </c>
      <c r="AF21" s="2419">
        <f t="shared" si="1"/>
        <v>1.6E-2</v>
      </c>
      <c r="AG21" s="2419">
        <f>ROUND(AVERAGE(K21:K$34)/100,4)</f>
        <v>2.75E-2</v>
      </c>
      <c r="AH21" s="2419">
        <f>ROUND(AVERAGE(L21:L$34)/100,4)</f>
        <v>1.37E-2</v>
      </c>
    </row>
    <row r="22" spans="1:34" s="2420" customFormat="1" ht="15" customHeight="1" thickBot="1">
      <c r="A22" s="2413" t="s">
        <v>1128</v>
      </c>
      <c r="B22" s="2414">
        <f>B23*(1+N22)</f>
        <v>405.524</v>
      </c>
      <c r="C22" s="2414">
        <f>C23*(1+O22)</f>
        <v>307.79840000000002</v>
      </c>
      <c r="D22" s="2414">
        <f>C22</f>
        <v>307.79840000000002</v>
      </c>
      <c r="E22" s="2414">
        <f>E23*(1+P22)</f>
        <v>574.67759999999998</v>
      </c>
      <c r="F22" s="2414">
        <f>F23*(1+Q22)</f>
        <v>270.20280000000002</v>
      </c>
      <c r="G22" s="3433"/>
      <c r="H22" s="2415">
        <v>1</v>
      </c>
      <c r="I22" s="2415">
        <v>3.45</v>
      </c>
      <c r="J22" s="2415">
        <v>1.92</v>
      </c>
      <c r="K22" s="2415">
        <v>3.92</v>
      </c>
      <c r="L22" s="2421">
        <v>1.58</v>
      </c>
      <c r="M22" s="2400"/>
      <c r="N22" s="2416">
        <f t="shared" si="154"/>
        <v>3.4500000000000003E-2</v>
      </c>
      <c r="O22" s="2401">
        <f t="shared" ref="O22:Q37" si="177">J22/100</f>
        <v>1.9199999999999998E-2</v>
      </c>
      <c r="P22" s="2401">
        <f t="shared" si="177"/>
        <v>3.9199999999999999E-2</v>
      </c>
      <c r="Q22" s="2401">
        <f t="shared" si="177"/>
        <v>1.5800000000000002E-2</v>
      </c>
      <c r="R22" s="2417"/>
      <c r="S22" s="2416">
        <f>B22/B23-1</f>
        <v>3.4499999999999975E-2</v>
      </c>
      <c r="T22" s="2401">
        <f t="shared" ref="T22:V22" si="178">C22/C23-1</f>
        <v>1.9200000000000106E-2</v>
      </c>
      <c r="U22" s="2401">
        <f t="shared" si="178"/>
        <v>1.9200000000000106E-2</v>
      </c>
      <c r="V22" s="2401">
        <f t="shared" si="178"/>
        <v>3.9199999999999902E-2</v>
      </c>
      <c r="W22" s="2418"/>
      <c r="X22" s="2418">
        <f>ROUND(SUMPRODUCT(PRODUCT(1+N22:N$33)),4)</f>
        <v>1.3180000000000001</v>
      </c>
      <c r="Y22" s="2418">
        <f>ROUND(SUMPRODUCT(PRODUCT(1+O22:O$33)),4)</f>
        <v>1.1966000000000001</v>
      </c>
      <c r="Z22" s="2418">
        <f t="shared" si="0"/>
        <v>1.1966000000000001</v>
      </c>
      <c r="AA22" s="2418">
        <f>ROUND(SUMPRODUCT(PRODUCT(1+P22:P$33)),4)</f>
        <v>1.36</v>
      </c>
      <c r="AB22" s="2418">
        <f>ROUND(SUMPRODUCT(PRODUCT(1+Q22:Q$33)),4)</f>
        <v>1.1733</v>
      </c>
      <c r="AC22" s="2418"/>
      <c r="AD22" s="2419">
        <f>ROUND(AVERAGE(I22:I$34)/100,4)</f>
        <v>2.3900000000000001E-2</v>
      </c>
      <c r="AE22" s="2419">
        <f>ROUND(AVERAGE(J22:J$34)/100,4)</f>
        <v>1.5699999999999999E-2</v>
      </c>
      <c r="AF22" s="2419">
        <f t="shared" si="1"/>
        <v>1.5699999999999999E-2</v>
      </c>
      <c r="AG22" s="2419">
        <f>ROUND(AVERAGE(K22:K$34)/100,4)</f>
        <v>2.6599999999999999E-2</v>
      </c>
      <c r="AH22" s="2419">
        <f>ROUND(AVERAGE(L22:L$34)/100,4)</f>
        <v>1.34E-2</v>
      </c>
    </row>
    <row r="23" spans="1:34">
      <c r="A23" s="2413" t="s">
        <v>154</v>
      </c>
      <c r="B23" s="2428">
        <v>392</v>
      </c>
      <c r="C23" s="2428">
        <v>302</v>
      </c>
      <c r="D23" s="2428">
        <f>C23</f>
        <v>302</v>
      </c>
      <c r="E23" s="2428">
        <v>553</v>
      </c>
      <c r="F23" s="2429">
        <v>266</v>
      </c>
      <c r="G23" s="3429">
        <v>2016</v>
      </c>
      <c r="H23" s="2422">
        <v>4</v>
      </c>
      <c r="I23" s="2422">
        <v>4.5599999999999996</v>
      </c>
      <c r="J23" s="2422">
        <v>2.15</v>
      </c>
      <c r="K23" s="2422">
        <v>5.32</v>
      </c>
      <c r="L23" s="2423">
        <v>1.57</v>
      </c>
      <c r="N23" s="2416">
        <f t="shared" si="154"/>
        <v>4.5599999999999995E-2</v>
      </c>
      <c r="O23" s="2401">
        <f t="shared" si="177"/>
        <v>2.1499999999999998E-2</v>
      </c>
      <c r="P23" s="2401">
        <f t="shared" si="177"/>
        <v>5.3200000000000004E-2</v>
      </c>
      <c r="Q23" s="2401">
        <f t="shared" si="177"/>
        <v>1.5700000000000002E-2</v>
      </c>
      <c r="R23" s="2417"/>
      <c r="S23" s="2430"/>
      <c r="T23" s="2431"/>
      <c r="U23" s="2431"/>
      <c r="V23" s="2431"/>
      <c r="X23" s="2400">
        <f>ROUND(SUMPRODUCT(PRODUCT(1+N23:N$33)),4)</f>
        <v>1.274</v>
      </c>
      <c r="Y23" s="2400">
        <f>ROUND(SUMPRODUCT(PRODUCT(1+O23:O$33)),4)</f>
        <v>1.1740999999999999</v>
      </c>
      <c r="Z23" s="2400">
        <f t="shared" si="0"/>
        <v>1.1740999999999999</v>
      </c>
      <c r="AA23" s="2400">
        <f>ROUND(SUMPRODUCT(PRODUCT(1+P23:P$33)),4)</f>
        <v>1.3087</v>
      </c>
      <c r="AB23" s="2400">
        <f>ROUND(SUMPRODUCT(PRODUCT(1+Q23:Q$33)),4)</f>
        <v>1.1551</v>
      </c>
      <c r="AD23" s="2401">
        <f>ROUND(AVERAGE(I23:I$34)/100,4)</f>
        <v>2.3E-2</v>
      </c>
      <c r="AE23" s="2401">
        <f>ROUND(AVERAGE(J23:J$34)/100,4)</f>
        <v>1.55E-2</v>
      </c>
      <c r="AF23" s="2401">
        <f t="shared" si="1"/>
        <v>1.55E-2</v>
      </c>
      <c r="AG23" s="2401">
        <f>ROUND(AVERAGE(K23:K$34)/100,4)</f>
        <v>2.5600000000000001E-2</v>
      </c>
      <c r="AH23" s="2401">
        <f>ROUND(AVERAGE(L23:L$34)/100,4)</f>
        <v>1.32E-2</v>
      </c>
    </row>
    <row r="24" spans="1:34">
      <c r="A24" s="2413" t="s">
        <v>153</v>
      </c>
      <c r="B24" s="2414">
        <f t="shared" ref="B24:C26" si="179">B23/(1+N23)</f>
        <v>374.90436113236416</v>
      </c>
      <c r="C24" s="2414">
        <f t="shared" si="179"/>
        <v>295.64366128242779</v>
      </c>
      <c r="D24" s="2414">
        <f t="shared" ref="D24:D83" si="180">C24</f>
        <v>295.64366128242779</v>
      </c>
      <c r="E24" s="2414">
        <f t="shared" ref="E24:F26" si="181">E23/(1+P23)</f>
        <v>525.06646410938095</v>
      </c>
      <c r="F24" s="2414">
        <f t="shared" si="181"/>
        <v>261.88835286009646</v>
      </c>
      <c r="G24" s="3426"/>
      <c r="H24" s="2415">
        <v>3</v>
      </c>
      <c r="I24" s="2415">
        <v>4.12</v>
      </c>
      <c r="J24" s="2415">
        <v>2</v>
      </c>
      <c r="K24" s="2415">
        <v>4.79</v>
      </c>
      <c r="L24" s="2421">
        <v>1.97</v>
      </c>
      <c r="N24" s="2416">
        <f t="shared" ref="N24:Q58" si="182">I24/100</f>
        <v>4.1200000000000001E-2</v>
      </c>
      <c r="O24" s="2401">
        <f t="shared" si="177"/>
        <v>0.02</v>
      </c>
      <c r="P24" s="2401">
        <f t="shared" si="177"/>
        <v>4.7899999999999998E-2</v>
      </c>
      <c r="Q24" s="2401">
        <f t="shared" si="177"/>
        <v>1.9699999999999999E-2</v>
      </c>
      <c r="R24" s="2417"/>
      <c r="S24" s="2416"/>
      <c r="T24" s="2401"/>
      <c r="U24" s="2401"/>
      <c r="V24" s="2401"/>
      <c r="X24" s="2400">
        <f>ROUND(SUMPRODUCT(PRODUCT(1+N24:N$33)),4)</f>
        <v>1.2184999999999999</v>
      </c>
      <c r="Y24" s="2400">
        <f>ROUND(SUMPRODUCT(PRODUCT(1+O24:O$33)),4)</f>
        <v>1.1494</v>
      </c>
      <c r="Z24" s="2400">
        <f t="shared" si="0"/>
        <v>1.1494</v>
      </c>
      <c r="AA24" s="2400">
        <f>ROUND(SUMPRODUCT(PRODUCT(1+P24:P$33)),4)</f>
        <v>1.2425999999999999</v>
      </c>
      <c r="AB24" s="2400">
        <f>ROUND(SUMPRODUCT(PRODUCT(1+Q24:Q$33)),4)</f>
        <v>1.1372</v>
      </c>
      <c r="AD24" s="2401">
        <f>ROUND(AVERAGE(I24:I$34)/100,4)</f>
        <v>2.0899999999999998E-2</v>
      </c>
      <c r="AE24" s="2401">
        <f>ROUND(AVERAGE(J24:J$34)/100,4)</f>
        <v>1.49E-2</v>
      </c>
      <c r="AF24" s="2401">
        <f t="shared" si="1"/>
        <v>1.49E-2</v>
      </c>
      <c r="AG24" s="2401">
        <f>ROUND(AVERAGE(K24:K$34)/100,4)</f>
        <v>2.3099999999999999E-2</v>
      </c>
      <c r="AH24" s="2401">
        <f>ROUND(AVERAGE(L24:L$34)/100,4)</f>
        <v>1.2999999999999999E-2</v>
      </c>
    </row>
    <row r="25" spans="1:34">
      <c r="A25" s="2413" t="s">
        <v>143</v>
      </c>
      <c r="B25" s="2414">
        <f t="shared" si="179"/>
        <v>360.06949782209392</v>
      </c>
      <c r="C25" s="2414">
        <f t="shared" si="179"/>
        <v>289.84672674747821</v>
      </c>
      <c r="D25" s="2414">
        <f t="shared" si="180"/>
        <v>289.84672674747821</v>
      </c>
      <c r="E25" s="2414">
        <f t="shared" si="181"/>
        <v>501.06543001181495</v>
      </c>
      <c r="F25" s="2414">
        <f t="shared" si="181"/>
        <v>256.82882500744967</v>
      </c>
      <c r="G25" s="3426"/>
      <c r="H25" s="2426">
        <v>2</v>
      </c>
      <c r="I25" s="2426">
        <v>3.85</v>
      </c>
      <c r="J25" s="2426">
        <v>1.95</v>
      </c>
      <c r="K25" s="2426">
        <v>4.4800000000000004</v>
      </c>
      <c r="L25" s="2427">
        <v>1.41</v>
      </c>
      <c r="N25" s="2416">
        <f t="shared" si="182"/>
        <v>3.85E-2</v>
      </c>
      <c r="O25" s="2401">
        <f t="shared" si="177"/>
        <v>1.95E-2</v>
      </c>
      <c r="P25" s="2401">
        <f t="shared" si="177"/>
        <v>4.4800000000000006E-2</v>
      </c>
      <c r="Q25" s="2401">
        <f t="shared" si="177"/>
        <v>1.41E-2</v>
      </c>
      <c r="R25" s="2417"/>
      <c r="S25" s="2416"/>
      <c r="T25" s="2401"/>
      <c r="U25" s="2401"/>
      <c r="V25" s="2401"/>
      <c r="X25" s="2400">
        <f>ROUND(SUMPRODUCT(PRODUCT(1+N25:N$33)),4)</f>
        <v>1.1702999999999999</v>
      </c>
      <c r="Y25" s="2400">
        <f>ROUND(SUMPRODUCT(PRODUCT(1+O25:O$33)),4)</f>
        <v>1.1269</v>
      </c>
      <c r="Z25" s="2400">
        <f t="shared" si="0"/>
        <v>1.1269</v>
      </c>
      <c r="AA25" s="2400">
        <f>ROUND(SUMPRODUCT(PRODUCT(1+P25:P$33)),4)</f>
        <v>1.1858</v>
      </c>
      <c r="AB25" s="2400">
        <f>ROUND(SUMPRODUCT(PRODUCT(1+Q25:Q$33)),4)</f>
        <v>1.1152</v>
      </c>
      <c r="AD25" s="2401">
        <f>ROUND(AVERAGE(I25:I$34)/100,4)</f>
        <v>1.89E-2</v>
      </c>
      <c r="AE25" s="2401">
        <f>ROUND(AVERAGE(J25:J$34)/100,4)</f>
        <v>1.44E-2</v>
      </c>
      <c r="AF25" s="2401">
        <f t="shared" si="1"/>
        <v>1.44E-2</v>
      </c>
      <c r="AG25" s="2401">
        <f>ROUND(AVERAGE(K25:K$34)/100,4)</f>
        <v>2.06E-2</v>
      </c>
      <c r="AH25" s="2401">
        <f>ROUND(AVERAGE(L25:L$34)/100,4)</f>
        <v>1.23E-2</v>
      </c>
    </row>
    <row r="26" spans="1:34" ht="13.5" thickBot="1">
      <c r="A26" s="2413" t="s">
        <v>152</v>
      </c>
      <c r="B26" s="2414">
        <f t="shared" si="179"/>
        <v>346.720748986128</v>
      </c>
      <c r="C26" s="2414">
        <f t="shared" si="179"/>
        <v>284.30282172386285</v>
      </c>
      <c r="D26" s="2414">
        <f t="shared" si="180"/>
        <v>284.30282172386285</v>
      </c>
      <c r="E26" s="2414">
        <f t="shared" si="181"/>
        <v>479.58023546306947</v>
      </c>
      <c r="F26" s="2414">
        <f t="shared" si="181"/>
        <v>253.25788877571213</v>
      </c>
      <c r="G26" s="3427"/>
      <c r="H26" s="2415">
        <v>1</v>
      </c>
      <c r="I26" s="2415">
        <v>4.09</v>
      </c>
      <c r="J26" s="2415">
        <v>2.93</v>
      </c>
      <c r="K26" s="2415">
        <v>4.54</v>
      </c>
      <c r="L26" s="2421">
        <v>1.48</v>
      </c>
      <c r="N26" s="2416">
        <f t="shared" si="182"/>
        <v>4.0899999999999999E-2</v>
      </c>
      <c r="O26" s="2401">
        <f t="shared" si="177"/>
        <v>2.9300000000000003E-2</v>
      </c>
      <c r="P26" s="2401">
        <f t="shared" si="177"/>
        <v>4.5400000000000003E-2</v>
      </c>
      <c r="Q26" s="2401">
        <f t="shared" si="177"/>
        <v>1.4800000000000001E-2</v>
      </c>
      <c r="R26" s="2417"/>
      <c r="S26" s="2432">
        <f>B26/B27-1</f>
        <v>4.1203450408792808E-2</v>
      </c>
      <c r="T26" s="2433">
        <f>C26/C27-1</f>
        <v>2.6363977342465095E-2</v>
      </c>
      <c r="U26" s="2433">
        <f>E26/E27-1</f>
        <v>4.4837114298626357E-2</v>
      </c>
      <c r="V26" s="2433">
        <f>F26/F27-1</f>
        <v>1.7099954922538574E-2</v>
      </c>
      <c r="X26" s="2400">
        <f>ROUND(SUMPRODUCT(PRODUCT(1+N26:N$33)),4)</f>
        <v>1.1269</v>
      </c>
      <c r="Y26" s="2400">
        <f>ROUND(SUMPRODUCT(PRODUCT(1+O26:O$33)),4)</f>
        <v>1.1052999999999999</v>
      </c>
      <c r="Z26" s="2400">
        <f t="shared" si="0"/>
        <v>1.1052999999999999</v>
      </c>
      <c r="AA26" s="2400">
        <f>ROUND(SUMPRODUCT(PRODUCT(1+P26:P$33)),4)</f>
        <v>1.1349</v>
      </c>
      <c r="AB26" s="2400">
        <f>ROUND(SUMPRODUCT(PRODUCT(1+Q26:Q$33)),4)</f>
        <v>1.0996999999999999</v>
      </c>
      <c r="AD26" s="2401">
        <f>ROUND(AVERAGE(I26:I$34)/100,4)</f>
        <v>1.67E-2</v>
      </c>
      <c r="AE26" s="2401">
        <f>ROUND(AVERAGE(J26:J$34)/100,4)</f>
        <v>1.38E-2</v>
      </c>
      <c r="AF26" s="2401">
        <f t="shared" si="1"/>
        <v>1.38E-2</v>
      </c>
      <c r="AG26" s="2401">
        <f>ROUND(AVERAGE(K26:K$34)/100,4)</f>
        <v>1.7899999999999999E-2</v>
      </c>
      <c r="AH26" s="2401">
        <f>ROUND(AVERAGE(L26:L$34)/100,4)</f>
        <v>1.21E-2</v>
      </c>
    </row>
    <row r="27" spans="1:34" ht="13.5" thickBot="1">
      <c r="A27" s="2413" t="s">
        <v>151</v>
      </c>
      <c r="B27" s="2428">
        <v>333</v>
      </c>
      <c r="C27" s="2428">
        <v>277</v>
      </c>
      <c r="D27" s="2428">
        <f t="shared" si="180"/>
        <v>277</v>
      </c>
      <c r="E27" s="2428">
        <v>459</v>
      </c>
      <c r="F27" s="2429">
        <v>249</v>
      </c>
      <c r="G27" s="3425">
        <v>2015</v>
      </c>
      <c r="H27" s="2434">
        <v>4</v>
      </c>
      <c r="I27" s="2434">
        <v>1.63</v>
      </c>
      <c r="J27" s="2434">
        <v>1.1100000000000001</v>
      </c>
      <c r="K27" s="2434">
        <v>1.77</v>
      </c>
      <c r="L27" s="2435">
        <v>1.89</v>
      </c>
      <c r="N27" s="2436">
        <f t="shared" si="182"/>
        <v>1.6299999999999999E-2</v>
      </c>
      <c r="O27" s="2437">
        <f t="shared" si="177"/>
        <v>1.11E-2</v>
      </c>
      <c r="P27" s="2437">
        <f t="shared" si="177"/>
        <v>1.77E-2</v>
      </c>
      <c r="Q27" s="2437">
        <f t="shared" si="177"/>
        <v>1.89E-2</v>
      </c>
      <c r="R27" s="2417"/>
      <c r="X27" s="2400">
        <f>ROUND(SUMPRODUCT(PRODUCT(1+N27:N$33)),4)</f>
        <v>1.0826</v>
      </c>
      <c r="Y27" s="2400">
        <f>ROUND(SUMPRODUCT(PRODUCT(1+O27:O$33)),4)</f>
        <v>1.0738000000000001</v>
      </c>
      <c r="Z27" s="2400">
        <f t="shared" si="0"/>
        <v>1.0738000000000001</v>
      </c>
      <c r="AA27" s="2400">
        <f>ROUND(SUMPRODUCT(PRODUCT(1+P27:P$33)),4)</f>
        <v>1.0855999999999999</v>
      </c>
      <c r="AB27" s="2400">
        <f>ROUND(SUMPRODUCT(PRODUCT(1+Q27:Q$33)),4)</f>
        <v>1.0837000000000001</v>
      </c>
      <c r="AD27" s="2401">
        <f>ROUND(AVERAGE(I27:I$34)/100,4)</f>
        <v>1.37E-2</v>
      </c>
      <c r="AE27" s="2401">
        <f>ROUND(AVERAGE(J27:J$34)/100,4)</f>
        <v>1.1900000000000001E-2</v>
      </c>
      <c r="AF27" s="2401">
        <f t="shared" si="1"/>
        <v>1.1900000000000001E-2</v>
      </c>
      <c r="AG27" s="2401">
        <f>ROUND(AVERAGE(K27:K$34)/100,4)</f>
        <v>1.4500000000000001E-2</v>
      </c>
      <c r="AH27" s="2401">
        <f>ROUND(AVERAGE(L27:L$34)/100,4)</f>
        <v>1.18E-2</v>
      </c>
    </row>
    <row r="28" spans="1:34">
      <c r="A28" s="2413" t="s">
        <v>150</v>
      </c>
      <c r="B28" s="2414">
        <f t="shared" ref="B28:C30" si="183">B27/(1+N27)</f>
        <v>327.65915576109415</v>
      </c>
      <c r="C28" s="2414">
        <f t="shared" si="183"/>
        <v>273.95905449510434</v>
      </c>
      <c r="D28" s="2414">
        <f t="shared" si="180"/>
        <v>273.95905449510434</v>
      </c>
      <c r="E28" s="2414">
        <f t="shared" ref="E28:F30" si="184">E27/(1+P27)</f>
        <v>451.01699911565294</v>
      </c>
      <c r="F28" s="2414">
        <f t="shared" si="184"/>
        <v>244.38119540681129</v>
      </c>
      <c r="G28" s="3426"/>
      <c r="H28" s="2439">
        <v>3</v>
      </c>
      <c r="I28" s="2439">
        <v>1.65</v>
      </c>
      <c r="J28" s="2439">
        <v>0.92</v>
      </c>
      <c r="K28" s="2439">
        <v>1.88</v>
      </c>
      <c r="L28" s="2440">
        <v>1.26</v>
      </c>
      <c r="N28" s="2416">
        <f t="shared" si="182"/>
        <v>1.6500000000000001E-2</v>
      </c>
      <c r="O28" s="2441">
        <f t="shared" si="177"/>
        <v>9.1999999999999998E-3</v>
      </c>
      <c r="P28" s="2441">
        <f t="shared" si="177"/>
        <v>1.8799999999999997E-2</v>
      </c>
      <c r="Q28" s="2441">
        <f t="shared" si="177"/>
        <v>1.26E-2</v>
      </c>
      <c r="R28" s="2417"/>
      <c r="S28" s="2416"/>
      <c r="T28" s="2401"/>
      <c r="U28" s="2401"/>
      <c r="V28" s="2401"/>
      <c r="X28" s="2400">
        <f>ROUND(SUMPRODUCT(PRODUCT(1+N28:N$33)),4)</f>
        <v>1.0651999999999999</v>
      </c>
      <c r="Y28" s="2400">
        <f>ROUND(SUMPRODUCT(PRODUCT(1+O28:O$33)),4)</f>
        <v>1.0621</v>
      </c>
      <c r="Z28" s="2400">
        <f t="shared" si="0"/>
        <v>1.0621</v>
      </c>
      <c r="AA28" s="2400">
        <f>ROUND(SUMPRODUCT(PRODUCT(1+P28:P$33)),4)</f>
        <v>1.0668</v>
      </c>
      <c r="AB28" s="2400">
        <f>ROUND(SUMPRODUCT(PRODUCT(1+Q28:Q$33)),4)</f>
        <v>1.0636000000000001</v>
      </c>
      <c r="AD28" s="2401">
        <f>ROUND(AVERAGE(I28:I$34)/100,4)</f>
        <v>1.3299999999999999E-2</v>
      </c>
      <c r="AE28" s="2401">
        <f>ROUND(AVERAGE(J28:J$34)/100,4)</f>
        <v>1.2E-2</v>
      </c>
      <c r="AF28" s="2401">
        <f t="shared" si="1"/>
        <v>1.2E-2</v>
      </c>
      <c r="AG28" s="2401">
        <f>ROUND(AVERAGE(K28:K$34)/100,4)</f>
        <v>1.4E-2</v>
      </c>
      <c r="AH28" s="2401">
        <f>ROUND(AVERAGE(L28:L$34)/100,4)</f>
        <v>1.0800000000000001E-2</v>
      </c>
    </row>
    <row r="29" spans="1:34">
      <c r="A29" s="2413" t="s">
        <v>149</v>
      </c>
      <c r="B29" s="2414">
        <f t="shared" si="183"/>
        <v>322.34053690220776</v>
      </c>
      <c r="C29" s="2414">
        <f t="shared" si="183"/>
        <v>271.46160770422546</v>
      </c>
      <c r="D29" s="2414">
        <f t="shared" si="180"/>
        <v>271.46160770422546</v>
      </c>
      <c r="E29" s="2414">
        <f t="shared" si="184"/>
        <v>442.69434542172456</v>
      </c>
      <c r="F29" s="2414">
        <f t="shared" si="184"/>
        <v>241.34030753190925</v>
      </c>
      <c r="G29" s="3426"/>
      <c r="H29" s="2426">
        <v>2</v>
      </c>
      <c r="I29" s="2426">
        <v>0.77</v>
      </c>
      <c r="J29" s="2426">
        <v>0.69</v>
      </c>
      <c r="K29" s="2426">
        <v>0.8</v>
      </c>
      <c r="L29" s="2427">
        <v>0.88</v>
      </c>
      <c r="N29" s="2416">
        <f t="shared" si="182"/>
        <v>7.7000000000000002E-3</v>
      </c>
      <c r="O29" s="2441">
        <f t="shared" si="177"/>
        <v>6.8999999999999999E-3</v>
      </c>
      <c r="P29" s="2441">
        <f t="shared" si="177"/>
        <v>8.0000000000000002E-3</v>
      </c>
      <c r="Q29" s="2441">
        <f t="shared" si="177"/>
        <v>8.8000000000000005E-3</v>
      </c>
      <c r="R29" s="2417"/>
      <c r="S29" s="2416"/>
      <c r="T29" s="2401"/>
      <c r="U29" s="2401"/>
      <c r="V29" s="2401"/>
      <c r="X29" s="2400">
        <f>ROUND(SUMPRODUCT(PRODUCT(1+N29:N$33)),4)</f>
        <v>1.048</v>
      </c>
      <c r="Y29" s="2400">
        <f>ROUND(SUMPRODUCT(PRODUCT(1+O29:O$33)),4)</f>
        <v>1.0524</v>
      </c>
      <c r="Z29" s="2400">
        <f t="shared" si="0"/>
        <v>1.0524</v>
      </c>
      <c r="AA29" s="2400">
        <f>ROUND(SUMPRODUCT(PRODUCT(1+P29:P$33)),4)</f>
        <v>1.0470999999999999</v>
      </c>
      <c r="AB29" s="2400">
        <f>ROUND(SUMPRODUCT(PRODUCT(1+Q29:Q$33)),4)</f>
        <v>1.0504</v>
      </c>
      <c r="AD29" s="2401">
        <f>ROUND(AVERAGE(I29:I$34)/100,4)</f>
        <v>1.2800000000000001E-2</v>
      </c>
      <c r="AE29" s="2401">
        <f>ROUND(AVERAGE(J29:J$34)/100,4)</f>
        <v>1.2500000000000001E-2</v>
      </c>
      <c r="AF29" s="2401">
        <f t="shared" si="1"/>
        <v>1.2500000000000001E-2</v>
      </c>
      <c r="AG29" s="2401">
        <f>ROUND(AVERAGE(K29:K$34)/100,4)</f>
        <v>1.32E-2</v>
      </c>
      <c r="AH29" s="2401">
        <f>ROUND(AVERAGE(L29:L$34)/100,4)</f>
        <v>1.0500000000000001E-2</v>
      </c>
    </row>
    <row r="30" spans="1:34">
      <c r="A30" s="2413" t="s">
        <v>148</v>
      </c>
      <c r="B30" s="2414">
        <f t="shared" si="183"/>
        <v>319.87748030386797</v>
      </c>
      <c r="C30" s="2414">
        <f t="shared" si="183"/>
        <v>269.60135833173649</v>
      </c>
      <c r="D30" s="2414">
        <f t="shared" si="180"/>
        <v>269.60135833173649</v>
      </c>
      <c r="E30" s="2414">
        <f t="shared" si="184"/>
        <v>439.18089823583784</v>
      </c>
      <c r="F30" s="2414">
        <f t="shared" si="184"/>
        <v>239.23503918706311</v>
      </c>
      <c r="G30" s="3427"/>
      <c r="H30" s="2415">
        <v>1</v>
      </c>
      <c r="I30" s="2415">
        <v>0.51</v>
      </c>
      <c r="J30" s="2415">
        <v>0.54</v>
      </c>
      <c r="K30" s="2415">
        <v>0.48</v>
      </c>
      <c r="L30" s="2421">
        <v>0.93</v>
      </c>
      <c r="N30" s="2432">
        <f t="shared" si="182"/>
        <v>5.1000000000000004E-3</v>
      </c>
      <c r="O30" s="2433">
        <f t="shared" si="177"/>
        <v>5.4000000000000003E-3</v>
      </c>
      <c r="P30" s="2433">
        <f t="shared" si="177"/>
        <v>4.7999999999999996E-3</v>
      </c>
      <c r="Q30" s="2433">
        <f t="shared" si="177"/>
        <v>9.300000000000001E-3</v>
      </c>
      <c r="R30" s="2417"/>
      <c r="S30" s="2432">
        <f>B30/B31-1</f>
        <v>5.9040261127922822E-3</v>
      </c>
      <c r="T30" s="2433">
        <f>C30/C31-1</f>
        <v>5.9752176557332781E-3</v>
      </c>
      <c r="U30" s="2433">
        <f>E30/E31-1</f>
        <v>4.9906138119859556E-3</v>
      </c>
      <c r="V30" s="2433">
        <f>F30/F31-1</f>
        <v>9.4305450930933787E-3</v>
      </c>
      <c r="X30" s="2400">
        <f>ROUND(SUMPRODUCT(PRODUCT(1+N30:N$33)),4)</f>
        <v>1.0399</v>
      </c>
      <c r="Y30" s="2400">
        <f>ROUND(SUMPRODUCT(PRODUCT(1+O30:O$33)),4)</f>
        <v>1.0451999999999999</v>
      </c>
      <c r="Z30" s="2400">
        <f t="shared" si="0"/>
        <v>1.0451999999999999</v>
      </c>
      <c r="AA30" s="2400">
        <f>ROUND(SUMPRODUCT(PRODUCT(1+P30:P$33)),4)</f>
        <v>1.0387999999999999</v>
      </c>
      <c r="AB30" s="2400">
        <f>ROUND(SUMPRODUCT(PRODUCT(1+Q30:Q$33)),4)</f>
        <v>1.0411999999999999</v>
      </c>
      <c r="AD30" s="2401">
        <f>ROUND(AVERAGE(I30:I$34)/100,4)</f>
        <v>1.38E-2</v>
      </c>
      <c r="AE30" s="2401">
        <f>ROUND(AVERAGE(J30:J$34)/100,4)</f>
        <v>1.3599999999999999E-2</v>
      </c>
      <c r="AF30" s="2401">
        <f t="shared" si="1"/>
        <v>1.3599999999999999E-2</v>
      </c>
      <c r="AG30" s="2401">
        <f>ROUND(AVERAGE(K30:K$34)/100,4)</f>
        <v>1.4200000000000001E-2</v>
      </c>
      <c r="AH30" s="2401">
        <f>ROUND(AVERAGE(L30:L$34)/100,4)</f>
        <v>1.0800000000000001E-2</v>
      </c>
    </row>
    <row r="31" spans="1:34" ht="13.5" thickBot="1">
      <c r="A31" s="2413" t="s">
        <v>147</v>
      </c>
      <c r="B31" s="2442">
        <v>318</v>
      </c>
      <c r="C31" s="2442">
        <v>268</v>
      </c>
      <c r="D31" s="2442">
        <f t="shared" si="180"/>
        <v>268</v>
      </c>
      <c r="E31" s="2442">
        <v>437</v>
      </c>
      <c r="F31" s="2443">
        <v>237</v>
      </c>
      <c r="G31" s="3425">
        <v>2014</v>
      </c>
      <c r="H31" s="2434">
        <v>4</v>
      </c>
      <c r="I31" s="2434">
        <v>0.21</v>
      </c>
      <c r="J31" s="2434">
        <v>0.41</v>
      </c>
      <c r="K31" s="2434">
        <v>0.12</v>
      </c>
      <c r="L31" s="2435">
        <v>0.89</v>
      </c>
      <c r="N31" s="2416">
        <f t="shared" si="182"/>
        <v>2.0999999999999999E-3</v>
      </c>
      <c r="O31" s="2401">
        <f t="shared" si="177"/>
        <v>4.0999999999999995E-3</v>
      </c>
      <c r="P31" s="2401">
        <f t="shared" si="177"/>
        <v>1.1999999999999999E-3</v>
      </c>
      <c r="Q31" s="2401">
        <f t="shared" si="177"/>
        <v>8.8999999999999999E-3</v>
      </c>
      <c r="R31" s="2417"/>
      <c r="S31" s="2430"/>
      <c r="T31" s="2431"/>
      <c r="U31" s="2431"/>
      <c r="V31" s="2431"/>
      <c r="X31" s="2400">
        <f>ROUND(SUMPRODUCT(PRODUCT(1+N31:N$33)),4)</f>
        <v>1.0347</v>
      </c>
      <c r="Y31" s="2400">
        <f>ROUND(SUMPRODUCT(PRODUCT(1+O31:O$33)),4)</f>
        <v>1.0395000000000001</v>
      </c>
      <c r="Z31" s="2400">
        <f t="shared" si="0"/>
        <v>1.0395000000000001</v>
      </c>
      <c r="AA31" s="2400">
        <f>ROUND(SUMPRODUCT(PRODUCT(1+P31:P$33)),4)</f>
        <v>1.0338000000000001</v>
      </c>
      <c r="AB31" s="2400">
        <f>ROUND(SUMPRODUCT(PRODUCT(1+Q31:Q$33)),4)</f>
        <v>1.0316000000000001</v>
      </c>
      <c r="AD31" s="2401">
        <f>ROUND(AVERAGE(I31:I$34)/100,4)</f>
        <v>1.6E-2</v>
      </c>
      <c r="AE31" s="2401">
        <f>ROUND(AVERAGE(J31:J$34)/100,4)</f>
        <v>1.5599999999999999E-2</v>
      </c>
      <c r="AF31" s="2401">
        <f t="shared" si="1"/>
        <v>1.5599999999999999E-2</v>
      </c>
      <c r="AG31" s="2401">
        <f>ROUND(AVERAGE(K31:K$34)/100,4)</f>
        <v>1.66E-2</v>
      </c>
      <c r="AH31" s="2401">
        <f>ROUND(AVERAGE(L31:L$34)/100,4)</f>
        <v>1.12E-2</v>
      </c>
    </row>
    <row r="32" spans="1:34">
      <c r="A32" s="2413" t="s">
        <v>146</v>
      </c>
      <c r="B32" s="2414">
        <f t="shared" ref="B32:C34" si="185">B31/(1+N31)</f>
        <v>317.33359944117353</v>
      </c>
      <c r="C32" s="2414">
        <f t="shared" si="185"/>
        <v>266.90568668459315</v>
      </c>
      <c r="D32" s="2414">
        <f t="shared" si="180"/>
        <v>266.90568668459315</v>
      </c>
      <c r="E32" s="2414">
        <f t="shared" ref="E32:F34" si="186">E31/(1+P31)</f>
        <v>436.47622852576905</v>
      </c>
      <c r="F32" s="2414">
        <f t="shared" si="186"/>
        <v>234.90930716622066</v>
      </c>
      <c r="G32" s="3426"/>
      <c r="H32" s="2444">
        <v>3</v>
      </c>
      <c r="I32" s="2444">
        <v>0.83</v>
      </c>
      <c r="J32" s="2444">
        <v>1.47</v>
      </c>
      <c r="K32" s="2444">
        <v>0.65</v>
      </c>
      <c r="L32" s="2445">
        <v>0.72</v>
      </c>
      <c r="N32" s="2416">
        <f t="shared" si="182"/>
        <v>8.3000000000000001E-3</v>
      </c>
      <c r="O32" s="2401">
        <f t="shared" si="177"/>
        <v>1.47E-2</v>
      </c>
      <c r="P32" s="2401">
        <f t="shared" si="177"/>
        <v>6.5000000000000006E-3</v>
      </c>
      <c r="Q32" s="2401">
        <f t="shared" si="177"/>
        <v>7.1999999999999998E-3</v>
      </c>
      <c r="R32" s="2417"/>
      <c r="S32" s="2416"/>
      <c r="T32" s="2401"/>
      <c r="U32" s="2401"/>
      <c r="V32" s="2401"/>
      <c r="X32" s="2400">
        <f>ROUND(SUMPRODUCT(PRODUCT(1+N32:N$33)),4)</f>
        <v>1.0325</v>
      </c>
      <c r="Y32" s="2400">
        <f>ROUND(SUMPRODUCT(PRODUCT(1+O32:O$33)),4)</f>
        <v>1.0353000000000001</v>
      </c>
      <c r="Z32" s="2400">
        <f t="shared" ref="Z32:Z33" si="187">Y32</f>
        <v>1.0353000000000001</v>
      </c>
      <c r="AA32" s="2400">
        <f>ROUND(SUMPRODUCT(PRODUCT(1+P32:P$33)),4)</f>
        <v>1.0326</v>
      </c>
      <c r="AB32" s="2400">
        <f>ROUND(SUMPRODUCT(PRODUCT(1+Q32:Q$33)),4)</f>
        <v>1.0225</v>
      </c>
      <c r="AD32" s="2401">
        <f>ROUND(AVERAGE(I32:I$34)/100,4)</f>
        <v>2.07E-2</v>
      </c>
      <c r="AE32" s="2401">
        <f>ROUND(AVERAGE(J32:J$34)/100,4)</f>
        <v>1.95E-2</v>
      </c>
      <c r="AF32" s="2401">
        <f t="shared" si="1"/>
        <v>1.95E-2</v>
      </c>
      <c r="AG32" s="2401">
        <f>ROUND(AVERAGE(K32:K$34)/100,4)</f>
        <v>2.1700000000000001E-2</v>
      </c>
      <c r="AH32" s="2401">
        <f>ROUND(AVERAGE(L32:L$34)/100,4)</f>
        <v>1.2E-2</v>
      </c>
    </row>
    <row r="33" spans="1:34" ht="13.5" thickBot="1">
      <c r="A33" s="2413" t="s">
        <v>145</v>
      </c>
      <c r="B33" s="2414">
        <f t="shared" si="185"/>
        <v>314.72141172386546</v>
      </c>
      <c r="C33" s="2414">
        <f t="shared" si="185"/>
        <v>263.03901319069001</v>
      </c>
      <c r="D33" s="2414">
        <f t="shared" si="180"/>
        <v>263.03901319069001</v>
      </c>
      <c r="E33" s="2414">
        <f t="shared" si="186"/>
        <v>433.65745506782821</v>
      </c>
      <c r="F33" s="2414">
        <f t="shared" si="186"/>
        <v>233.23005080045735</v>
      </c>
      <c r="G33" s="3426"/>
      <c r="H33" s="2434">
        <v>2</v>
      </c>
      <c r="I33" s="2434">
        <v>2.4</v>
      </c>
      <c r="J33" s="2434">
        <v>2.0299999999999998</v>
      </c>
      <c r="K33" s="2434">
        <v>2.59</v>
      </c>
      <c r="L33" s="2435">
        <v>1.52</v>
      </c>
      <c r="N33" s="2416">
        <f t="shared" si="182"/>
        <v>2.4E-2</v>
      </c>
      <c r="O33" s="2401">
        <f t="shared" si="177"/>
        <v>2.0299999999999999E-2</v>
      </c>
      <c r="P33" s="2401">
        <f t="shared" si="177"/>
        <v>2.5899999999999999E-2</v>
      </c>
      <c r="Q33" s="2401">
        <f t="shared" si="177"/>
        <v>1.52E-2</v>
      </c>
      <c r="R33" s="2417"/>
      <c r="S33" s="2416"/>
      <c r="T33" s="2401"/>
      <c r="U33" s="2401"/>
      <c r="V33" s="2401"/>
      <c r="X33" s="2400">
        <f>1+N33</f>
        <v>1.024</v>
      </c>
      <c r="Y33" s="2400">
        <f>1+O33</f>
        <v>1.0203</v>
      </c>
      <c r="Z33" s="2400">
        <f t="shared" si="187"/>
        <v>1.0203</v>
      </c>
      <c r="AA33" s="2400">
        <f>1+P33</f>
        <v>1.0259</v>
      </c>
      <c r="AB33" s="2400">
        <f>1+Q33</f>
        <v>1.0152000000000001</v>
      </c>
      <c r="AD33" s="2401">
        <f>ROUND(AVERAGE(I33:I$34)/100,4)</f>
        <v>2.69E-2</v>
      </c>
      <c r="AE33" s="2401">
        <f>ROUND(AVERAGE(J33:J$34)/100,4)</f>
        <v>2.1899999999999999E-2</v>
      </c>
      <c r="AF33" s="2401">
        <f t="shared" ref="AF33" si="188">AE33</f>
        <v>2.1899999999999999E-2</v>
      </c>
      <c r="AG33" s="2401">
        <f>ROUND(AVERAGE(K33:K$34)/100,4)</f>
        <v>2.9399999999999999E-2</v>
      </c>
      <c r="AH33" s="2401">
        <f>ROUND(AVERAGE(L33:L$34)/100,4)</f>
        <v>1.44E-2</v>
      </c>
    </row>
    <row r="34" spans="1:34" s="2450" customFormat="1" ht="13.5" thickBot="1">
      <c r="A34" s="2446" t="s">
        <v>144</v>
      </c>
      <c r="B34" s="2447">
        <f t="shared" si="185"/>
        <v>307.34512863658733</v>
      </c>
      <c r="C34" s="2447">
        <f t="shared" si="185"/>
        <v>257.80556031626975</v>
      </c>
      <c r="D34" s="2447">
        <f t="shared" si="180"/>
        <v>257.80556031626975</v>
      </c>
      <c r="E34" s="2447">
        <f t="shared" si="186"/>
        <v>422.70928459677179</v>
      </c>
      <c r="F34" s="2447">
        <f t="shared" si="186"/>
        <v>229.73803270336617</v>
      </c>
      <c r="G34" s="3427"/>
      <c r="H34" s="2448">
        <v>1</v>
      </c>
      <c r="I34" s="2448">
        <v>2.97</v>
      </c>
      <c r="J34" s="2448">
        <v>2.34</v>
      </c>
      <c r="K34" s="2448">
        <v>3.28</v>
      </c>
      <c r="L34" s="2449">
        <v>1.36</v>
      </c>
      <c r="N34" s="2451">
        <f t="shared" si="182"/>
        <v>2.9700000000000001E-2</v>
      </c>
      <c r="O34" s="2452">
        <f t="shared" si="177"/>
        <v>2.3399999999999997E-2</v>
      </c>
      <c r="P34" s="2452">
        <f t="shared" si="177"/>
        <v>3.2799999999999996E-2</v>
      </c>
      <c r="Q34" s="2452">
        <f t="shared" si="177"/>
        <v>1.3600000000000001E-2</v>
      </c>
      <c r="R34" s="2453"/>
      <c r="S34" s="2454">
        <f>B34/B35-1</f>
        <v>2.7910129219355539E-2</v>
      </c>
      <c r="T34" s="2455">
        <f>C34/C35-1</f>
        <v>2.3037937762975247E-2</v>
      </c>
      <c r="U34" s="2455">
        <f>E34/E35-1</f>
        <v>3.3519033243940788E-2</v>
      </c>
      <c r="V34" s="2455">
        <f>F34/F35-1</f>
        <v>1.2061818076502862E-2</v>
      </c>
      <c r="W34" s="2456" t="s">
        <v>1129</v>
      </c>
      <c r="X34" s="2457">
        <v>1</v>
      </c>
      <c r="Y34" s="2457">
        <v>1</v>
      </c>
      <c r="Z34" s="2457">
        <v>1</v>
      </c>
      <c r="AA34" s="2457">
        <v>1</v>
      </c>
      <c r="AB34" s="2457">
        <v>1</v>
      </c>
      <c r="AD34" s="2452">
        <f>I34/100</f>
        <v>2.9700000000000001E-2</v>
      </c>
      <c r="AE34" s="2452">
        <f>J34/100</f>
        <v>2.3399999999999997E-2</v>
      </c>
      <c r="AF34" s="2452">
        <f>AE34</f>
        <v>2.3399999999999997E-2</v>
      </c>
      <c r="AG34" s="2452">
        <f>K34/100</f>
        <v>3.2799999999999996E-2</v>
      </c>
      <c r="AH34" s="2452">
        <f>L34/100</f>
        <v>1.3600000000000001E-2</v>
      </c>
    </row>
    <row r="35" spans="1:34" ht="13.5" thickBot="1">
      <c r="A35" s="2413" t="s">
        <v>1130</v>
      </c>
      <c r="B35" s="2428">
        <v>299</v>
      </c>
      <c r="C35" s="2428">
        <v>252</v>
      </c>
      <c r="D35" s="2428">
        <f t="shared" si="180"/>
        <v>252</v>
      </c>
      <c r="E35" s="2428">
        <v>409</v>
      </c>
      <c r="F35" s="2429">
        <v>227</v>
      </c>
      <c r="G35" s="3430">
        <v>2013</v>
      </c>
      <c r="H35" s="2458">
        <v>4</v>
      </c>
      <c r="I35" s="2458">
        <v>1.83</v>
      </c>
      <c r="J35" s="2458">
        <v>1.68</v>
      </c>
      <c r="K35" s="2458">
        <v>1.97</v>
      </c>
      <c r="L35" s="2459">
        <v>0.87</v>
      </c>
      <c r="N35" s="2436">
        <f t="shared" si="182"/>
        <v>1.83E-2</v>
      </c>
      <c r="O35" s="2437">
        <f t="shared" si="177"/>
        <v>1.6799999999999999E-2</v>
      </c>
      <c r="P35" s="2437">
        <f t="shared" si="177"/>
        <v>1.9699999999999999E-2</v>
      </c>
      <c r="Q35" s="2437">
        <f t="shared" si="177"/>
        <v>8.6999999999999994E-3</v>
      </c>
      <c r="R35" s="2417"/>
      <c r="S35" s="2430"/>
      <c r="T35" s="2431"/>
      <c r="U35" s="2431"/>
      <c r="V35" s="2431"/>
      <c r="X35" s="2431"/>
      <c r="Y35" s="2431"/>
      <c r="Z35" s="2431"/>
    </row>
    <row r="36" spans="1:34">
      <c r="A36" s="2413" t="s">
        <v>1131</v>
      </c>
      <c r="B36" s="2414">
        <f t="shared" ref="B36:C38" si="189">B35/(1+N35)</f>
        <v>293.62663262299913</v>
      </c>
      <c r="C36" s="2414">
        <f t="shared" si="189"/>
        <v>247.83634933123525</v>
      </c>
      <c r="D36" s="2414">
        <f t="shared" si="180"/>
        <v>247.83634933123525</v>
      </c>
      <c r="E36" s="2414">
        <f t="shared" ref="E36:F38" si="190">E35/(1+P35)</f>
        <v>401.09836226341076</v>
      </c>
      <c r="F36" s="2414">
        <f t="shared" si="190"/>
        <v>225.04213343908003</v>
      </c>
      <c r="G36" s="3431"/>
      <c r="H36" s="2439">
        <v>3</v>
      </c>
      <c r="I36" s="2439">
        <v>1.86</v>
      </c>
      <c r="J36" s="2439">
        <v>1.72</v>
      </c>
      <c r="K36" s="2439">
        <v>1.98</v>
      </c>
      <c r="L36" s="2440">
        <v>0.88</v>
      </c>
      <c r="N36" s="2416">
        <f t="shared" si="182"/>
        <v>1.8600000000000002E-2</v>
      </c>
      <c r="O36" s="2441">
        <f t="shared" si="177"/>
        <v>1.72E-2</v>
      </c>
      <c r="P36" s="2441">
        <f t="shared" si="177"/>
        <v>1.9799999999999998E-2</v>
      </c>
      <c r="Q36" s="2441">
        <f t="shared" si="177"/>
        <v>8.8000000000000005E-3</v>
      </c>
      <c r="R36" s="2417"/>
      <c r="S36" s="2416"/>
      <c r="T36" s="2401"/>
      <c r="U36" s="2401"/>
      <c r="V36" s="2401"/>
    </row>
    <row r="37" spans="1:34">
      <c r="A37" s="2413" t="s">
        <v>1132</v>
      </c>
      <c r="B37" s="2414">
        <f t="shared" si="189"/>
        <v>288.2649053828776</v>
      </c>
      <c r="C37" s="2414">
        <f t="shared" si="189"/>
        <v>243.64564425013293</v>
      </c>
      <c r="D37" s="2414">
        <f t="shared" si="180"/>
        <v>243.64564425013293</v>
      </c>
      <c r="E37" s="2414">
        <f t="shared" si="190"/>
        <v>393.31080825986544</v>
      </c>
      <c r="F37" s="2414">
        <f t="shared" si="190"/>
        <v>223.07903790551154</v>
      </c>
      <c r="G37" s="3431"/>
      <c r="H37" s="2426">
        <v>2</v>
      </c>
      <c r="I37" s="2426">
        <v>2.04</v>
      </c>
      <c r="J37" s="2426">
        <v>2.33</v>
      </c>
      <c r="K37" s="2426">
        <v>2.0699999999999998</v>
      </c>
      <c r="L37" s="2427">
        <v>0.69</v>
      </c>
      <c r="N37" s="2416">
        <f t="shared" si="182"/>
        <v>2.0400000000000001E-2</v>
      </c>
      <c r="O37" s="2441">
        <f t="shared" si="177"/>
        <v>2.3300000000000001E-2</v>
      </c>
      <c r="P37" s="2441">
        <f t="shared" si="177"/>
        <v>2.07E-2</v>
      </c>
      <c r="Q37" s="2441">
        <f t="shared" si="177"/>
        <v>6.8999999999999999E-3</v>
      </c>
      <c r="R37" s="2417"/>
      <c r="S37" s="2416"/>
      <c r="T37" s="2401"/>
      <c r="U37" s="2401"/>
      <c r="V37" s="2401"/>
      <c r="X37" s="2460"/>
      <c r="Y37" s="2461"/>
    </row>
    <row r="38" spans="1:34">
      <c r="A38" s="2413" t="s">
        <v>1133</v>
      </c>
      <c r="B38" s="2414">
        <f t="shared" si="189"/>
        <v>282.50186729015837</v>
      </c>
      <c r="C38" s="2414">
        <f t="shared" si="189"/>
        <v>238.09796174155468</v>
      </c>
      <c r="D38" s="2414">
        <f t="shared" si="180"/>
        <v>238.09796174155468</v>
      </c>
      <c r="E38" s="2414">
        <f t="shared" si="190"/>
        <v>385.33438646014054</v>
      </c>
      <c r="F38" s="2414">
        <f t="shared" si="190"/>
        <v>221.55034055567739</v>
      </c>
      <c r="G38" s="3432"/>
      <c r="H38" s="2415">
        <v>1</v>
      </c>
      <c r="I38" s="2415">
        <v>1.67</v>
      </c>
      <c r="J38" s="2415">
        <v>1.31</v>
      </c>
      <c r="K38" s="2415">
        <v>1.85</v>
      </c>
      <c r="L38" s="2421">
        <v>0.96</v>
      </c>
      <c r="N38" s="2432">
        <f t="shared" si="182"/>
        <v>1.67E-2</v>
      </c>
      <c r="O38" s="2433">
        <f t="shared" si="182"/>
        <v>1.3100000000000001E-2</v>
      </c>
      <c r="P38" s="2433">
        <f t="shared" si="182"/>
        <v>1.8500000000000003E-2</v>
      </c>
      <c r="Q38" s="2433">
        <f t="shared" si="182"/>
        <v>9.5999999999999992E-3</v>
      </c>
      <c r="R38" s="2417"/>
      <c r="S38" s="2432">
        <f>B38/B39-1</f>
        <v>1.6193767230785472E-2</v>
      </c>
      <c r="T38" s="2433">
        <f>C38/C39-1</f>
        <v>1.7512657015190891E-2</v>
      </c>
      <c r="U38" s="2433">
        <f>E38/E39-1</f>
        <v>1.6713420739157048E-2</v>
      </c>
      <c r="V38" s="2433">
        <f>F38/F39-1</f>
        <v>7.0470025258062563E-3</v>
      </c>
      <c r="X38" s="2462"/>
      <c r="Y38" s="2401"/>
      <c r="Z38" s="2401"/>
    </row>
    <row r="39" spans="1:34" ht="13.5" thickBot="1">
      <c r="A39" s="2413" t="s">
        <v>1134</v>
      </c>
      <c r="B39" s="2463">
        <v>278</v>
      </c>
      <c r="C39" s="2463">
        <v>234</v>
      </c>
      <c r="D39" s="2463">
        <f t="shared" si="180"/>
        <v>234</v>
      </c>
      <c r="E39" s="2463">
        <v>379</v>
      </c>
      <c r="F39" s="2464">
        <v>220</v>
      </c>
      <c r="G39" s="3425">
        <v>2012</v>
      </c>
      <c r="H39" s="2434">
        <v>4</v>
      </c>
      <c r="I39" s="2434">
        <v>0.91</v>
      </c>
      <c r="J39" s="2434">
        <v>0.68</v>
      </c>
      <c r="K39" s="2434">
        <v>0.98</v>
      </c>
      <c r="L39" s="2435">
        <v>0.9</v>
      </c>
      <c r="N39" s="2416">
        <f t="shared" si="182"/>
        <v>9.1000000000000004E-3</v>
      </c>
      <c r="O39" s="2401">
        <f t="shared" si="182"/>
        <v>6.8000000000000005E-3</v>
      </c>
      <c r="P39" s="2401">
        <f t="shared" si="182"/>
        <v>9.7999999999999997E-3</v>
      </c>
      <c r="Q39" s="2401">
        <f t="shared" si="182"/>
        <v>9.0000000000000011E-3</v>
      </c>
      <c r="R39" s="2417"/>
      <c r="S39" s="2430"/>
      <c r="T39" s="2431"/>
      <c r="U39" s="2431"/>
      <c r="V39" s="2431"/>
      <c r="X39" s="2431"/>
      <c r="Y39" s="2431"/>
      <c r="Z39" s="2431"/>
    </row>
    <row r="40" spans="1:34">
      <c r="A40" s="2413" t="s">
        <v>1135</v>
      </c>
      <c r="B40" s="2414">
        <f>B39/(1+N39)</f>
        <v>275.49301357645425</v>
      </c>
      <c r="C40" s="2414">
        <f>C39/(1+O39)</f>
        <v>232.41954707985698</v>
      </c>
      <c r="D40" s="2414">
        <f t="shared" si="180"/>
        <v>232.41954707985698</v>
      </c>
      <c r="E40" s="2414">
        <f t="shared" ref="E40:F42" si="191">E39/(1+P39)</f>
        <v>375.32184591008121</v>
      </c>
      <c r="F40" s="2414">
        <f t="shared" si="191"/>
        <v>218.03766105054513</v>
      </c>
      <c r="G40" s="3426"/>
      <c r="H40" s="2439">
        <v>3</v>
      </c>
      <c r="I40" s="2439">
        <v>0.09</v>
      </c>
      <c r="J40" s="2439">
        <v>0.28999999999999998</v>
      </c>
      <c r="K40" s="2439">
        <v>-0.01</v>
      </c>
      <c r="L40" s="2440">
        <v>0.57999999999999996</v>
      </c>
      <c r="N40" s="2416">
        <f t="shared" si="182"/>
        <v>8.9999999999999998E-4</v>
      </c>
      <c r="O40" s="2401">
        <f t="shared" si="182"/>
        <v>2.8999999999999998E-3</v>
      </c>
      <c r="P40" s="2401">
        <f t="shared" si="182"/>
        <v>-1E-4</v>
      </c>
      <c r="Q40" s="2401">
        <f t="shared" si="182"/>
        <v>5.7999999999999996E-3</v>
      </c>
      <c r="R40" s="2417"/>
      <c r="S40" s="2416"/>
      <c r="T40" s="2401"/>
      <c r="U40" s="2401"/>
      <c r="V40" s="2401"/>
    </row>
    <row r="41" spans="1:34">
      <c r="A41" s="2413" t="s">
        <v>1136</v>
      </c>
      <c r="B41" s="2414">
        <f>B40/(1+N40)</f>
        <v>275.24529281292263</v>
      </c>
      <c r="C41" s="2414">
        <f>C40/(1+O40)</f>
        <v>231.74747938962707</v>
      </c>
      <c r="D41" s="2414">
        <f t="shared" si="180"/>
        <v>231.74747938962707</v>
      </c>
      <c r="E41" s="2414">
        <f t="shared" si="191"/>
        <v>375.35938184826603</v>
      </c>
      <c r="F41" s="2414">
        <f t="shared" si="191"/>
        <v>216.78033510692495</v>
      </c>
      <c r="G41" s="3426"/>
      <c r="H41" s="2426">
        <v>2</v>
      </c>
      <c r="I41" s="2426">
        <v>0.02</v>
      </c>
      <c r="J41" s="2426">
        <v>0.12</v>
      </c>
      <c r="K41" s="2426">
        <v>-0.08</v>
      </c>
      <c r="L41" s="2427">
        <v>1.24</v>
      </c>
      <c r="N41" s="2416">
        <f t="shared" si="182"/>
        <v>2.0000000000000001E-4</v>
      </c>
      <c r="O41" s="2401">
        <f t="shared" si="182"/>
        <v>1.1999999999999999E-3</v>
      </c>
      <c r="P41" s="2401">
        <f t="shared" si="182"/>
        <v>-8.0000000000000004E-4</v>
      </c>
      <c r="Q41" s="2401">
        <f t="shared" si="182"/>
        <v>1.24E-2</v>
      </c>
      <c r="R41" s="2417"/>
      <c r="S41" s="2416"/>
      <c r="T41" s="2401"/>
      <c r="U41" s="2401"/>
      <c r="V41" s="2401"/>
    </row>
    <row r="42" spans="1:34" ht="13.5" thickBot="1">
      <c r="A42" s="2413" t="s">
        <v>1137</v>
      </c>
      <c r="B42" s="2414">
        <f>B41/(1+N41)</f>
        <v>275.19025476197027</v>
      </c>
      <c r="C42" s="2465">
        <v>232</v>
      </c>
      <c r="D42" s="2465">
        <f t="shared" si="180"/>
        <v>232</v>
      </c>
      <c r="E42" s="2414">
        <f t="shared" si="191"/>
        <v>375.65990977608692</v>
      </c>
      <c r="F42" s="2414">
        <f t="shared" si="191"/>
        <v>214.12518283971252</v>
      </c>
      <c r="G42" s="3427"/>
      <c r="H42" s="2415">
        <v>1</v>
      </c>
      <c r="I42" s="2415">
        <v>0.02</v>
      </c>
      <c r="J42" s="2415">
        <v>0.13</v>
      </c>
      <c r="K42" s="2415">
        <v>-0.04</v>
      </c>
      <c r="L42" s="2421">
        <v>0.46</v>
      </c>
      <c r="N42" s="2416">
        <f t="shared" si="182"/>
        <v>2.0000000000000001E-4</v>
      </c>
      <c r="O42" s="2401">
        <f t="shared" si="182"/>
        <v>1.2999999999999999E-3</v>
      </c>
      <c r="P42" s="2401">
        <f t="shared" si="182"/>
        <v>-4.0000000000000002E-4</v>
      </c>
      <c r="Q42" s="2401">
        <f t="shared" si="182"/>
        <v>4.5999999999999999E-3</v>
      </c>
      <c r="R42" s="2417"/>
      <c r="S42" s="2432">
        <f>B42/B43-1</f>
        <v>6.9183549807361189E-4</v>
      </c>
      <c r="T42" s="2433">
        <f>C42/C43-1</f>
        <v>0</v>
      </c>
      <c r="U42" s="2433">
        <f>E42/E43-1</f>
        <v>-9.0449527636460303E-4</v>
      </c>
      <c r="V42" s="2433">
        <f>F42/F43-1</f>
        <v>5.2825485432512753E-3</v>
      </c>
      <c r="X42" s="2401"/>
      <c r="Y42" s="2401"/>
      <c r="Z42" s="2401"/>
    </row>
    <row r="43" spans="1:34" ht="13.5" thickBot="1">
      <c r="A43" s="2413" t="s">
        <v>1138</v>
      </c>
      <c r="B43" s="2428">
        <v>275</v>
      </c>
      <c r="C43" s="2428">
        <v>232</v>
      </c>
      <c r="D43" s="2428">
        <f t="shared" si="180"/>
        <v>232</v>
      </c>
      <c r="E43" s="2428">
        <v>376</v>
      </c>
      <c r="F43" s="2429">
        <v>213</v>
      </c>
      <c r="G43" s="3425">
        <v>2011</v>
      </c>
      <c r="H43" s="2434">
        <v>4</v>
      </c>
      <c r="I43" s="2434">
        <v>-0.2</v>
      </c>
      <c r="J43" s="2434">
        <v>0.04</v>
      </c>
      <c r="K43" s="2434">
        <v>-0.34</v>
      </c>
      <c r="L43" s="2435">
        <v>0.46</v>
      </c>
      <c r="N43" s="2436">
        <f t="shared" si="182"/>
        <v>-2E-3</v>
      </c>
      <c r="O43" s="2437">
        <f t="shared" si="182"/>
        <v>4.0000000000000002E-4</v>
      </c>
      <c r="P43" s="2437">
        <f t="shared" si="182"/>
        <v>-3.4000000000000002E-3</v>
      </c>
      <c r="Q43" s="2437">
        <f t="shared" si="182"/>
        <v>4.5999999999999999E-3</v>
      </c>
      <c r="R43" s="2417"/>
      <c r="S43" s="2430"/>
      <c r="T43" s="2431"/>
      <c r="U43" s="2431"/>
      <c r="V43" s="2431"/>
      <c r="X43" s="2431"/>
      <c r="Y43" s="2431"/>
      <c r="Z43" s="2431"/>
    </row>
    <row r="44" spans="1:34">
      <c r="A44" s="2413" t="s">
        <v>1139</v>
      </c>
      <c r="B44" s="2414">
        <f t="shared" ref="B44:C46" si="192">B43/(1+N43)</f>
        <v>275.55110220440883</v>
      </c>
      <c r="C44" s="2414">
        <f t="shared" si="192"/>
        <v>231.90723710515795</v>
      </c>
      <c r="D44" s="2414">
        <f t="shared" si="180"/>
        <v>231.90723710515795</v>
      </c>
      <c r="E44" s="2414">
        <f t="shared" ref="E44:F46" si="193">E43/(1+P43)</f>
        <v>377.28276138872161</v>
      </c>
      <c r="F44" s="2414">
        <f t="shared" si="193"/>
        <v>212.02468644236512</v>
      </c>
      <c r="G44" s="3426">
        <v>2011</v>
      </c>
      <c r="H44" s="2439">
        <v>3</v>
      </c>
      <c r="I44" s="2439">
        <v>0.13</v>
      </c>
      <c r="J44" s="2439">
        <v>0.75</v>
      </c>
      <c r="K44" s="2439">
        <v>-0.08</v>
      </c>
      <c r="L44" s="2440">
        <v>0.53</v>
      </c>
      <c r="N44" s="2416">
        <f t="shared" si="182"/>
        <v>1.2999999999999999E-3</v>
      </c>
      <c r="O44" s="2441">
        <f t="shared" si="182"/>
        <v>7.4999999999999997E-3</v>
      </c>
      <c r="P44" s="2441">
        <f t="shared" si="182"/>
        <v>-8.0000000000000004E-4</v>
      </c>
      <c r="Q44" s="2441">
        <f t="shared" si="182"/>
        <v>5.3E-3</v>
      </c>
      <c r="R44" s="2417"/>
      <c r="S44" s="2416"/>
      <c r="T44" s="2401"/>
      <c r="U44" s="2401"/>
      <c r="V44" s="2401"/>
    </row>
    <row r="45" spans="1:34">
      <c r="A45" s="2413" t="s">
        <v>1140</v>
      </c>
      <c r="B45" s="2414">
        <f t="shared" si="192"/>
        <v>275.19335084830601</v>
      </c>
      <c r="C45" s="2414">
        <f t="shared" si="192"/>
        <v>230.18088050139744</v>
      </c>
      <c r="D45" s="2414">
        <f t="shared" si="180"/>
        <v>230.18088050139744</v>
      </c>
      <c r="E45" s="2414">
        <f t="shared" si="193"/>
        <v>377.58482925212331</v>
      </c>
      <c r="F45" s="2414">
        <f t="shared" si="193"/>
        <v>210.90687997847917</v>
      </c>
      <c r="G45" s="3426">
        <v>2011</v>
      </c>
      <c r="H45" s="2426">
        <v>2</v>
      </c>
      <c r="I45" s="2426">
        <v>-0.4</v>
      </c>
      <c r="J45" s="2426">
        <v>0.17</v>
      </c>
      <c r="K45" s="2426">
        <v>-0.57999999999999996</v>
      </c>
      <c r="L45" s="2427">
        <v>-0.2</v>
      </c>
      <c r="N45" s="2416">
        <f t="shared" si="182"/>
        <v>-4.0000000000000001E-3</v>
      </c>
      <c r="O45" s="2441">
        <f t="shared" si="182"/>
        <v>1.7000000000000001E-3</v>
      </c>
      <c r="P45" s="2441">
        <f t="shared" si="182"/>
        <v>-5.7999999999999996E-3</v>
      </c>
      <c r="Q45" s="2441">
        <f t="shared" si="182"/>
        <v>-2E-3</v>
      </c>
      <c r="R45" s="2417"/>
      <c r="S45" s="2416"/>
      <c r="T45" s="2401"/>
      <c r="U45" s="2401"/>
      <c r="V45" s="2401"/>
    </row>
    <row r="46" spans="1:34" ht="13.5" thickBot="1">
      <c r="A46" s="2413" t="s">
        <v>1141</v>
      </c>
      <c r="B46" s="2414">
        <f t="shared" si="192"/>
        <v>276.29854502841971</v>
      </c>
      <c r="C46" s="2414">
        <f t="shared" si="192"/>
        <v>229.79023709833027</v>
      </c>
      <c r="D46" s="2414">
        <f t="shared" si="180"/>
        <v>229.79023709833027</v>
      </c>
      <c r="E46" s="2414">
        <f t="shared" si="193"/>
        <v>379.78759731655936</v>
      </c>
      <c r="F46" s="2414">
        <f t="shared" si="193"/>
        <v>211.32953905659235</v>
      </c>
      <c r="G46" s="3427">
        <v>2011</v>
      </c>
      <c r="H46" s="2415">
        <v>1</v>
      </c>
      <c r="I46" s="2415">
        <v>2.65</v>
      </c>
      <c r="J46" s="2415">
        <v>3.76</v>
      </c>
      <c r="K46" s="2415">
        <v>1.89</v>
      </c>
      <c r="L46" s="2421">
        <v>7.95</v>
      </c>
      <c r="N46" s="2432">
        <f t="shared" si="182"/>
        <v>2.6499999999999999E-2</v>
      </c>
      <c r="O46" s="2433">
        <f t="shared" si="182"/>
        <v>3.7599999999999995E-2</v>
      </c>
      <c r="P46" s="2433">
        <f t="shared" si="182"/>
        <v>1.89E-2</v>
      </c>
      <c r="Q46" s="2433">
        <f t="shared" si="182"/>
        <v>7.9500000000000001E-2</v>
      </c>
      <c r="R46" s="2417"/>
      <c r="S46" s="2432">
        <f>B46/B47-1</f>
        <v>2.713213765211786E-2</v>
      </c>
      <c r="T46" s="2433">
        <f>C46/C47-1</f>
        <v>3.9774828499231862E-2</v>
      </c>
      <c r="U46" s="2433">
        <f>E46/E47-1</f>
        <v>1.8197311840641772E-2</v>
      </c>
      <c r="V46" s="2433">
        <f>F46/F47-1</f>
        <v>7.8211933962205826E-2</v>
      </c>
      <c r="X46" s="2401"/>
      <c r="Y46" s="2401"/>
      <c r="Z46" s="2401"/>
    </row>
    <row r="47" spans="1:34" ht="13.5" thickBot="1">
      <c r="A47" s="2413" t="s">
        <v>1142</v>
      </c>
      <c r="B47" s="2428">
        <v>269</v>
      </c>
      <c r="C47" s="2428">
        <v>221</v>
      </c>
      <c r="D47" s="2428">
        <f t="shared" si="180"/>
        <v>221</v>
      </c>
      <c r="E47" s="2428">
        <v>373</v>
      </c>
      <c r="F47" s="2429">
        <v>196</v>
      </c>
      <c r="G47" s="3425">
        <v>2010</v>
      </c>
      <c r="H47" s="2434">
        <v>4</v>
      </c>
      <c r="I47" s="2434">
        <v>5.72</v>
      </c>
      <c r="J47" s="2434">
        <v>6.57</v>
      </c>
      <c r="K47" s="2434">
        <v>5.72</v>
      </c>
      <c r="L47" s="2435">
        <v>2.72</v>
      </c>
      <c r="N47" s="2416">
        <f t="shared" si="182"/>
        <v>5.7200000000000001E-2</v>
      </c>
      <c r="O47" s="2401">
        <f t="shared" si="182"/>
        <v>6.5700000000000008E-2</v>
      </c>
      <c r="P47" s="2401">
        <f t="shared" si="182"/>
        <v>5.7200000000000001E-2</v>
      </c>
      <c r="Q47" s="2401">
        <f t="shared" si="182"/>
        <v>2.7200000000000002E-2</v>
      </c>
      <c r="R47" s="2417"/>
      <c r="S47" s="2430"/>
      <c r="T47" s="2431"/>
      <c r="U47" s="2431"/>
      <c r="V47" s="2431"/>
      <c r="X47" s="2431"/>
      <c r="Y47" s="2431"/>
      <c r="Z47" s="2431"/>
    </row>
    <row r="48" spans="1:34">
      <c r="A48" s="2413" t="s">
        <v>1143</v>
      </c>
      <c r="B48" s="2414">
        <f t="shared" ref="B48:C50" si="194">B47/(1+N47)</f>
        <v>254.44570563753314</v>
      </c>
      <c r="C48" s="2414">
        <f t="shared" si="194"/>
        <v>207.37543398705074</v>
      </c>
      <c r="D48" s="2414">
        <f t="shared" si="180"/>
        <v>207.37543398705074</v>
      </c>
      <c r="E48" s="2414">
        <f t="shared" ref="E48:F50" si="195">E47/(1+P47)</f>
        <v>352.81876655315932</v>
      </c>
      <c r="F48" s="2414">
        <f t="shared" si="195"/>
        <v>190.809968847352</v>
      </c>
      <c r="G48" s="3426">
        <v>2010</v>
      </c>
      <c r="H48" s="2439">
        <v>3</v>
      </c>
      <c r="I48" s="2439">
        <v>4.7300000000000004</v>
      </c>
      <c r="J48" s="2439">
        <v>3.9</v>
      </c>
      <c r="K48" s="2439">
        <v>5.03</v>
      </c>
      <c r="L48" s="2440">
        <v>4.21</v>
      </c>
      <c r="N48" s="2416">
        <f t="shared" si="182"/>
        <v>4.7300000000000002E-2</v>
      </c>
      <c r="O48" s="2401">
        <f t="shared" si="182"/>
        <v>3.9E-2</v>
      </c>
      <c r="P48" s="2401">
        <f t="shared" si="182"/>
        <v>5.0300000000000004E-2</v>
      </c>
      <c r="Q48" s="2401">
        <f t="shared" si="182"/>
        <v>4.2099999999999999E-2</v>
      </c>
      <c r="R48" s="2417"/>
      <c r="S48" s="2416"/>
      <c r="T48" s="2401"/>
      <c r="U48" s="2401"/>
      <c r="V48" s="2401"/>
    </row>
    <row r="49" spans="1:26">
      <c r="A49" s="2413" t="s">
        <v>1144</v>
      </c>
      <c r="B49" s="2414">
        <f t="shared" si="194"/>
        <v>242.95398227588385</v>
      </c>
      <c r="C49" s="2414">
        <f t="shared" si="194"/>
        <v>199.59137053614126</v>
      </c>
      <c r="D49" s="2414">
        <f t="shared" si="180"/>
        <v>199.59137053614126</v>
      </c>
      <c r="E49" s="2414">
        <f t="shared" si="195"/>
        <v>335.92189522342125</v>
      </c>
      <c r="F49" s="2414">
        <f t="shared" si="195"/>
        <v>183.10139991109489</v>
      </c>
      <c r="G49" s="3426">
        <v>2010</v>
      </c>
      <c r="H49" s="2426">
        <v>2</v>
      </c>
      <c r="I49" s="2426">
        <v>4.6900000000000004</v>
      </c>
      <c r="J49" s="2426">
        <v>3.55</v>
      </c>
      <c r="K49" s="2426">
        <v>5.07</v>
      </c>
      <c r="L49" s="2427">
        <v>4.2300000000000004</v>
      </c>
      <c r="N49" s="2416">
        <f t="shared" si="182"/>
        <v>4.6900000000000004E-2</v>
      </c>
      <c r="O49" s="2401">
        <f t="shared" si="182"/>
        <v>3.5499999999999997E-2</v>
      </c>
      <c r="P49" s="2401">
        <f t="shared" si="182"/>
        <v>5.0700000000000002E-2</v>
      </c>
      <c r="Q49" s="2401">
        <f t="shared" si="182"/>
        <v>4.2300000000000004E-2</v>
      </c>
      <c r="R49" s="2417"/>
      <c r="S49" s="2416"/>
      <c r="T49" s="2401"/>
      <c r="U49" s="2401"/>
      <c r="V49" s="2401"/>
    </row>
    <row r="50" spans="1:26" ht="13.5" thickBot="1">
      <c r="A50" s="2413" t="s">
        <v>1145</v>
      </c>
      <c r="B50" s="2414">
        <f t="shared" si="194"/>
        <v>232.06990378821649</v>
      </c>
      <c r="C50" s="2414">
        <f t="shared" si="194"/>
        <v>192.74878854286936</v>
      </c>
      <c r="D50" s="2414">
        <f t="shared" si="180"/>
        <v>192.74878854286936</v>
      </c>
      <c r="E50" s="2414">
        <f t="shared" si="195"/>
        <v>319.71247284992984</v>
      </c>
      <c r="F50" s="2414">
        <f t="shared" si="195"/>
        <v>175.67053622862409</v>
      </c>
      <c r="G50" s="3427">
        <v>2010</v>
      </c>
      <c r="H50" s="2415">
        <v>1</v>
      </c>
      <c r="I50" s="2415">
        <v>5.4</v>
      </c>
      <c r="J50" s="2415">
        <v>3.2</v>
      </c>
      <c r="K50" s="2415">
        <v>6.16</v>
      </c>
      <c r="L50" s="2421">
        <v>4.51</v>
      </c>
      <c r="N50" s="2416">
        <f t="shared" si="182"/>
        <v>5.4000000000000006E-2</v>
      </c>
      <c r="O50" s="2401">
        <f t="shared" si="182"/>
        <v>3.2000000000000001E-2</v>
      </c>
      <c r="P50" s="2401">
        <f t="shared" si="182"/>
        <v>6.1600000000000002E-2</v>
      </c>
      <c r="Q50" s="2401">
        <f t="shared" si="182"/>
        <v>4.5100000000000001E-2</v>
      </c>
      <c r="R50" s="2417"/>
      <c r="S50" s="2432">
        <f>B50/B51-1</f>
        <v>5.4863199037347599E-2</v>
      </c>
      <c r="T50" s="2433">
        <f>C50/C51-1</f>
        <v>3.0742184721226584E-2</v>
      </c>
      <c r="U50" s="2433">
        <f>E50/E51-1</f>
        <v>6.2167683886810154E-2</v>
      </c>
      <c r="V50" s="2433">
        <f>F50/F51-1</f>
        <v>4.5657953741810031E-2</v>
      </c>
      <c r="X50" s="2401"/>
      <c r="Y50" s="2401"/>
      <c r="Z50" s="2401"/>
    </row>
    <row r="51" spans="1:26" ht="13.5" thickBot="1">
      <c r="A51" s="2413" t="s">
        <v>1146</v>
      </c>
      <c r="B51" s="2428">
        <v>220</v>
      </c>
      <c r="C51" s="2428">
        <v>187</v>
      </c>
      <c r="D51" s="2428">
        <f t="shared" si="180"/>
        <v>187</v>
      </c>
      <c r="E51" s="2428">
        <v>301</v>
      </c>
      <c r="F51" s="2429">
        <v>168</v>
      </c>
      <c r="G51" s="3425">
        <v>2009</v>
      </c>
      <c r="H51" s="2434">
        <v>4</v>
      </c>
      <c r="I51" s="2434">
        <v>2.2999999999999998</v>
      </c>
      <c r="J51" s="2434">
        <v>1.04</v>
      </c>
      <c r="K51" s="2434">
        <v>2.84</v>
      </c>
      <c r="L51" s="2435">
        <v>0.67</v>
      </c>
      <c r="N51" s="2436">
        <f t="shared" si="182"/>
        <v>2.3E-2</v>
      </c>
      <c r="O51" s="2437">
        <f t="shared" si="182"/>
        <v>1.04E-2</v>
      </c>
      <c r="P51" s="2437">
        <f t="shared" si="182"/>
        <v>2.8399999999999998E-2</v>
      </c>
      <c r="Q51" s="2437">
        <f t="shared" si="182"/>
        <v>6.7000000000000002E-3</v>
      </c>
      <c r="R51" s="2417"/>
      <c r="S51" s="2430"/>
      <c r="T51" s="2431"/>
      <c r="U51" s="2431"/>
      <c r="V51" s="2431"/>
      <c r="X51" s="2431"/>
      <c r="Y51" s="2431"/>
      <c r="Z51" s="2431"/>
    </row>
    <row r="52" spans="1:26">
      <c r="A52" s="2413" t="s">
        <v>1147</v>
      </c>
      <c r="B52" s="2414">
        <f t="shared" ref="B52:C54" si="196">B51/(1+N51)</f>
        <v>215.05376344086022</v>
      </c>
      <c r="C52" s="2414">
        <f t="shared" si="196"/>
        <v>185.0752177355503</v>
      </c>
      <c r="D52" s="2414">
        <f t="shared" si="180"/>
        <v>185.0752177355503</v>
      </c>
      <c r="E52" s="2414">
        <f t="shared" ref="E52:F54" si="197">E51/(1+P51)</f>
        <v>292.68767016725008</v>
      </c>
      <c r="F52" s="2414">
        <f t="shared" si="197"/>
        <v>166.88189132810174</v>
      </c>
      <c r="G52" s="3426">
        <v>2009</v>
      </c>
      <c r="H52" s="2439">
        <v>3</v>
      </c>
      <c r="I52" s="2439">
        <v>2.1</v>
      </c>
      <c r="J52" s="2439">
        <v>1.86</v>
      </c>
      <c r="K52" s="2439">
        <v>2.29</v>
      </c>
      <c r="L52" s="2440">
        <v>0.85</v>
      </c>
      <c r="N52" s="2416">
        <f t="shared" si="182"/>
        <v>2.1000000000000001E-2</v>
      </c>
      <c r="O52" s="2441">
        <f t="shared" si="182"/>
        <v>1.8600000000000002E-2</v>
      </c>
      <c r="P52" s="2441">
        <f t="shared" si="182"/>
        <v>2.29E-2</v>
      </c>
      <c r="Q52" s="2441">
        <f t="shared" si="182"/>
        <v>8.5000000000000006E-3</v>
      </c>
      <c r="R52" s="2417"/>
      <c r="S52" s="2416"/>
      <c r="T52" s="2401"/>
      <c r="U52" s="2401"/>
      <c r="V52" s="2401"/>
    </row>
    <row r="53" spans="1:26">
      <c r="A53" s="2413" t="s">
        <v>1148</v>
      </c>
      <c r="B53" s="2414">
        <f t="shared" si="196"/>
        <v>210.630522469011</v>
      </c>
      <c r="C53" s="2414">
        <f t="shared" si="196"/>
        <v>181.69567812247232</v>
      </c>
      <c r="D53" s="2414">
        <f t="shared" si="180"/>
        <v>181.69567812247232</v>
      </c>
      <c r="E53" s="2414">
        <f t="shared" si="197"/>
        <v>286.13517466736738</v>
      </c>
      <c r="F53" s="2414">
        <f t="shared" si="197"/>
        <v>165.47535084591149</v>
      </c>
      <c r="G53" s="3426">
        <v>2009</v>
      </c>
      <c r="H53" s="2426">
        <v>2</v>
      </c>
      <c r="I53" s="2426">
        <v>0.86</v>
      </c>
      <c r="J53" s="2426">
        <v>-1.1299999999999999</v>
      </c>
      <c r="K53" s="2426">
        <v>1.79</v>
      </c>
      <c r="L53" s="2427">
        <v>-2.0699999999999998</v>
      </c>
      <c r="N53" s="2416">
        <f t="shared" si="182"/>
        <v>8.6E-3</v>
      </c>
      <c r="O53" s="2441">
        <f t="shared" si="182"/>
        <v>-1.1299999999999999E-2</v>
      </c>
      <c r="P53" s="2441">
        <f t="shared" si="182"/>
        <v>1.7899999999999999E-2</v>
      </c>
      <c r="Q53" s="2441">
        <f t="shared" si="182"/>
        <v>-2.07E-2</v>
      </c>
      <c r="R53" s="2417"/>
      <c r="S53" s="2416"/>
      <c r="T53" s="2401"/>
      <c r="U53" s="2401"/>
      <c r="V53" s="2401"/>
    </row>
    <row r="54" spans="1:26">
      <c r="A54" s="2413" t="s">
        <v>1149</v>
      </c>
      <c r="B54" s="2414">
        <f t="shared" si="196"/>
        <v>208.83454537875372</v>
      </c>
      <c r="C54" s="2414">
        <f t="shared" si="196"/>
        <v>183.77230517090351</v>
      </c>
      <c r="D54" s="2414">
        <f t="shared" si="180"/>
        <v>183.77230517090351</v>
      </c>
      <c r="E54" s="2414">
        <f t="shared" si="197"/>
        <v>281.10342338870947</v>
      </c>
      <c r="F54" s="2414">
        <f t="shared" si="197"/>
        <v>168.97309388942256</v>
      </c>
      <c r="G54" s="3427">
        <v>2009</v>
      </c>
      <c r="H54" s="2415">
        <v>1</v>
      </c>
      <c r="I54" s="2415">
        <v>-2.64</v>
      </c>
      <c r="J54" s="2415">
        <v>-2.5299999999999998</v>
      </c>
      <c r="K54" s="2415">
        <v>-3.02</v>
      </c>
      <c r="L54" s="2421">
        <v>1.52</v>
      </c>
      <c r="N54" s="2432">
        <f t="shared" si="182"/>
        <v>-2.64E-2</v>
      </c>
      <c r="O54" s="2433">
        <f t="shared" si="182"/>
        <v>-2.53E-2</v>
      </c>
      <c r="P54" s="2433">
        <f t="shared" si="182"/>
        <v>-3.0200000000000001E-2</v>
      </c>
      <c r="Q54" s="2433">
        <f t="shared" si="182"/>
        <v>1.52E-2</v>
      </c>
      <c r="R54" s="2417"/>
      <c r="S54" s="2432">
        <f>B54/B55-1</f>
        <v>-2.4137638417038754E-2</v>
      </c>
      <c r="T54" s="2433">
        <f>C54/C55-1</f>
        <v>-2.248773845264096E-2</v>
      </c>
      <c r="U54" s="2433">
        <f>E54/E55-1</f>
        <v>-2.7323794502735366E-2</v>
      </c>
      <c r="V54" s="2433">
        <f>F54/F55-1</f>
        <v>1.7910204153148035E-2</v>
      </c>
      <c r="X54" s="2401"/>
      <c r="Y54" s="2401"/>
      <c r="Z54" s="2401"/>
    </row>
    <row r="55" spans="1:26" ht="13.5" thickBot="1">
      <c r="A55" s="2413" t="s">
        <v>1150</v>
      </c>
      <c r="B55" s="2463">
        <v>214</v>
      </c>
      <c r="C55" s="2463">
        <v>188</v>
      </c>
      <c r="D55" s="2463">
        <f t="shared" si="180"/>
        <v>188</v>
      </c>
      <c r="E55" s="2463">
        <v>289</v>
      </c>
      <c r="F55" s="2464">
        <v>166</v>
      </c>
      <c r="G55" s="3425">
        <v>2008</v>
      </c>
      <c r="H55" s="2434">
        <v>4</v>
      </c>
      <c r="I55" s="2434">
        <v>1.73</v>
      </c>
      <c r="J55" s="2434">
        <v>0.03</v>
      </c>
      <c r="K55" s="2434">
        <v>2.59</v>
      </c>
      <c r="L55" s="2435">
        <v>-1.66</v>
      </c>
      <c r="N55" s="2416">
        <f t="shared" si="182"/>
        <v>1.7299999999999999E-2</v>
      </c>
      <c r="O55" s="2401">
        <f t="shared" si="182"/>
        <v>2.9999999999999997E-4</v>
      </c>
      <c r="P55" s="2401">
        <f t="shared" si="182"/>
        <v>2.5899999999999999E-2</v>
      </c>
      <c r="Q55" s="2401">
        <f t="shared" si="182"/>
        <v>-1.66E-2</v>
      </c>
      <c r="R55" s="2417"/>
      <c r="S55" s="2430"/>
      <c r="T55" s="2431"/>
      <c r="U55" s="2431"/>
      <c r="V55" s="2431"/>
      <c r="X55" s="2431"/>
      <c r="Y55" s="2431"/>
      <c r="Z55" s="2431"/>
    </row>
    <row r="56" spans="1:26">
      <c r="A56" s="2413" t="s">
        <v>1151</v>
      </c>
      <c r="B56" s="2414">
        <f t="shared" ref="B56:C58" si="198">B55/(1+N55)</f>
        <v>210.36075887152265</v>
      </c>
      <c r="C56" s="2414">
        <f t="shared" si="198"/>
        <v>187.94361691492554</v>
      </c>
      <c r="D56" s="2414">
        <f t="shared" si="180"/>
        <v>187.94361691492554</v>
      </c>
      <c r="E56" s="2414">
        <f t="shared" ref="E56:F58" si="199">E55/(1+P55)</f>
        <v>281.70386977288234</v>
      </c>
      <c r="F56" s="2414">
        <f t="shared" si="199"/>
        <v>168.80211511083994</v>
      </c>
      <c r="G56" s="3426">
        <v>2008</v>
      </c>
      <c r="H56" s="2439">
        <v>3</v>
      </c>
      <c r="I56" s="2439">
        <v>1.96</v>
      </c>
      <c r="J56" s="2439">
        <v>2.36</v>
      </c>
      <c r="K56" s="2439">
        <v>1.82</v>
      </c>
      <c r="L56" s="2440">
        <v>2.2200000000000002</v>
      </c>
      <c r="N56" s="2416">
        <f t="shared" si="182"/>
        <v>1.9599999999999999E-2</v>
      </c>
      <c r="O56" s="2401">
        <f t="shared" si="182"/>
        <v>2.3599999999999999E-2</v>
      </c>
      <c r="P56" s="2401">
        <f t="shared" si="182"/>
        <v>1.8200000000000001E-2</v>
      </c>
      <c r="Q56" s="2401">
        <f t="shared" si="182"/>
        <v>2.2200000000000001E-2</v>
      </c>
      <c r="R56" s="2417"/>
      <c r="S56" s="2416"/>
      <c r="T56" s="2401"/>
      <c r="U56" s="2401"/>
      <c r="V56" s="2401"/>
    </row>
    <row r="57" spans="1:26">
      <c r="A57" s="2413" t="s">
        <v>1152</v>
      </c>
      <c r="B57" s="2414">
        <f t="shared" si="198"/>
        <v>206.31694671589116</v>
      </c>
      <c r="C57" s="2414">
        <f t="shared" si="198"/>
        <v>183.61041121036101</v>
      </c>
      <c r="D57" s="2414">
        <f t="shared" si="180"/>
        <v>183.61041121036101</v>
      </c>
      <c r="E57" s="2414">
        <f t="shared" si="199"/>
        <v>276.66850301795557</v>
      </c>
      <c r="F57" s="2414">
        <f t="shared" si="199"/>
        <v>165.1360938278614</v>
      </c>
      <c r="G57" s="3426">
        <v>2008</v>
      </c>
      <c r="H57" s="2426">
        <v>2</v>
      </c>
      <c r="I57" s="2426">
        <v>4.93</v>
      </c>
      <c r="J57" s="2426">
        <v>7.38</v>
      </c>
      <c r="K57" s="2426">
        <v>3.98</v>
      </c>
      <c r="L57" s="2427">
        <v>6.86</v>
      </c>
      <c r="N57" s="2416">
        <f t="shared" si="182"/>
        <v>4.9299999999999997E-2</v>
      </c>
      <c r="O57" s="2401">
        <f t="shared" si="182"/>
        <v>7.3800000000000004E-2</v>
      </c>
      <c r="P57" s="2401">
        <f t="shared" si="182"/>
        <v>3.9800000000000002E-2</v>
      </c>
      <c r="Q57" s="2401">
        <f t="shared" si="182"/>
        <v>6.8600000000000008E-2</v>
      </c>
      <c r="R57" s="2417"/>
      <c r="S57" s="2416"/>
      <c r="T57" s="2401"/>
      <c r="U57" s="2401"/>
      <c r="V57" s="2401"/>
    </row>
    <row r="58" spans="1:26" s="2469" customFormat="1" ht="13.5" thickBot="1">
      <c r="A58" s="2413" t="s">
        <v>1153</v>
      </c>
      <c r="B58" s="2466">
        <f t="shared" si="198"/>
        <v>196.62341248059772</v>
      </c>
      <c r="C58" s="2466">
        <f t="shared" si="198"/>
        <v>170.99125648199012</v>
      </c>
      <c r="D58" s="2466">
        <f t="shared" si="180"/>
        <v>170.99125648199012</v>
      </c>
      <c r="E58" s="2466">
        <f t="shared" si="199"/>
        <v>266.07857570490052</v>
      </c>
      <c r="F58" s="2466">
        <f t="shared" si="199"/>
        <v>154.53499328828505</v>
      </c>
      <c r="G58" s="3427">
        <v>2008</v>
      </c>
      <c r="H58" s="2467">
        <v>1</v>
      </c>
      <c r="I58" s="2467">
        <v>4.1399999999999997</v>
      </c>
      <c r="J58" s="2467">
        <v>3.45</v>
      </c>
      <c r="K58" s="2467">
        <v>4.95</v>
      </c>
      <c r="L58" s="2468">
        <v>4.82</v>
      </c>
      <c r="N58" s="2470">
        <f t="shared" si="182"/>
        <v>4.1399999999999999E-2</v>
      </c>
      <c r="O58" s="2471">
        <f t="shared" si="182"/>
        <v>3.4500000000000003E-2</v>
      </c>
      <c r="P58" s="2471">
        <f t="shared" si="182"/>
        <v>4.9500000000000002E-2</v>
      </c>
      <c r="Q58" s="2471">
        <f t="shared" si="182"/>
        <v>4.82E-2</v>
      </c>
      <c r="R58" s="2472"/>
      <c r="S58" s="2470">
        <f>B58/B59-1</f>
        <v>4.5869215322328349E-2</v>
      </c>
      <c r="T58" s="2471">
        <f>C58/C59-1</f>
        <v>3.6310645345394743E-2</v>
      </c>
      <c r="U58" s="2471">
        <f>E58/E59-1</f>
        <v>4.7553447657088688E-2</v>
      </c>
      <c r="V58" s="2471">
        <f>F58/F59-1</f>
        <v>4.4155360055980086E-2</v>
      </c>
      <c r="X58" s="2471"/>
      <c r="Y58" s="2471"/>
      <c r="Z58" s="2471"/>
    </row>
    <row r="59" spans="1:26" ht="13.5" thickBot="1">
      <c r="A59" s="2413" t="s">
        <v>1154</v>
      </c>
      <c r="B59" s="2428">
        <v>188</v>
      </c>
      <c r="C59" s="2428">
        <v>165</v>
      </c>
      <c r="D59" s="2428">
        <f t="shared" si="180"/>
        <v>165</v>
      </c>
      <c r="E59" s="2428">
        <v>254</v>
      </c>
      <c r="F59" s="2429">
        <v>148</v>
      </c>
      <c r="G59" s="3425">
        <v>2007</v>
      </c>
      <c r="H59" s="2473">
        <v>4</v>
      </c>
      <c r="I59" s="2473">
        <v>5.51</v>
      </c>
      <c r="J59" s="2473">
        <v>4.8899999999999997</v>
      </c>
      <c r="K59" s="2473">
        <v>6.43</v>
      </c>
      <c r="L59" s="2474">
        <v>5.36</v>
      </c>
      <c r="N59" s="2475">
        <f t="shared" ref="N59:O62" si="200">B59/B60-1</f>
        <v>4.1339718365245526E-2</v>
      </c>
      <c r="O59" s="2476">
        <f t="shared" si="200"/>
        <v>4.0324492593776018E-2</v>
      </c>
      <c r="P59" s="2476">
        <f t="shared" ref="P59:Q62" si="201">E59/E60-1</f>
        <v>6.1625555347990968E-2</v>
      </c>
      <c r="Q59" s="2476">
        <f t="shared" si="201"/>
        <v>4.6757569250590603E-2</v>
      </c>
      <c r="R59" s="2417"/>
      <c r="S59" s="2430"/>
      <c r="T59" s="2431"/>
      <c r="U59" s="2431"/>
      <c r="V59" s="2431"/>
      <c r="X59" s="2431"/>
      <c r="Y59" s="2431"/>
      <c r="Z59" s="2431"/>
    </row>
    <row r="60" spans="1:26">
      <c r="A60" s="2413" t="s">
        <v>1155</v>
      </c>
      <c r="B60" s="2414">
        <f t="shared" ref="B60:C62" si="202">B61+(B$59-B$63)*I60/SUM(I$59:I$62)</f>
        <v>180.5366651097618</v>
      </c>
      <c r="C60" s="2414">
        <f t="shared" si="202"/>
        <v>158.60435967302453</v>
      </c>
      <c r="D60" s="2414">
        <f t="shared" si="180"/>
        <v>158.60435967302453</v>
      </c>
      <c r="E60" s="2414">
        <f t="shared" ref="E60:F62" si="203">E61+(E$59-E$63)*K60/SUM(K$59:K$62)</f>
        <v>239.25573260785075</v>
      </c>
      <c r="F60" s="2414">
        <f t="shared" si="203"/>
        <v>141.38899430740037</v>
      </c>
      <c r="G60" s="3426">
        <v>2007</v>
      </c>
      <c r="H60" s="2439">
        <v>3</v>
      </c>
      <c r="I60" s="2439">
        <v>8.65</v>
      </c>
      <c r="J60" s="2439">
        <v>8.06</v>
      </c>
      <c r="K60" s="2439">
        <v>9.94</v>
      </c>
      <c r="L60" s="2440">
        <v>5.8</v>
      </c>
      <c r="N60" s="2475">
        <f t="shared" si="200"/>
        <v>6.940217571740015E-2</v>
      </c>
      <c r="O60" s="2476">
        <f t="shared" si="200"/>
        <v>7.1197482471153428E-2</v>
      </c>
      <c r="P60" s="2476">
        <f t="shared" si="201"/>
        <v>0.10529679922579582</v>
      </c>
      <c r="Q60" s="2476">
        <f t="shared" si="201"/>
        <v>5.3292245059512133E-2</v>
      </c>
      <c r="R60" s="2417"/>
      <c r="S60" s="2416"/>
      <c r="T60" s="2401"/>
      <c r="U60" s="2401"/>
      <c r="V60" s="2401"/>
      <c r="X60" s="2477"/>
      <c r="Y60" s="2477"/>
      <c r="Z60" s="2477"/>
    </row>
    <row r="61" spans="1:26">
      <c r="A61" s="2413" t="s">
        <v>1156</v>
      </c>
      <c r="B61" s="2414">
        <f t="shared" si="202"/>
        <v>168.82017748715555</v>
      </c>
      <c r="C61" s="2414">
        <f t="shared" si="202"/>
        <v>148.06267029972753</v>
      </c>
      <c r="D61" s="2414">
        <f t="shared" si="180"/>
        <v>148.06267029972753</v>
      </c>
      <c r="E61" s="2414">
        <f t="shared" si="203"/>
        <v>216.46288379323747</v>
      </c>
      <c r="F61" s="2414">
        <f t="shared" si="203"/>
        <v>134.23529411764704</v>
      </c>
      <c r="G61" s="3426">
        <v>2007</v>
      </c>
      <c r="H61" s="2426">
        <v>2</v>
      </c>
      <c r="I61" s="2426">
        <v>3.67</v>
      </c>
      <c r="J61" s="2426">
        <v>2.3199999999999998</v>
      </c>
      <c r="K61" s="2426">
        <v>5.0199999999999996</v>
      </c>
      <c r="L61" s="2427">
        <v>6.71</v>
      </c>
      <c r="N61" s="2475">
        <f t="shared" si="200"/>
        <v>3.0339138143848032E-2</v>
      </c>
      <c r="O61" s="2476">
        <f t="shared" si="200"/>
        <v>2.0922341588790472E-2</v>
      </c>
      <c r="P61" s="2476">
        <f t="shared" si="201"/>
        <v>5.6164796592717003E-2</v>
      </c>
      <c r="Q61" s="2476">
        <f t="shared" si="201"/>
        <v>6.5704536723887319E-2</v>
      </c>
      <c r="R61" s="2417"/>
      <c r="S61" s="2416"/>
      <c r="T61" s="2401"/>
      <c r="U61" s="2401"/>
      <c r="V61" s="2401"/>
      <c r="X61" s="2477"/>
      <c r="Y61" s="2477"/>
      <c r="Z61" s="2477"/>
    </row>
    <row r="62" spans="1:26">
      <c r="A62" s="2413" t="s">
        <v>1157</v>
      </c>
      <c r="B62" s="2414">
        <f t="shared" si="202"/>
        <v>163.84913591779542</v>
      </c>
      <c r="C62" s="2414">
        <f t="shared" si="202"/>
        <v>145.0283378746594</v>
      </c>
      <c r="D62" s="2414">
        <f t="shared" si="180"/>
        <v>145.0283378746594</v>
      </c>
      <c r="E62" s="2414">
        <f t="shared" si="203"/>
        <v>204.95180722891567</v>
      </c>
      <c r="F62" s="2414">
        <f t="shared" si="203"/>
        <v>125.95920303605313</v>
      </c>
      <c r="G62" s="3427">
        <v>2007</v>
      </c>
      <c r="H62" s="2415">
        <v>1</v>
      </c>
      <c r="I62" s="2415">
        <v>3.58</v>
      </c>
      <c r="J62" s="2415">
        <v>3.08</v>
      </c>
      <c r="K62" s="2415">
        <v>4.34</v>
      </c>
      <c r="L62" s="2421">
        <v>3.21</v>
      </c>
      <c r="N62" s="2478">
        <f t="shared" si="200"/>
        <v>3.0497710174814063E-2</v>
      </c>
      <c r="O62" s="2479">
        <f t="shared" si="200"/>
        <v>2.8569772160704998E-2</v>
      </c>
      <c r="P62" s="2479">
        <f t="shared" si="201"/>
        <v>5.1034908866234296E-2</v>
      </c>
      <c r="Q62" s="2479">
        <f t="shared" si="201"/>
        <v>3.245248390207478E-2</v>
      </c>
      <c r="R62" s="2417"/>
      <c r="S62" s="2432">
        <f>B62/B63-1</f>
        <v>3.0497710174814063E-2</v>
      </c>
      <c r="T62" s="2433">
        <f>C62/C63-1</f>
        <v>2.8569772160704998E-2</v>
      </c>
      <c r="U62" s="2433">
        <f>E62/E63-1</f>
        <v>5.1034908866234296E-2</v>
      </c>
      <c r="V62" s="2433">
        <f>F62/F63-1</f>
        <v>3.245248390207478E-2</v>
      </c>
      <c r="X62" s="2477"/>
      <c r="Y62" s="2477"/>
      <c r="Z62" s="2477"/>
    </row>
    <row r="63" spans="1:26" ht="13.5" thickBot="1">
      <c r="A63" s="2413" t="s">
        <v>1158</v>
      </c>
      <c r="B63" s="2442">
        <v>159</v>
      </c>
      <c r="C63" s="2442">
        <v>141</v>
      </c>
      <c r="D63" s="2442">
        <f t="shared" si="180"/>
        <v>141</v>
      </c>
      <c r="E63" s="2442">
        <v>195</v>
      </c>
      <c r="F63" s="2443">
        <v>122</v>
      </c>
      <c r="G63" s="3425">
        <v>2006</v>
      </c>
      <c r="H63" s="2434">
        <v>4</v>
      </c>
      <c r="I63" s="2434">
        <v>3.79</v>
      </c>
      <c r="J63" s="2434">
        <v>2.21</v>
      </c>
      <c r="K63" s="2434">
        <v>5.65</v>
      </c>
      <c r="L63" s="2435">
        <v>5.41</v>
      </c>
      <c r="N63" s="2475">
        <f t="shared" ref="N63:O66" si="204">I63/SUM(I$63:I$66)*(B$63/B$67-1)</f>
        <v>7.245466462748526E-2</v>
      </c>
      <c r="O63" s="2476">
        <f t="shared" si="204"/>
        <v>2.3237230038062766E-2</v>
      </c>
      <c r="P63" s="2476">
        <f t="shared" ref="P63:Q66" si="205">K63/SUM(K$63:K$66)*(E$63/E$67-1)</f>
        <v>0.16146893866323722</v>
      </c>
      <c r="Q63" s="2476">
        <f t="shared" si="205"/>
        <v>5.0755230321793784E-2</v>
      </c>
      <c r="R63" s="2417"/>
      <c r="S63" s="2430"/>
      <c r="T63" s="2431"/>
      <c r="U63" s="2431"/>
      <c r="V63" s="2431"/>
      <c r="X63" s="2477"/>
      <c r="Y63" s="2477"/>
      <c r="Z63" s="2477"/>
    </row>
    <row r="64" spans="1:26">
      <c r="A64" s="2413" t="s">
        <v>1159</v>
      </c>
      <c r="B64" s="2414">
        <f t="shared" ref="B64:C66" si="206">B65+(B$63-B$67)*I64/SUM(I$63:I$66)</f>
        <v>149.00125628140702</v>
      </c>
      <c r="C64" s="2414">
        <f t="shared" si="206"/>
        <v>137.95592286501378</v>
      </c>
      <c r="D64" s="2414">
        <f t="shared" si="180"/>
        <v>137.95592286501378</v>
      </c>
      <c r="E64" s="2414">
        <f t="shared" ref="E64:F66" si="207">E65+(E$63-E$67)*K64/SUM(K$63:K$66)</f>
        <v>169.97231450719823</v>
      </c>
      <c r="F64" s="2414">
        <f t="shared" si="207"/>
        <v>116.21390374331551</v>
      </c>
      <c r="G64" s="3426">
        <v>2006</v>
      </c>
      <c r="H64" s="2439">
        <v>3</v>
      </c>
      <c r="I64" s="2439">
        <v>0.92</v>
      </c>
      <c r="J64" s="2439">
        <v>1.08</v>
      </c>
      <c r="K64" s="2439">
        <v>0.73</v>
      </c>
      <c r="L64" s="2440">
        <v>1.08</v>
      </c>
      <c r="N64" s="2475">
        <f t="shared" si="204"/>
        <v>1.7587939698492462E-2</v>
      </c>
      <c r="O64" s="2476">
        <f t="shared" si="204"/>
        <v>1.1355750425840628E-2</v>
      </c>
      <c r="P64" s="2476">
        <f t="shared" si="205"/>
        <v>2.0862358446754544E-2</v>
      </c>
      <c r="Q64" s="2476">
        <f t="shared" si="205"/>
        <v>1.0132282578103011E-2</v>
      </c>
      <c r="R64" s="2417"/>
      <c r="S64" s="2416"/>
      <c r="T64" s="2401"/>
      <c r="U64" s="2401"/>
      <c r="V64" s="2401"/>
      <c r="X64" s="2477"/>
      <c r="Y64" s="2477"/>
      <c r="Z64" s="2477"/>
    </row>
    <row r="65" spans="1:26">
      <c r="A65" s="2413" t="s">
        <v>1160</v>
      </c>
      <c r="B65" s="2414">
        <f t="shared" si="206"/>
        <v>146.57412060301507</v>
      </c>
      <c r="C65" s="2414">
        <f t="shared" si="206"/>
        <v>136.46831955922866</v>
      </c>
      <c r="D65" s="2414">
        <f t="shared" si="180"/>
        <v>136.46831955922866</v>
      </c>
      <c r="E65" s="2414">
        <f t="shared" si="207"/>
        <v>166.73864894795128</v>
      </c>
      <c r="F65" s="2414">
        <f t="shared" si="207"/>
        <v>115.05882352941177</v>
      </c>
      <c r="G65" s="3426">
        <v>2006</v>
      </c>
      <c r="H65" s="2426">
        <v>2</v>
      </c>
      <c r="I65" s="2426">
        <v>0.96</v>
      </c>
      <c r="J65" s="2426">
        <v>0.25</v>
      </c>
      <c r="K65" s="2426">
        <v>1.9</v>
      </c>
      <c r="L65" s="2427">
        <v>0.95</v>
      </c>
      <c r="N65" s="2475">
        <f t="shared" si="204"/>
        <v>1.8352632728861701E-2</v>
      </c>
      <c r="O65" s="2476">
        <f t="shared" si="204"/>
        <v>2.6286459319075526E-3</v>
      </c>
      <c r="P65" s="2476">
        <f t="shared" si="205"/>
        <v>5.4299289107991269E-2</v>
      </c>
      <c r="Q65" s="2476">
        <f t="shared" si="205"/>
        <v>8.9126559714794995E-3</v>
      </c>
      <c r="R65" s="2417"/>
      <c r="S65" s="2416"/>
      <c r="T65" s="2401"/>
      <c r="U65" s="2401"/>
      <c r="V65" s="2401"/>
      <c r="X65" s="2477"/>
      <c r="Y65" s="2477"/>
      <c r="Z65" s="2477"/>
    </row>
    <row r="66" spans="1:26">
      <c r="A66" s="2413" t="s">
        <v>1161</v>
      </c>
      <c r="B66" s="2414">
        <f t="shared" si="206"/>
        <v>144.04145728643215</v>
      </c>
      <c r="C66" s="2414">
        <f t="shared" si="206"/>
        <v>136.12396694214877</v>
      </c>
      <c r="D66" s="2414">
        <f t="shared" si="180"/>
        <v>136.12396694214877</v>
      </c>
      <c r="E66" s="2414">
        <f t="shared" si="207"/>
        <v>158.32225913621264</v>
      </c>
      <c r="F66" s="2414">
        <f t="shared" si="207"/>
        <v>114.04278074866311</v>
      </c>
      <c r="G66" s="3427">
        <v>2006</v>
      </c>
      <c r="H66" s="2415">
        <v>1</v>
      </c>
      <c r="I66" s="2415">
        <v>2.29</v>
      </c>
      <c r="J66" s="2415">
        <v>3.72</v>
      </c>
      <c r="K66" s="2415">
        <v>0.75</v>
      </c>
      <c r="L66" s="2421">
        <v>0.04</v>
      </c>
      <c r="N66" s="2478">
        <f t="shared" si="204"/>
        <v>4.3778675988638847E-2</v>
      </c>
      <c r="O66" s="2479">
        <f t="shared" si="204"/>
        <v>3.9114251466784385E-2</v>
      </c>
      <c r="P66" s="2479">
        <f t="shared" si="205"/>
        <v>2.1433929911049188E-2</v>
      </c>
      <c r="Q66" s="2479">
        <f t="shared" si="205"/>
        <v>3.7526972511492629E-4</v>
      </c>
      <c r="R66" s="2417"/>
      <c r="S66" s="2432">
        <f>B66/B67-1</f>
        <v>4.3778675988638716E-2</v>
      </c>
      <c r="T66" s="2433">
        <f>C66/C67-1</f>
        <v>3.91142514667846E-2</v>
      </c>
      <c r="U66" s="2433">
        <f>E66/E67-1</f>
        <v>2.143392991104931E-2</v>
      </c>
      <c r="V66" s="2433">
        <f>F66/F67-1</f>
        <v>3.7526972511492396E-4</v>
      </c>
      <c r="X66" s="2477"/>
      <c r="Y66" s="2477"/>
      <c r="Z66" s="2477"/>
    </row>
    <row r="67" spans="1:26" ht="13.5" thickBot="1">
      <c r="A67" s="2413" t="s">
        <v>1162</v>
      </c>
      <c r="B67" s="2442">
        <v>138</v>
      </c>
      <c r="C67" s="2442">
        <v>131</v>
      </c>
      <c r="D67" s="2442">
        <f t="shared" si="180"/>
        <v>131</v>
      </c>
      <c r="E67" s="2442">
        <v>155</v>
      </c>
      <c r="F67" s="2443">
        <v>114</v>
      </c>
      <c r="G67" s="3425">
        <v>2005</v>
      </c>
      <c r="H67" s="2434">
        <v>4</v>
      </c>
      <c r="I67" s="2434">
        <v>3.29</v>
      </c>
      <c r="J67" s="2434">
        <v>1.44</v>
      </c>
      <c r="K67" s="2434">
        <v>0.66</v>
      </c>
      <c r="L67" s="2435">
        <v>7.78</v>
      </c>
      <c r="N67" s="2475">
        <f t="shared" ref="N67:O70" si="208">I67/SUM(I$67:I$70)*(B$67/B$71-1)</f>
        <v>9.9404603216919935E-2</v>
      </c>
      <c r="O67" s="2476">
        <f t="shared" si="208"/>
        <v>4.7636550760861554E-2</v>
      </c>
      <c r="P67" s="2476">
        <f t="shared" ref="P67:Q70" si="209">K67/SUM(K$67:K$70)*(E$67/E$71-1)</f>
        <v>8.3756345177664976E-2</v>
      </c>
      <c r="Q67" s="2476">
        <f t="shared" si="209"/>
        <v>5.2148766661559584E-2</v>
      </c>
      <c r="R67" s="2417"/>
      <c r="S67" s="2430"/>
      <c r="T67" s="2431"/>
      <c r="U67" s="2431"/>
      <c r="V67" s="2431"/>
      <c r="X67" s="2477"/>
      <c r="Y67" s="2477"/>
      <c r="Z67" s="2477"/>
    </row>
    <row r="68" spans="1:26">
      <c r="A68" s="2413" t="s">
        <v>1163</v>
      </c>
      <c r="B68" s="2414">
        <f t="shared" ref="B68:C70" si="210">B69+(B$67-B$71)*I68/SUM(I$67:I$70)</f>
        <v>125.9720430107527</v>
      </c>
      <c r="C68" s="2414">
        <f t="shared" si="210"/>
        <v>125.1883408071749</v>
      </c>
      <c r="D68" s="2414">
        <f t="shared" si="180"/>
        <v>125.1883408071749</v>
      </c>
      <c r="E68" s="2414">
        <f t="shared" ref="E68:F70" si="211">E69+(E$67-E$71)*K68/SUM(K$67:K$70)</f>
        <v>144.61421319796952</v>
      </c>
      <c r="F68" s="2414">
        <f t="shared" si="211"/>
        <v>108.42008196721311</v>
      </c>
      <c r="G68" s="3426">
        <v>2005</v>
      </c>
      <c r="H68" s="2439">
        <v>3</v>
      </c>
      <c r="I68" s="2439">
        <v>0.46</v>
      </c>
      <c r="J68" s="2439">
        <v>0.32</v>
      </c>
      <c r="K68" s="2439">
        <v>0.42</v>
      </c>
      <c r="L68" s="2440">
        <v>0.64</v>
      </c>
      <c r="N68" s="2475">
        <f t="shared" si="208"/>
        <v>1.3898515951301874E-2</v>
      </c>
      <c r="O68" s="2476">
        <f t="shared" si="208"/>
        <v>1.0585900169080346E-2</v>
      </c>
      <c r="P68" s="2476">
        <f t="shared" si="209"/>
        <v>5.3299492385786795E-2</v>
      </c>
      <c r="Q68" s="2476">
        <f t="shared" si="209"/>
        <v>4.2898728359123568E-3</v>
      </c>
      <c r="R68" s="2417"/>
      <c r="S68" s="2416"/>
      <c r="T68" s="2401"/>
      <c r="U68" s="2401"/>
      <c r="V68" s="2401"/>
      <c r="X68" s="2477"/>
      <c r="Y68" s="2477"/>
      <c r="Z68" s="2477"/>
    </row>
    <row r="69" spans="1:26">
      <c r="A69" s="2413" t="s">
        <v>1164</v>
      </c>
      <c r="B69" s="2414">
        <f t="shared" si="210"/>
        <v>124.29032258064517</v>
      </c>
      <c r="C69" s="2414">
        <f t="shared" si="210"/>
        <v>123.8968609865471</v>
      </c>
      <c r="D69" s="2414">
        <f t="shared" si="180"/>
        <v>123.8968609865471</v>
      </c>
      <c r="E69" s="2414">
        <f t="shared" si="211"/>
        <v>138.00507614213197</v>
      </c>
      <c r="F69" s="2414">
        <f t="shared" si="211"/>
        <v>107.96106557377048</v>
      </c>
      <c r="G69" s="3426">
        <v>2005</v>
      </c>
      <c r="H69" s="2426">
        <v>2</v>
      </c>
      <c r="I69" s="2426">
        <v>0.47</v>
      </c>
      <c r="J69" s="2426">
        <v>0.1</v>
      </c>
      <c r="K69" s="2426">
        <v>0.52</v>
      </c>
      <c r="L69" s="2427">
        <v>0.79</v>
      </c>
      <c r="N69" s="2475">
        <f t="shared" si="208"/>
        <v>1.420065760241713E-2</v>
      </c>
      <c r="O69" s="2476">
        <f t="shared" si="208"/>
        <v>3.3080938028376083E-3</v>
      </c>
      <c r="P69" s="2476">
        <f t="shared" si="209"/>
        <v>6.598984771573603E-2</v>
      </c>
      <c r="Q69" s="2476">
        <f t="shared" si="209"/>
        <v>5.2953117818293153E-3</v>
      </c>
      <c r="R69" s="2417"/>
      <c r="S69" s="2416"/>
      <c r="T69" s="2401"/>
      <c r="U69" s="2401"/>
      <c r="V69" s="2401"/>
      <c r="X69" s="2477"/>
      <c r="Y69" s="2477"/>
      <c r="Z69" s="2477"/>
    </row>
    <row r="70" spans="1:26">
      <c r="A70" s="2413" t="s">
        <v>1165</v>
      </c>
      <c r="B70" s="2414">
        <f t="shared" si="210"/>
        <v>122.57204301075269</v>
      </c>
      <c r="C70" s="2414">
        <f t="shared" si="210"/>
        <v>123.4932735426009</v>
      </c>
      <c r="D70" s="2414">
        <f t="shared" si="180"/>
        <v>123.4932735426009</v>
      </c>
      <c r="E70" s="2414">
        <f t="shared" si="211"/>
        <v>129.82233502538071</v>
      </c>
      <c r="F70" s="2414">
        <f t="shared" si="211"/>
        <v>107.39446721311475</v>
      </c>
      <c r="G70" s="3427">
        <v>2005</v>
      </c>
      <c r="H70" s="2415">
        <v>1</v>
      </c>
      <c r="I70" s="2415">
        <v>0.43</v>
      </c>
      <c r="J70" s="2415">
        <v>0.37</v>
      </c>
      <c r="K70" s="2415">
        <v>0.37</v>
      </c>
      <c r="L70" s="2421">
        <v>0.55000000000000004</v>
      </c>
      <c r="N70" s="2478">
        <f t="shared" si="208"/>
        <v>1.2992090997956099E-2</v>
      </c>
      <c r="O70" s="2479">
        <f t="shared" si="208"/>
        <v>1.2239947070499151E-2</v>
      </c>
      <c r="P70" s="2479">
        <f t="shared" si="209"/>
        <v>4.6954314720812178E-2</v>
      </c>
      <c r="Q70" s="2479">
        <f t="shared" si="209"/>
        <v>3.6866094683621815E-3</v>
      </c>
      <c r="R70" s="2417"/>
      <c r="S70" s="2432">
        <f>B70/B71-1</f>
        <v>1.2992090997956174E-2</v>
      </c>
      <c r="T70" s="2433">
        <f>C70/C71-1</f>
        <v>1.2239947070499246E-2</v>
      </c>
      <c r="U70" s="2433">
        <f>E70/E71-1</f>
        <v>4.695431472081224E-2</v>
      </c>
      <c r="V70" s="2433">
        <f>F70/F71-1</f>
        <v>3.6866094683620787E-3</v>
      </c>
      <c r="X70" s="2477"/>
      <c r="Y70" s="2477"/>
      <c r="Z70" s="2477"/>
    </row>
    <row r="71" spans="1:26" ht="13.5" thickBot="1">
      <c r="A71" s="2413" t="s">
        <v>1166</v>
      </c>
      <c r="B71" s="2463">
        <v>121</v>
      </c>
      <c r="C71" s="2463">
        <v>122</v>
      </c>
      <c r="D71" s="2463">
        <f t="shared" si="180"/>
        <v>122</v>
      </c>
      <c r="E71" s="2463">
        <v>124</v>
      </c>
      <c r="F71" s="2464">
        <v>107</v>
      </c>
      <c r="G71" s="3425">
        <v>2004</v>
      </c>
      <c r="H71" s="2434">
        <v>4</v>
      </c>
      <c r="I71" s="2434">
        <v>0.33</v>
      </c>
      <c r="J71" s="2434">
        <v>0.5</v>
      </c>
      <c r="K71" s="2434">
        <v>0.5</v>
      </c>
      <c r="L71" s="2435">
        <v>0</v>
      </c>
      <c r="N71" s="2475">
        <f t="shared" ref="N71:O74" si="212">I71/SUM(I$71:I$74)*(B$71/B$75-1)</f>
        <v>1.3391770148526898E-2</v>
      </c>
      <c r="O71" s="2476">
        <f t="shared" si="212"/>
        <v>1.063264221158958E-2</v>
      </c>
      <c r="P71" s="2476">
        <f t="shared" ref="P71:Q74" si="213">K71/SUM(K$71:K$74)*(E$71/E$75-1)</f>
        <v>2.2244466688911134E-2</v>
      </c>
      <c r="Q71" s="2476">
        <f t="shared" si="213"/>
        <v>0</v>
      </c>
      <c r="R71" s="2417"/>
      <c r="S71" s="2430"/>
      <c r="T71" s="2431"/>
      <c r="U71" s="2431"/>
      <c r="V71" s="2431"/>
      <c r="X71" s="2477"/>
      <c r="Y71" s="2477"/>
      <c r="Z71" s="2477"/>
    </row>
    <row r="72" spans="1:26">
      <c r="A72" s="2413" t="s">
        <v>1167</v>
      </c>
      <c r="B72" s="2414">
        <f t="shared" ref="B72:C74" si="214">B73+(B$71-B$75)*I72/SUM(I$71:I$74)</f>
        <v>119.51351351351352</v>
      </c>
      <c r="C72" s="2414">
        <f t="shared" si="214"/>
        <v>120.7878787878788</v>
      </c>
      <c r="D72" s="2414">
        <f t="shared" si="180"/>
        <v>120.7878787878788</v>
      </c>
      <c r="E72" s="2414">
        <f t="shared" ref="E72:F74" si="215">E73+(E$71-E$75)*K72/SUM(K$71:K$74)</f>
        <v>121.5975975975976</v>
      </c>
      <c r="F72" s="2414">
        <f t="shared" si="215"/>
        <v>107</v>
      </c>
      <c r="G72" s="3426">
        <v>2004</v>
      </c>
      <c r="H72" s="2439">
        <v>3</v>
      </c>
      <c r="I72" s="2439">
        <v>0.56000000000000005</v>
      </c>
      <c r="J72" s="2439">
        <v>0.8</v>
      </c>
      <c r="K72" s="2439">
        <v>0.83</v>
      </c>
      <c r="L72" s="2440">
        <v>0.06</v>
      </c>
      <c r="N72" s="2475">
        <f t="shared" si="212"/>
        <v>2.2725428130833527E-2</v>
      </c>
      <c r="O72" s="2476">
        <f t="shared" si="212"/>
        <v>1.7012227538543329E-2</v>
      </c>
      <c r="P72" s="2476">
        <f t="shared" si="213"/>
        <v>3.6925814703592477E-2</v>
      </c>
      <c r="Q72" s="2476">
        <f t="shared" si="213"/>
        <v>2.8846153846153744E-2</v>
      </c>
      <c r="R72" s="2417"/>
      <c r="S72" s="2416"/>
      <c r="T72" s="2401"/>
      <c r="U72" s="2401"/>
      <c r="V72" s="2401"/>
      <c r="X72" s="2477"/>
      <c r="Y72" s="2477"/>
      <c r="Z72" s="2477"/>
    </row>
    <row r="73" spans="1:26">
      <c r="A73" s="2413" t="s">
        <v>1168</v>
      </c>
      <c r="B73" s="2414">
        <f t="shared" si="214"/>
        <v>116.99099099099099</v>
      </c>
      <c r="C73" s="2414">
        <f t="shared" si="214"/>
        <v>118.84848484848486</v>
      </c>
      <c r="D73" s="2414">
        <f t="shared" si="180"/>
        <v>118.84848484848486</v>
      </c>
      <c r="E73" s="2414">
        <f t="shared" si="215"/>
        <v>117.60960960960961</v>
      </c>
      <c r="F73" s="2414">
        <f t="shared" si="215"/>
        <v>104</v>
      </c>
      <c r="G73" s="3426">
        <v>2004</v>
      </c>
      <c r="H73" s="2426">
        <v>2</v>
      </c>
      <c r="I73" s="2426">
        <v>1</v>
      </c>
      <c r="J73" s="2426">
        <v>1.5</v>
      </c>
      <c r="K73" s="2426">
        <v>1.5</v>
      </c>
      <c r="L73" s="2427">
        <v>0</v>
      </c>
      <c r="N73" s="2475">
        <f t="shared" si="212"/>
        <v>4.0581121662202721E-2</v>
      </c>
      <c r="O73" s="2476">
        <f t="shared" si="212"/>
        <v>3.1897926634768738E-2</v>
      </c>
      <c r="P73" s="2476">
        <f t="shared" si="213"/>
        <v>6.6733400066733395E-2</v>
      </c>
      <c r="Q73" s="2476">
        <f t="shared" si="213"/>
        <v>0</v>
      </c>
      <c r="R73" s="2417"/>
      <c r="S73" s="2416"/>
      <c r="T73" s="2401"/>
      <c r="U73" s="2401"/>
      <c r="V73" s="2401"/>
      <c r="X73" s="2477"/>
      <c r="Y73" s="2477"/>
      <c r="Z73" s="2477"/>
    </row>
    <row r="74" spans="1:26" s="2469" customFormat="1" ht="13.5" thickBot="1">
      <c r="A74" s="2413" t="s">
        <v>1169</v>
      </c>
      <c r="B74" s="2466">
        <f t="shared" si="214"/>
        <v>112.48648648648648</v>
      </c>
      <c r="C74" s="2466">
        <f t="shared" si="214"/>
        <v>115.21212121212122</v>
      </c>
      <c r="D74" s="2466">
        <f t="shared" si="180"/>
        <v>115.21212121212122</v>
      </c>
      <c r="E74" s="2466">
        <f t="shared" si="215"/>
        <v>110.4024024024024</v>
      </c>
      <c r="F74" s="2466">
        <f t="shared" si="215"/>
        <v>104</v>
      </c>
      <c r="G74" s="3427">
        <v>2004</v>
      </c>
      <c r="H74" s="2467">
        <v>1</v>
      </c>
      <c r="I74" s="2467">
        <v>0.33</v>
      </c>
      <c r="J74" s="2467">
        <v>0.5</v>
      </c>
      <c r="K74" s="2467">
        <v>0.5</v>
      </c>
      <c r="L74" s="2468">
        <v>0</v>
      </c>
      <c r="N74" s="2480">
        <f t="shared" si="212"/>
        <v>1.3391770148526898E-2</v>
      </c>
      <c r="O74" s="2481">
        <f t="shared" si="212"/>
        <v>1.063264221158958E-2</v>
      </c>
      <c r="P74" s="2481">
        <f t="shared" si="213"/>
        <v>2.2244466688911134E-2</v>
      </c>
      <c r="Q74" s="2481">
        <f t="shared" si="213"/>
        <v>0</v>
      </c>
      <c r="R74" s="2472"/>
      <c r="S74" s="2470">
        <f>B74/B75-1</f>
        <v>1.3391770148526883E-2</v>
      </c>
      <c r="T74" s="2471">
        <f>C74/C75-1</f>
        <v>1.063264221158966E-2</v>
      </c>
      <c r="U74" s="2471">
        <f>E74/E75-1</f>
        <v>2.2244466688911224E-2</v>
      </c>
      <c r="V74" s="2471">
        <f>F74/F75-1</f>
        <v>0</v>
      </c>
      <c r="X74" s="2482"/>
      <c r="Y74" s="2482"/>
      <c r="Z74" s="2482"/>
    </row>
    <row r="75" spans="1:26" ht="13.5" thickBot="1">
      <c r="A75" s="2413" t="s">
        <v>1170</v>
      </c>
      <c r="B75" s="2483">
        <v>111</v>
      </c>
      <c r="C75" s="2483">
        <v>114</v>
      </c>
      <c r="D75" s="2483">
        <f t="shared" si="180"/>
        <v>114</v>
      </c>
      <c r="E75" s="2483">
        <v>108</v>
      </c>
      <c r="F75" s="2484">
        <v>104</v>
      </c>
      <c r="G75" s="3425">
        <v>2003</v>
      </c>
      <c r="H75" s="2473">
        <v>4</v>
      </c>
      <c r="I75" s="2485"/>
      <c r="J75" s="2485"/>
      <c r="K75" s="2485"/>
      <c r="L75" s="2485"/>
      <c r="N75" s="2486"/>
      <c r="O75" s="2485"/>
      <c r="P75" s="2485"/>
      <c r="Q75" s="2485"/>
      <c r="S75" s="2486"/>
      <c r="T75" s="2485"/>
      <c r="U75" s="2485"/>
      <c r="V75" s="2485"/>
      <c r="X75" s="2477"/>
      <c r="Y75" s="2477"/>
      <c r="Z75" s="2477"/>
    </row>
    <row r="76" spans="1:26">
      <c r="A76" s="2413" t="s">
        <v>1171</v>
      </c>
      <c r="B76" s="2487">
        <f t="shared" ref="B76:C78" si="216">B77+(B$75-B$79)/4</f>
        <v>109.75</v>
      </c>
      <c r="C76" s="2487">
        <f t="shared" si="216"/>
        <v>112.25</v>
      </c>
      <c r="D76" s="2487">
        <f t="shared" si="180"/>
        <v>112.25</v>
      </c>
      <c r="E76" s="2487">
        <f t="shared" ref="E76:F78" si="217">E77+(E$75-E$79)/4</f>
        <v>107.25</v>
      </c>
      <c r="F76" s="2487">
        <f t="shared" si="217"/>
        <v>103.5</v>
      </c>
      <c r="G76" s="3426">
        <v>2003</v>
      </c>
      <c r="H76" s="2439">
        <v>3</v>
      </c>
      <c r="I76" s="2485"/>
      <c r="J76" s="2485"/>
      <c r="K76" s="2485"/>
      <c r="L76" s="2485"/>
      <c r="X76" s="2477"/>
      <c r="Y76" s="2477"/>
      <c r="Z76" s="2477"/>
    </row>
    <row r="77" spans="1:26">
      <c r="A77" s="2413" t="s">
        <v>1172</v>
      </c>
      <c r="B77" s="2487">
        <f t="shared" si="216"/>
        <v>108.5</v>
      </c>
      <c r="C77" s="2487">
        <f t="shared" si="216"/>
        <v>110.5</v>
      </c>
      <c r="D77" s="2487">
        <f t="shared" si="180"/>
        <v>110.5</v>
      </c>
      <c r="E77" s="2487">
        <f t="shared" si="217"/>
        <v>106.5</v>
      </c>
      <c r="F77" s="2487">
        <f t="shared" si="217"/>
        <v>103</v>
      </c>
      <c r="G77" s="3426">
        <v>2003</v>
      </c>
      <c r="H77" s="2426">
        <v>2</v>
      </c>
      <c r="I77" s="2485"/>
      <c r="J77" s="2485"/>
      <c r="K77" s="2485"/>
      <c r="L77" s="2485"/>
      <c r="X77" s="2477"/>
      <c r="Y77" s="2477"/>
      <c r="Z77" s="2477"/>
    </row>
    <row r="78" spans="1:26" ht="13.5" thickBot="1">
      <c r="A78" s="2413" t="s">
        <v>1173</v>
      </c>
      <c r="B78" s="2487">
        <f t="shared" si="216"/>
        <v>107.25</v>
      </c>
      <c r="C78" s="2487">
        <f t="shared" si="216"/>
        <v>108.75</v>
      </c>
      <c r="D78" s="2487">
        <f t="shared" si="180"/>
        <v>108.75</v>
      </c>
      <c r="E78" s="2487">
        <f t="shared" si="217"/>
        <v>105.75</v>
      </c>
      <c r="F78" s="2487">
        <f t="shared" si="217"/>
        <v>102.5</v>
      </c>
      <c r="G78" s="3427">
        <v>2003</v>
      </c>
      <c r="H78" s="2488">
        <v>1</v>
      </c>
      <c r="I78" s="2485"/>
      <c r="J78" s="2485"/>
      <c r="K78" s="2485"/>
      <c r="L78" s="2485"/>
      <c r="S78" s="2416"/>
      <c r="T78" s="2401"/>
      <c r="U78" s="2401"/>
      <c r="X78" s="2477"/>
      <c r="Y78" s="2477"/>
      <c r="Z78" s="2477"/>
    </row>
    <row r="79" spans="1:26" ht="13.5" thickBot="1">
      <c r="A79" s="2413" t="s">
        <v>1174</v>
      </c>
      <c r="B79" s="2489">
        <v>106</v>
      </c>
      <c r="C79" s="2489">
        <v>107</v>
      </c>
      <c r="D79" s="2489">
        <f t="shared" si="180"/>
        <v>107</v>
      </c>
      <c r="E79" s="2489">
        <v>105</v>
      </c>
      <c r="F79" s="2490">
        <v>102</v>
      </c>
      <c r="G79" s="3425">
        <v>2002</v>
      </c>
      <c r="H79" s="2434">
        <v>4</v>
      </c>
      <c r="I79" s="2485"/>
      <c r="J79" s="2485"/>
      <c r="K79" s="2485"/>
      <c r="L79" s="2485"/>
      <c r="N79" s="2486"/>
      <c r="O79" s="2485"/>
      <c r="P79" s="2485"/>
      <c r="Q79" s="2485"/>
      <c r="S79" s="2486"/>
      <c r="T79" s="2485"/>
      <c r="U79" s="2485"/>
      <c r="V79" s="2485"/>
      <c r="X79" s="2477"/>
      <c r="Y79" s="2477"/>
      <c r="Z79" s="2477"/>
    </row>
    <row r="80" spans="1:26">
      <c r="A80" s="2413" t="s">
        <v>1175</v>
      </c>
      <c r="B80" s="2487">
        <f t="shared" ref="B80:C82" si="218">B81+(B$79-B$83)/4</f>
        <v>105</v>
      </c>
      <c r="C80" s="2487">
        <f t="shared" si="218"/>
        <v>106</v>
      </c>
      <c r="D80" s="2487">
        <f t="shared" si="180"/>
        <v>106</v>
      </c>
      <c r="E80" s="2487">
        <f t="shared" ref="E80:F82" si="219">E81+(E$79-E$83)/4</f>
        <v>104.5</v>
      </c>
      <c r="F80" s="2487">
        <f t="shared" si="219"/>
        <v>101.5</v>
      </c>
      <c r="G80" s="3426">
        <v>2002</v>
      </c>
      <c r="H80" s="2439">
        <v>3</v>
      </c>
      <c r="I80" s="2485"/>
      <c r="J80" s="2485"/>
      <c r="K80" s="2485"/>
      <c r="L80" s="2485"/>
      <c r="X80" s="2477"/>
      <c r="Y80" s="2477"/>
      <c r="Z80" s="2477"/>
    </row>
    <row r="81" spans="1:26">
      <c r="A81" s="2413" t="s">
        <v>1176</v>
      </c>
      <c r="B81" s="2487">
        <f t="shared" si="218"/>
        <v>104</v>
      </c>
      <c r="C81" s="2487">
        <f t="shared" si="218"/>
        <v>105</v>
      </c>
      <c r="D81" s="2487">
        <f t="shared" si="180"/>
        <v>105</v>
      </c>
      <c r="E81" s="2487">
        <f t="shared" si="219"/>
        <v>104</v>
      </c>
      <c r="F81" s="2487">
        <f t="shared" si="219"/>
        <v>101</v>
      </c>
      <c r="G81" s="3426">
        <v>2002</v>
      </c>
      <c r="H81" s="2426">
        <v>2</v>
      </c>
      <c r="I81" s="2485"/>
      <c r="J81" s="2485"/>
      <c r="K81" s="2485"/>
      <c r="L81" s="2485"/>
      <c r="X81" s="2477"/>
      <c r="Y81" s="2477"/>
      <c r="Z81" s="2477"/>
    </row>
    <row r="82" spans="1:26" s="2450" customFormat="1" ht="13.5" thickBot="1">
      <c r="A82" s="2446" t="s">
        <v>1177</v>
      </c>
      <c r="B82" s="2453">
        <f t="shared" si="218"/>
        <v>103</v>
      </c>
      <c r="C82" s="2453">
        <f t="shared" si="218"/>
        <v>104</v>
      </c>
      <c r="D82" s="2453">
        <f t="shared" si="180"/>
        <v>104</v>
      </c>
      <c r="E82" s="2453">
        <f t="shared" si="219"/>
        <v>103.5</v>
      </c>
      <c r="F82" s="2453">
        <f t="shared" si="219"/>
        <v>100.5</v>
      </c>
      <c r="G82" s="3427">
        <v>2002</v>
      </c>
      <c r="H82" s="2491">
        <v>1</v>
      </c>
      <c r="I82" s="2492"/>
      <c r="J82" s="2492"/>
      <c r="K82" s="2492"/>
      <c r="L82" s="2492"/>
      <c r="N82" s="2493"/>
      <c r="S82" s="2493"/>
      <c r="X82" s="2494"/>
      <c r="Y82" s="2494"/>
      <c r="Z82" s="2494"/>
    </row>
    <row r="83" spans="1:26" ht="13.5" thickBot="1">
      <c r="B83" s="2495">
        <v>102</v>
      </c>
      <c r="C83" s="2496">
        <v>103</v>
      </c>
      <c r="D83" s="2496">
        <f t="shared" si="180"/>
        <v>103</v>
      </c>
      <c r="E83" s="2496">
        <v>103</v>
      </c>
      <c r="F83" s="2497">
        <v>100</v>
      </c>
      <c r="I83" s="2485"/>
      <c r="J83" s="2485"/>
      <c r="K83" s="2485"/>
      <c r="L83" s="2485"/>
      <c r="N83" s="2486"/>
      <c r="O83" s="2485"/>
      <c r="P83" s="2485"/>
      <c r="Q83" s="2485"/>
      <c r="S83" s="2486"/>
      <c r="T83" s="2485"/>
      <c r="U83" s="2485"/>
      <c r="V83" s="2485"/>
      <c r="X83" s="2431"/>
      <c r="Y83" s="2431"/>
      <c r="Z83" s="2431"/>
    </row>
    <row r="85" spans="1:26" s="2499" customFormat="1">
      <c r="A85" s="2498" t="s">
        <v>1178</v>
      </c>
      <c r="G85" s="2500"/>
      <c r="N85" s="2500"/>
      <c r="S85" s="2500"/>
    </row>
    <row r="86" spans="1:26" s="2499" customFormat="1">
      <c r="A86" s="2499" t="s">
        <v>1179</v>
      </c>
      <c r="G86" s="2500"/>
      <c r="N86" s="2500"/>
      <c r="S86" s="2500"/>
    </row>
    <row r="87" spans="1:26" s="2499" customFormat="1">
      <c r="A87" s="2499" t="s">
        <v>1180</v>
      </c>
      <c r="G87" s="2500"/>
      <c r="I87" s="2501"/>
      <c r="J87" s="2501"/>
      <c r="K87" s="2501"/>
      <c r="L87" s="2501"/>
      <c r="N87" s="2502"/>
      <c r="O87" s="2501"/>
      <c r="P87" s="2501"/>
      <c r="Q87" s="2501"/>
      <c r="S87" s="2502"/>
      <c r="T87" s="2501"/>
      <c r="U87" s="2501"/>
      <c r="V87" s="2501"/>
    </row>
    <row r="88" spans="1:26" s="2499" customFormat="1">
      <c r="A88" s="2499" t="s">
        <v>1181</v>
      </c>
      <c r="G88" s="2500"/>
      <c r="N88" s="2500"/>
      <c r="S88" s="2500"/>
    </row>
    <row r="95" spans="1:26" ht="13.5" thickBot="1"/>
    <row r="96" spans="1:26">
      <c r="G96" s="2400"/>
      <c r="S96" s="2503" t="s">
        <v>1182</v>
      </c>
      <c r="T96" s="2504" t="s">
        <v>1183</v>
      </c>
      <c r="U96" s="2504" t="s">
        <v>1184</v>
      </c>
      <c r="V96" s="2504" t="s">
        <v>1185</v>
      </c>
    </row>
    <row r="97" spans="7:22">
      <c r="G97" s="2400"/>
      <c r="N97" s="2430"/>
      <c r="O97" s="2431"/>
      <c r="P97" s="2431"/>
      <c r="Q97" s="2431"/>
      <c r="S97" s="2505">
        <v>2006</v>
      </c>
      <c r="T97" s="2506">
        <v>15.1</v>
      </c>
      <c r="U97" s="2506">
        <v>7.43</v>
      </c>
      <c r="V97" s="2506">
        <v>26.26</v>
      </c>
    </row>
    <row r="98" spans="7:22">
      <c r="G98" s="2400"/>
      <c r="N98" s="2430"/>
      <c r="O98" s="2431"/>
      <c r="P98" s="2431"/>
      <c r="Q98" s="2431"/>
      <c r="S98" s="2507">
        <v>2005</v>
      </c>
      <c r="T98" s="2508">
        <v>13.9</v>
      </c>
      <c r="U98" s="2508">
        <v>7.49</v>
      </c>
      <c r="V98" s="2508">
        <v>24.92</v>
      </c>
    </row>
    <row r="99" spans="7:22">
      <c r="G99" s="2400"/>
      <c r="N99" s="2430"/>
      <c r="O99" s="2431"/>
      <c r="P99" s="2431"/>
      <c r="Q99" s="2431"/>
      <c r="S99" s="2505">
        <v>2004</v>
      </c>
      <c r="T99" s="2506">
        <v>9.48</v>
      </c>
      <c r="U99" s="2506">
        <v>7.2</v>
      </c>
      <c r="V99" s="2506">
        <v>14.68</v>
      </c>
    </row>
    <row r="100" spans="7:22">
      <c r="G100" s="2400"/>
      <c r="N100" s="2430"/>
      <c r="O100" s="2431"/>
      <c r="P100" s="2431"/>
      <c r="Q100" s="2431"/>
      <c r="S100" s="2507">
        <v>2003</v>
      </c>
      <c r="T100" s="2508">
        <v>4.5</v>
      </c>
      <c r="U100" s="2508">
        <v>6.12</v>
      </c>
      <c r="V100" s="2508">
        <v>2.34</v>
      </c>
    </row>
    <row r="101" spans="7:22" ht="13.5" thickBot="1">
      <c r="G101" s="2400"/>
      <c r="N101" s="2430"/>
      <c r="O101" s="2431"/>
      <c r="P101" s="2431"/>
      <c r="Q101" s="2431"/>
      <c r="S101" s="2509">
        <v>2002</v>
      </c>
      <c r="T101" s="2510">
        <v>3.59</v>
      </c>
      <c r="U101" s="2510">
        <v>4.54</v>
      </c>
      <c r="V101" s="2510">
        <v>2.5499999999999998</v>
      </c>
    </row>
    <row r="102" spans="7:22">
      <c r="G102" s="2400"/>
      <c r="N102" s="2430"/>
      <c r="O102" s="2431"/>
      <c r="P102" s="2431"/>
      <c r="Q102" s="2431"/>
    </row>
    <row r="103" spans="7:22">
      <c r="G103" s="2400"/>
      <c r="N103" s="2430"/>
      <c r="O103" s="2431"/>
      <c r="P103" s="2431"/>
      <c r="Q103" s="2431"/>
    </row>
    <row r="104" spans="7:22">
      <c r="G104" s="2400"/>
      <c r="N104" s="2430"/>
      <c r="O104" s="2431"/>
      <c r="P104" s="2431"/>
      <c r="Q104" s="2431"/>
    </row>
    <row r="105" spans="7:22">
      <c r="G105" s="2400"/>
      <c r="N105" s="2430"/>
      <c r="O105" s="2431"/>
      <c r="P105" s="2431"/>
      <c r="Q105" s="2431"/>
    </row>
    <row r="106" spans="7:22">
      <c r="G106" s="2400"/>
      <c r="N106" s="2430"/>
      <c r="O106" s="2431"/>
      <c r="P106" s="2431"/>
      <c r="Q106" s="2431"/>
    </row>
    <row r="107" spans="7:22">
      <c r="G107" s="2400"/>
      <c r="N107" s="2430"/>
      <c r="O107" s="2431"/>
      <c r="P107" s="2431"/>
      <c r="Q107" s="2431"/>
    </row>
    <row r="108" spans="7:22">
      <c r="G108" s="2400"/>
      <c r="N108" s="2430"/>
      <c r="O108" s="2431"/>
      <c r="P108" s="2431"/>
      <c r="Q108" s="2431"/>
    </row>
    <row r="109" spans="7:22">
      <c r="G109" s="2400"/>
      <c r="N109" s="2430"/>
      <c r="O109" s="2431"/>
      <c r="P109" s="2431"/>
      <c r="Q109" s="2431"/>
    </row>
    <row r="110" spans="7:22">
      <c r="G110" s="2400"/>
      <c r="N110" s="2430"/>
      <c r="O110" s="2431"/>
      <c r="P110" s="2431"/>
      <c r="Q110" s="2431"/>
    </row>
    <row r="111" spans="7:22">
      <c r="G111" s="2400"/>
      <c r="N111" s="2430"/>
      <c r="O111" s="2431"/>
      <c r="P111" s="2431"/>
      <c r="Q111" s="2431"/>
    </row>
    <row r="112" spans="7:22">
      <c r="G112" s="2400"/>
      <c r="N112" s="2430"/>
      <c r="O112" s="2431"/>
      <c r="P112" s="2431"/>
      <c r="Q112" s="2431"/>
      <c r="S112" s="2400"/>
    </row>
    <row r="113" spans="7:19">
      <c r="G113" s="2400"/>
      <c r="N113" s="2430"/>
      <c r="O113" s="2431"/>
      <c r="P113" s="2431"/>
      <c r="Q113" s="2431"/>
      <c r="S113" s="2400"/>
    </row>
    <row r="114" spans="7:19">
      <c r="G114" s="2400"/>
      <c r="N114" s="2430"/>
      <c r="O114" s="2431"/>
      <c r="P114" s="2431"/>
      <c r="Q114" s="2431"/>
      <c r="S114" s="2400"/>
    </row>
    <row r="115" spans="7:19">
      <c r="G115" s="2400"/>
      <c r="N115" s="2430"/>
      <c r="O115" s="2431"/>
      <c r="P115" s="2431"/>
      <c r="Q115" s="2431"/>
      <c r="S115" s="2400"/>
    </row>
    <row r="116" spans="7:19">
      <c r="G116" s="2400"/>
      <c r="N116" s="2430"/>
      <c r="O116" s="2431"/>
      <c r="P116" s="2431"/>
      <c r="Q116" s="2431"/>
      <c r="S116" s="2400"/>
    </row>
    <row r="117" spans="7:19">
      <c r="G117" s="2400"/>
      <c r="N117" s="2430"/>
      <c r="O117" s="2431"/>
      <c r="P117" s="2431"/>
      <c r="Q117" s="2431"/>
      <c r="S117" s="240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1"/>
      <c r="B4" s="3099" t="s">
        <v>1595</v>
      </c>
      <c r="C4" s="3099"/>
      <c r="D4" s="3099"/>
      <c r="E4" s="1671"/>
    </row>
    <row r="5" spans="1:5" ht="16.5" thickTop="1">
      <c r="A5" s="1669"/>
      <c r="B5" s="3097" t="s">
        <v>1587</v>
      </c>
      <c r="C5" s="1672" t="s">
        <v>1588</v>
      </c>
      <c r="D5" s="957" t="e">
        <f ca="1">结果表!H101</f>
        <v>#REF!</v>
      </c>
      <c r="E5" s="1669"/>
    </row>
    <row r="6" spans="1:5" ht="15.75">
      <c r="A6" s="1669"/>
      <c r="B6" s="3097"/>
      <c r="C6" s="1672" t="s">
        <v>1589</v>
      </c>
      <c r="D6" s="957" t="e">
        <f ca="1">NUMBERSTRING(INT(D5*10000),2)&amp;"元整"</f>
        <v>#REF!</v>
      </c>
      <c r="E6" s="1669"/>
    </row>
    <row r="7" spans="1:5" ht="15.75">
      <c r="A7" s="1669"/>
      <c r="B7" s="3102"/>
      <c r="C7" s="1673" t="s">
        <v>1590</v>
      </c>
      <c r="D7" s="958" t="e">
        <f ca="1">结果表!H102</f>
        <v>#REF!</v>
      </c>
      <c r="E7" s="1669"/>
    </row>
    <row r="8" spans="1:5" ht="15.75">
      <c r="A8" s="1669"/>
      <c r="B8" s="3103" t="str">
        <f>结果表!E103</f>
        <v>2.估价师知悉的法定优先受偿款</v>
      </c>
      <c r="C8" s="1674" t="s">
        <v>1591</v>
      </c>
      <c r="D8" s="958">
        <f>结果表!H103</f>
        <v>0</v>
      </c>
      <c r="E8" s="1669"/>
    </row>
    <row r="9" spans="1:5" ht="15.75">
      <c r="A9" s="1669"/>
      <c r="B9" s="3105"/>
      <c r="C9" s="1672" t="s">
        <v>1589</v>
      </c>
      <c r="D9" s="957" t="str">
        <f>NUMBERSTRING(INT(D8*10000),2)&amp;"元整"</f>
        <v>零元整</v>
      </c>
      <c r="E9" s="1669"/>
    </row>
    <row r="10" spans="1:5" ht="15">
      <c r="A10" s="1669"/>
      <c r="B10" s="1675" t="s">
        <v>1594</v>
      </c>
      <c r="C10" s="1676" t="s">
        <v>1592</v>
      </c>
      <c r="D10" s="959">
        <f>结果表!H104</f>
        <v>0</v>
      </c>
      <c r="E10" s="1669"/>
    </row>
    <row r="11" spans="1:5" ht="15">
      <c r="A11" s="1669"/>
      <c r="B11" s="1675" t="s">
        <v>1596</v>
      </c>
      <c r="C11" s="1676" t="s">
        <v>1597</v>
      </c>
      <c r="D11" s="959">
        <f>结果表!H105</f>
        <v>0</v>
      </c>
      <c r="E11" s="1669"/>
    </row>
    <row r="12" spans="1:5" ht="15">
      <c r="A12" s="1669"/>
      <c r="B12" s="1675" t="s">
        <v>1598</v>
      </c>
      <c r="C12" s="1676" t="s">
        <v>1597</v>
      </c>
      <c r="D12" s="959">
        <f>结果表!H106</f>
        <v>0</v>
      </c>
      <c r="E12" s="1669"/>
    </row>
    <row r="13" spans="1:5" ht="15.75">
      <c r="A13" s="1669"/>
      <c r="B13" s="3096" t="str">
        <f>结果表!E107</f>
        <v>3.房地产抵押价值</v>
      </c>
      <c r="C13" s="1677" t="s">
        <v>1588</v>
      </c>
      <c r="D13" s="960" t="e">
        <f ca="1">结果表!H107</f>
        <v>#REF!</v>
      </c>
      <c r="E13" s="1669"/>
    </row>
    <row r="14" spans="1:5" ht="15.75">
      <c r="A14" s="1669"/>
      <c r="B14" s="3097"/>
      <c r="C14" s="1672" t="s">
        <v>1589</v>
      </c>
      <c r="D14" s="957" t="e">
        <f ca="1">NUMBERSTRING(INT(D13*10000),2)&amp;"元整"</f>
        <v>#REF!</v>
      </c>
      <c r="E14" s="1669"/>
    </row>
    <row r="15" spans="1:5" ht="15">
      <c r="A15" s="1669"/>
      <c r="B15" s="3102"/>
      <c r="C15" s="1673" t="s">
        <v>1599</v>
      </c>
      <c r="D15" s="966" t="e">
        <f ca="1">结果表!H108</f>
        <v>#REF!</v>
      </c>
      <c r="E15" s="1669"/>
    </row>
    <row r="16" spans="1:5" ht="15">
      <c r="A16" s="1669"/>
      <c r="B16" s="3103" t="str">
        <f>结果表!E109</f>
        <v>——</v>
      </c>
      <c r="C16" s="1677" t="s">
        <v>1600</v>
      </c>
      <c r="D16" s="1678" t="str">
        <f>结果表!H109</f>
        <v>——</v>
      </c>
      <c r="E16" s="1669"/>
    </row>
    <row r="17" spans="1:5" ht="15.75">
      <c r="A17" s="1669"/>
      <c r="B17" s="3104"/>
      <c r="C17" s="1672" t="s">
        <v>1601</v>
      </c>
      <c r="D17" s="957" t="e">
        <f>NUMBERSTRING(INT(D16*10000),2)&amp;"元整"</f>
        <v>#VALUE!</v>
      </c>
      <c r="E17" s="1669"/>
    </row>
    <row r="18" spans="1:5" ht="15">
      <c r="A18" s="1669"/>
      <c r="B18" s="3105"/>
      <c r="C18" s="1673" t="s">
        <v>1590</v>
      </c>
      <c r="D18" s="966" t="str">
        <f>结果表!H110</f>
        <v>——</v>
      </c>
      <c r="E18" s="1669"/>
    </row>
    <row r="19" spans="1:5" ht="15.75">
      <c r="A19" s="1669"/>
      <c r="B19" s="3096" t="str">
        <f>结果表!E111</f>
        <v>——</v>
      </c>
      <c r="C19" s="1677" t="s">
        <v>1588</v>
      </c>
      <c r="D19" s="958" t="str">
        <f>结果表!H111</f>
        <v>——</v>
      </c>
      <c r="E19" s="1669"/>
    </row>
    <row r="20" spans="1:5" ht="15.75">
      <c r="A20" s="1669"/>
      <c r="B20" s="3097"/>
      <c r="C20" s="1672" t="s">
        <v>1601</v>
      </c>
      <c r="D20" s="957" t="e">
        <f>NUMBERSTRING(INT(D19*10000),2)&amp;"元整"</f>
        <v>#VALUE!</v>
      </c>
      <c r="E20" s="1669"/>
    </row>
    <row r="21" spans="1:5" ht="15.75" thickBot="1">
      <c r="A21" s="1669"/>
      <c r="B21" s="3098"/>
      <c r="C21" s="1679" t="s">
        <v>1599</v>
      </c>
      <c r="D21" s="967"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29065</v>
      </c>
      <c r="C2" s="2" t="s">
        <v>133</v>
      </c>
      <c r="D2" s="205"/>
      <c r="E2" s="205"/>
      <c r="F2" s="205"/>
      <c r="G2" s="205"/>
    </row>
    <row r="3" spans="1:7" s="206" customFormat="1" ht="18" customHeight="1" thickBot="1">
      <c r="A3" s="209" t="s">
        <v>85</v>
      </c>
      <c r="B3" s="210">
        <f ca="1">ROUND(B2*10000/'数据-汇总表'!E3,0)</f>
        <v>148742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0</v>
      </c>
      <c r="D10" s="952">
        <f>'数据-汇总表'!E6</f>
        <v>1954.06</v>
      </c>
      <c r="E10" s="231">
        <f>'数据-取费表'!B28</f>
        <v>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39</v>
      </c>
      <c r="D19" s="956">
        <f>'数据-汇总表'!E3</f>
        <v>1954.06</v>
      </c>
      <c r="E19" s="217">
        <f>'数据-取费表'!B31</f>
        <v>200</v>
      </c>
      <c r="F19" s="237"/>
      <c r="G19" s="1" t="s">
        <v>1042</v>
      </c>
    </row>
    <row r="20" spans="1:7" s="220" customFormat="1" ht="13.5" customHeight="1">
      <c r="A20" s="883" t="s">
        <v>1025</v>
      </c>
      <c r="B20" s="216" t="s">
        <v>104</v>
      </c>
      <c r="C20" s="238">
        <f>ROUND((C5+C19)*F20,0)</f>
        <v>413</v>
      </c>
      <c r="D20" s="238"/>
      <c r="E20" s="238"/>
      <c r="F20" s="239">
        <f>'数据-取费表'!B37</f>
        <v>0.02</v>
      </c>
      <c r="G20" s="1194"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59">
        <f ca="1">ROUND(SUM(C23:C25),0)</f>
        <v>1853</v>
      </c>
      <c r="D22" s="241">
        <f ca="1">C26</f>
        <v>8.9999999999999998E-4</v>
      </c>
      <c r="E22" s="242" t="s">
        <v>126</v>
      </c>
      <c r="F22" s="243">
        <f ca="1">'数据-取费表'!B40</f>
        <v>4.3499999999999997E-2</v>
      </c>
      <c r="G22" s="1194" t="str">
        <f>IF('数据-取费表'!B22&lt;=1,"单利计息","复利计息")</f>
        <v>复利计息</v>
      </c>
    </row>
    <row r="23" spans="1:7" s="220" customFormat="1" ht="13.5" customHeight="1">
      <c r="A23" s="886" t="s">
        <v>794</v>
      </c>
      <c r="B23" s="221" t="s">
        <v>1029</v>
      </c>
      <c r="C23" s="1260">
        <f ca="1">ROUND(IF('数据-取费表'!B22&lt;=1,C5*F22*'数据-取费表'!B23,C5*(POWER((1+F22),'数据-取费表'!B23)-1)),0)</f>
        <v>1832</v>
      </c>
      <c r="D23" s="244"/>
      <c r="E23" s="244"/>
      <c r="F23" s="245"/>
      <c r="G23" s="246" t="s">
        <v>108</v>
      </c>
    </row>
    <row r="24" spans="1:7" s="220" customFormat="1" ht="13.5" customHeight="1">
      <c r="A24" s="886" t="s">
        <v>792</v>
      </c>
      <c r="B24" s="221" t="s">
        <v>1024</v>
      </c>
      <c r="C24" s="1260">
        <f ca="1">ROUND(IF('数据-取费表'!B22&lt;=1,C19*F22*('数据-取费表'!B19/2+'数据-取费表'!B21),C19*(POWER((1+F22),('数据-取费表'!B19/2+'数据-取费表'!B21))-1)),0)</f>
        <v>3</v>
      </c>
      <c r="D24" s="244"/>
      <c r="E24" s="244"/>
      <c r="F24" s="245"/>
      <c r="G24" s="246" t="s">
        <v>109</v>
      </c>
    </row>
    <row r="25" spans="1:7" s="220" customFormat="1" ht="24">
      <c r="A25" s="886" t="s">
        <v>793</v>
      </c>
      <c r="B25" s="221" t="s">
        <v>1026</v>
      </c>
      <c r="C25" s="1260">
        <f ca="1">ROUND(IF('数据-取费表'!B22&lt;=1,C20*F22*'数据-取费表'!B23/2,C20*(POWER((1+F22),'数据-取费表'!B23/2)-1)),0)</f>
        <v>18</v>
      </c>
      <c r="D25" s="244"/>
      <c r="E25" s="247"/>
      <c r="F25" s="245"/>
      <c r="G25" s="248" t="s">
        <v>110</v>
      </c>
    </row>
    <row r="26" spans="1:7" s="220" customFormat="1">
      <c r="A26" s="886" t="s">
        <v>795</v>
      </c>
      <c r="B26" s="221" t="s">
        <v>1028</v>
      </c>
      <c r="C26" s="244">
        <f ca="1">ROUND(IF('数据-取费表'!B22&lt;=1,F21*F22*'数据-取费表'!B23/2,F21*(POWER((1+F22),'数据-取费表'!B23/2)-1)),4)</f>
        <v>8.9999999999999998E-4</v>
      </c>
      <c r="D26" s="244"/>
      <c r="E26" s="247"/>
      <c r="F26" s="245"/>
      <c r="G26" s="249"/>
    </row>
    <row r="27" spans="1:7" s="220" customFormat="1" ht="24.75">
      <c r="A27" s="883" t="s">
        <v>787</v>
      </c>
      <c r="B27" s="250" t="s">
        <v>112</v>
      </c>
      <c r="C27" s="251">
        <f>C28</f>
        <v>3159</v>
      </c>
      <c r="D27" s="241">
        <f>C29</f>
        <v>3.0000000000000001E-3</v>
      </c>
      <c r="E27" s="242" t="s">
        <v>126</v>
      </c>
      <c r="F27" s="252">
        <f>'数据-取费表'!Q16</f>
        <v>0.15</v>
      </c>
      <c r="G27" s="253" t="s">
        <v>1037</v>
      </c>
    </row>
    <row r="28" spans="1:7" s="220" customFormat="1" ht="13.5" customHeight="1">
      <c r="A28" s="886" t="s">
        <v>794</v>
      </c>
      <c r="B28" s="254" t="s">
        <v>1030</v>
      </c>
      <c r="C28" s="255">
        <f>ROUND((C5+C19+C20)*F27*'数据-取费表'!B21/'数据-取费表'!B20,0)</f>
        <v>3159</v>
      </c>
      <c r="D28" s="241"/>
      <c r="E28" s="242"/>
      <c r="F28" s="252"/>
      <c r="G28" s="253"/>
    </row>
    <row r="29" spans="1:7" s="220" customFormat="1" ht="13.5" customHeight="1">
      <c r="A29" s="886" t="s">
        <v>792</v>
      </c>
      <c r="B29" s="254" t="s">
        <v>1031</v>
      </c>
      <c r="C29" s="244">
        <f>ROUND(C21*F27*'数据-取费表'!B21/'数据-取费表'!B20,4)</f>
        <v>3.0000000000000001E-3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28256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856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782</v>
      </c>
      <c r="D34" s="223"/>
      <c r="E34" s="226"/>
      <c r="F34" s="263">
        <f>IF('数据-取费表'!B24=0,1,'数据-取费表'!N16)</f>
        <v>1</v>
      </c>
      <c r="G34" s="225" t="s">
        <v>116</v>
      </c>
    </row>
    <row r="35" spans="1:7" ht="13.5" customHeight="1">
      <c r="A35" s="886" t="s">
        <v>796</v>
      </c>
      <c r="B35" s="221" t="s">
        <v>60</v>
      </c>
      <c r="C35" s="226">
        <f>ROUND(C34*F35,0)</f>
        <v>23</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39</v>
      </c>
      <c r="D37" s="223">
        <f>'数据-汇总表'!E3</f>
        <v>1954.06</v>
      </c>
      <c r="E37" s="255">
        <f>'数据-取费表'!B35</f>
        <v>200</v>
      </c>
      <c r="F37" s="265"/>
      <c r="G37" s="267" t="s">
        <v>119</v>
      </c>
    </row>
    <row r="38" spans="1:7" ht="13.5" customHeight="1">
      <c r="A38" s="886" t="s">
        <v>799</v>
      </c>
      <c r="B38" s="221" t="s">
        <v>63</v>
      </c>
      <c r="C38" s="226">
        <f>ROUND(C34*F38,0)</f>
        <v>12</v>
      </c>
      <c r="D38" s="226"/>
      <c r="E38" s="226"/>
      <c r="F38" s="265">
        <f>'数据-取费表'!B36</f>
        <v>1.4999999999999999E-2</v>
      </c>
      <c r="G38" s="225" t="s">
        <v>117</v>
      </c>
    </row>
    <row r="39" spans="1:7" s="220" customFormat="1" ht="13.5" customHeight="1">
      <c r="A39" s="883" t="s">
        <v>783</v>
      </c>
      <c r="B39" s="216" t="s">
        <v>104</v>
      </c>
      <c r="C39" s="238">
        <f>ROUND(C33*F20,0)</f>
        <v>17</v>
      </c>
      <c r="D39" s="238"/>
      <c r="E39" s="238"/>
      <c r="F39" s="239"/>
      <c r="G39" s="1194"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38</v>
      </c>
      <c r="D41" s="241">
        <f ca="1">C44</f>
        <v>8.9999999999999998E-4</v>
      </c>
      <c r="E41" s="242" t="s">
        <v>129</v>
      </c>
      <c r="F41" s="243"/>
      <c r="G41" s="1194" t="str">
        <f>IF('数据-取费表'!B22&lt;=1,"单利计息","复利计息")</f>
        <v>复利计息</v>
      </c>
    </row>
    <row r="42" spans="1:7" ht="13.5" customHeight="1">
      <c r="A42" s="886" t="s">
        <v>794</v>
      </c>
      <c r="B42" s="221" t="s">
        <v>1029</v>
      </c>
      <c r="C42" s="244">
        <f ca="1">ROUND(IF('数据-取费表'!B22&lt;=1,C33*F22*'数据-取费表'!B21/2,C33*(POWER((1+F22),'数据-取费表'!B21/2)-1)),0)</f>
        <v>37</v>
      </c>
      <c r="D42" s="244"/>
      <c r="E42" s="244"/>
      <c r="F42" s="245"/>
      <c r="G42" s="3284" t="s">
        <v>121</v>
      </c>
    </row>
    <row r="43" spans="1:7" ht="13.5" customHeight="1">
      <c r="A43" s="886" t="s">
        <v>792</v>
      </c>
      <c r="B43" s="221" t="s">
        <v>1032</v>
      </c>
      <c r="C43" s="244">
        <f ca="1">ROUND(IF('数据-取费表'!B22&lt;=1,C39*F22*'数据-取费表'!B21/2,C39*(POWER((1+F22),'数据-取费表'!B21/2)-1)),0)</f>
        <v>1</v>
      </c>
      <c r="D43" s="244"/>
      <c r="E43" s="244"/>
      <c r="F43" s="245"/>
      <c r="G43" s="3285"/>
    </row>
    <row r="44" spans="1:7" ht="13.5" customHeight="1">
      <c r="A44" s="886" t="s">
        <v>793</v>
      </c>
      <c r="B44" s="221" t="s">
        <v>1034</v>
      </c>
      <c r="C44" s="244">
        <f ca="1">ROUND(IF('数据-取费表'!B22&lt;=1,C40*F22*'数据-取费表'!B21/2,C40*(POWER((1+F22),'数据-取费表'!B21/2)-1)),4)</f>
        <v>8.9999999999999998E-4</v>
      </c>
      <c r="D44" s="244"/>
      <c r="E44" s="244"/>
      <c r="F44" s="245"/>
      <c r="G44" s="3286"/>
    </row>
    <row r="45" spans="1:7" s="220" customFormat="1" ht="13.5" customHeight="1">
      <c r="A45" s="883" t="s">
        <v>786</v>
      </c>
      <c r="B45" s="250" t="s">
        <v>112</v>
      </c>
      <c r="C45" s="251">
        <f>C46</f>
        <v>131</v>
      </c>
      <c r="D45" s="241">
        <f>C47</f>
        <v>3.0000000000000001E-3</v>
      </c>
      <c r="E45" s="242" t="s">
        <v>129</v>
      </c>
      <c r="F45" s="252"/>
      <c r="G45" s="253" t="s">
        <v>1040</v>
      </c>
    </row>
    <row r="46" spans="1:7" s="220" customFormat="1" ht="13.5" customHeight="1">
      <c r="A46" s="886" t="s">
        <v>794</v>
      </c>
      <c r="B46" s="254" t="s">
        <v>1033</v>
      </c>
      <c r="C46" s="255">
        <f>ROUND((C33+C39)*F27,0)</f>
        <v>131</v>
      </c>
      <c r="D46" s="269"/>
      <c r="E46" s="242"/>
      <c r="F46" s="252"/>
      <c r="G46" s="253"/>
    </row>
    <row r="47" spans="1:7" s="220" customFormat="1" ht="13.5" customHeight="1">
      <c r="A47" s="886" t="s">
        <v>792</v>
      </c>
      <c r="B47" s="254" t="s">
        <v>1035</v>
      </c>
      <c r="C47" s="244">
        <f>ROUND(C40*F27,4)</f>
        <v>3.0000000000000001E-3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1129</v>
      </c>
      <c r="D49" s="238"/>
      <c r="E49" s="238"/>
      <c r="F49" s="270"/>
      <c r="G49" s="240" t="s">
        <v>1041</v>
      </c>
    </row>
    <row r="50" spans="1:7" s="264" customFormat="1" ht="24">
      <c r="A50" s="883" t="s">
        <v>789</v>
      </c>
      <c r="B50" s="216" t="s">
        <v>124</v>
      </c>
      <c r="C50" s="238"/>
      <c r="D50" s="238"/>
      <c r="E50" s="238"/>
      <c r="F50" s="270">
        <f>IF('数据-取费表'!B24=0,'数据-取费表'!N16,1)</f>
        <v>0.71699999999999997</v>
      </c>
      <c r="G50" s="253" t="s">
        <v>125</v>
      </c>
    </row>
    <row r="51" spans="1:7" ht="16.5" customHeight="1">
      <c r="A51" s="883" t="s">
        <v>790</v>
      </c>
      <c r="B51" s="216" t="s">
        <v>132</v>
      </c>
      <c r="C51" s="238">
        <f ca="1">ROUND(C49*F50,0)</f>
        <v>809</v>
      </c>
      <c r="D51" s="238"/>
      <c r="E51" s="238"/>
      <c r="F51" s="270"/>
      <c r="G51" s="240" t="s">
        <v>64</v>
      </c>
    </row>
    <row r="52" spans="1:7" s="214" customFormat="1" ht="16.5" thickBot="1">
      <c r="A52" s="271" t="s">
        <v>65</v>
      </c>
      <c r="B52" s="272"/>
      <c r="C52" s="273">
        <f ca="1">C31+C51</f>
        <v>29065</v>
      </c>
      <c r="D52" s="272"/>
      <c r="E52" s="272"/>
      <c r="F52" s="272"/>
      <c r="G52" s="274"/>
    </row>
    <row r="55" spans="1:7" ht="15">
      <c r="B55" s="276" t="s">
        <v>66</v>
      </c>
      <c r="C55" s="277"/>
    </row>
    <row r="56" spans="1:7">
      <c r="B56" s="279" t="s">
        <v>67</v>
      </c>
      <c r="C56" s="280">
        <f ca="1">ROUND(C51/C52,3)</f>
        <v>2.8000000000000001E-2</v>
      </c>
    </row>
    <row r="57" spans="1:7">
      <c r="B57" s="279" t="s">
        <v>68</v>
      </c>
      <c r="C57" s="281">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4" t="s">
        <v>156</v>
      </c>
      <c r="B1" s="3434"/>
      <c r="C1" s="3434"/>
      <c r="D1" s="3434"/>
      <c r="E1" s="3434"/>
      <c r="F1" s="343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5" t="s">
        <v>169</v>
      </c>
      <c r="B2" s="3435"/>
      <c r="C2" s="3435"/>
      <c r="D2" s="3435"/>
      <c r="E2" s="3435"/>
      <c r="F2" s="343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4" t="s">
        <v>839</v>
      </c>
      <c r="B1" s="343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4" customFormat="1" ht="14.25" thickBot="1">
      <c r="A1" s="1458"/>
      <c r="B1" s="1465" t="s">
        <v>1267</v>
      </c>
      <c r="C1" s="1459">
        <f>项目基本情况!D3</f>
        <v>44336</v>
      </c>
      <c r="D1" s="1465" t="s">
        <v>1268</v>
      </c>
      <c r="E1" s="1460">
        <f>'数据-取费表'!B22</f>
        <v>2</v>
      </c>
      <c r="F1" s="1465" t="s">
        <v>1269</v>
      </c>
      <c r="G1" s="1461">
        <f ca="1">INDIRECT("d"&amp;$K$1)/100</f>
        <v>3.85E-2</v>
      </c>
      <c r="H1" s="1465" t="s">
        <v>1299</v>
      </c>
      <c r="I1" s="1461">
        <f ca="1">F4/100</f>
        <v>1.4999999999999999E-2</v>
      </c>
      <c r="J1" s="1466">
        <f>IF(C1&gt;C13,0,MATCH(C1,C$13:C$105,-1))+IF(SUMIF(C13:C105,C1,D13:D105)=0,13,12)</f>
        <v>13</v>
      </c>
      <c r="K1" s="1466">
        <f>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33">
        <v>43941</v>
      </c>
      <c r="D13" s="3034">
        <v>3.85</v>
      </c>
      <c r="E13" s="3034">
        <v>3.85</v>
      </c>
      <c r="F13" s="3034">
        <v>3.85</v>
      </c>
      <c r="G13" s="3034">
        <v>3.85</v>
      </c>
      <c r="H13" s="3034">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29"/>
      <c r="C14" s="3030">
        <v>43881</v>
      </c>
      <c r="D14" s="3029">
        <v>4.05</v>
      </c>
      <c r="E14" s="3029">
        <v>4.05</v>
      </c>
      <c r="F14" s="3029">
        <v>4.05</v>
      </c>
      <c r="G14" s="3029">
        <v>4.05</v>
      </c>
      <c r="H14" s="3029">
        <v>4.75</v>
      </c>
      <c r="I14" s="3029"/>
      <c r="J14" s="3029"/>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29"/>
      <c r="C15" s="3030">
        <v>43789</v>
      </c>
      <c r="D15" s="3029">
        <v>4.1500000000000004</v>
      </c>
      <c r="E15" s="3029">
        <v>4.1500000000000004</v>
      </c>
      <c r="F15" s="3029">
        <v>4.1500000000000004</v>
      </c>
      <c r="G15" s="3029">
        <v>4.1500000000000004</v>
      </c>
      <c r="H15" s="3029">
        <v>4.8</v>
      </c>
      <c r="I15" s="3029"/>
      <c r="J15" s="3029"/>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29"/>
      <c r="C16" s="3030">
        <v>43728</v>
      </c>
      <c r="D16" s="3029">
        <v>4.2</v>
      </c>
      <c r="E16" s="3029">
        <v>4.2</v>
      </c>
      <c r="F16" s="3029">
        <v>4.2</v>
      </c>
      <c r="G16" s="3029">
        <v>4.2</v>
      </c>
      <c r="H16" s="3029">
        <v>4.8499999999999996</v>
      </c>
      <c r="I16" s="3029"/>
      <c r="J16" s="3029"/>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56" ht="14.25">
      <c r="A17" s="1447"/>
      <c r="B17" s="3028" t="s">
        <v>3051</v>
      </c>
      <c r="C17" s="3031">
        <v>43697</v>
      </c>
      <c r="D17" s="3032">
        <v>4.25</v>
      </c>
      <c r="E17" s="3032">
        <v>4.25</v>
      </c>
      <c r="F17" s="3032">
        <v>4.25</v>
      </c>
      <c r="G17" s="3032">
        <v>4.25</v>
      </c>
      <c r="H17" s="3032">
        <v>4.8499999999999996</v>
      </c>
      <c r="I17" s="3032"/>
      <c r="J17" s="3032"/>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56" s="3040" customFormat="1" ht="15">
      <c r="A18" s="3035"/>
      <c r="B18" s="3036"/>
      <c r="C18" s="3037">
        <v>42301</v>
      </c>
      <c r="D18" s="3038">
        <v>4.3499999999999996</v>
      </c>
      <c r="E18" s="3038">
        <v>4.3499999999999996</v>
      </c>
      <c r="F18" s="3038">
        <v>4.75</v>
      </c>
      <c r="G18" s="3038">
        <v>4.75</v>
      </c>
      <c r="H18" s="3038">
        <v>4.9000000000000004</v>
      </c>
      <c r="I18" s="3038"/>
      <c r="J18" s="3038"/>
      <c r="K18" s="1441"/>
      <c r="L18" s="3038"/>
      <c r="M18" s="3037">
        <v>41965</v>
      </c>
      <c r="N18" s="3038">
        <v>0.35</v>
      </c>
      <c r="O18" s="3038">
        <v>2.35</v>
      </c>
      <c r="P18" s="3038">
        <v>2.5499999999999998</v>
      </c>
      <c r="Q18" s="3038">
        <v>2.75</v>
      </c>
      <c r="R18" s="3038">
        <v>3.35</v>
      </c>
      <c r="S18" s="3038">
        <v>4</v>
      </c>
      <c r="T18" s="3038">
        <v>4.75</v>
      </c>
      <c r="U18" s="3039">
        <v>2.35</v>
      </c>
      <c r="V18" s="3039">
        <v>2.5499999999999998</v>
      </c>
      <c r="W18" s="3039">
        <v>2.75</v>
      </c>
      <c r="X18" s="3038"/>
      <c r="Y18" s="3039">
        <v>0.8</v>
      </c>
      <c r="Z18" s="3039">
        <v>1.35</v>
      </c>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X18" s="1446"/>
      <c r="FY18" s="1446"/>
      <c r="FZ18" s="1446"/>
      <c r="GA18" s="1446"/>
      <c r="GB18" s="1446"/>
      <c r="GC18" s="1446"/>
      <c r="GD18" s="1446"/>
      <c r="GE18" s="1446"/>
      <c r="GF18" s="1446"/>
      <c r="GG18" s="1446"/>
      <c r="GH18" s="1446"/>
      <c r="GI18" s="1446"/>
      <c r="GJ18" s="1446"/>
      <c r="GK18" s="1446"/>
      <c r="GL18" s="1446"/>
      <c r="GM18" s="1446"/>
      <c r="GN18" s="1446"/>
      <c r="GO18" s="1446"/>
      <c r="GP18" s="1446"/>
      <c r="GQ18" s="1446"/>
      <c r="GR18" s="1446"/>
      <c r="GS18" s="1446"/>
      <c r="GT18" s="1446"/>
      <c r="GU18" s="1446"/>
      <c r="GV18" s="1446"/>
      <c r="GW18" s="1446"/>
      <c r="GX18" s="1446"/>
      <c r="GY18" s="1446"/>
      <c r="GZ18" s="1446"/>
      <c r="HA18" s="1446"/>
      <c r="HB18" s="1446"/>
      <c r="HC18" s="1446"/>
      <c r="HD18" s="1446"/>
      <c r="HE18" s="1446"/>
      <c r="HF18" s="1446"/>
      <c r="HG18" s="1446"/>
      <c r="HH18" s="1446"/>
      <c r="HI18" s="1446"/>
      <c r="HJ18" s="1446"/>
      <c r="HK18" s="1446"/>
      <c r="HL18" s="1446"/>
      <c r="HM18" s="1446"/>
      <c r="HN18" s="1446"/>
      <c r="HO18" s="1446"/>
      <c r="HP18" s="1446"/>
      <c r="HQ18" s="1446"/>
      <c r="HR18" s="1446"/>
      <c r="HS18" s="1446"/>
      <c r="HT18" s="1446"/>
      <c r="HU18" s="1446"/>
      <c r="HV18" s="1446"/>
      <c r="HW18" s="1446"/>
      <c r="HX18" s="1446"/>
      <c r="HY18" s="1446"/>
      <c r="HZ18" s="1446"/>
      <c r="IA18" s="1446"/>
      <c r="IB18" s="1446"/>
      <c r="IC18" s="1446"/>
      <c r="ID18" s="1446"/>
      <c r="IE18" s="1446"/>
      <c r="IF18" s="1446"/>
      <c r="IG18" s="1446"/>
      <c r="IH18" s="1446"/>
      <c r="II18" s="1446"/>
      <c r="IJ18" s="1446"/>
      <c r="IK18" s="1446"/>
      <c r="IL18" s="1446"/>
      <c r="IM18" s="1446"/>
      <c r="IN18" s="1446"/>
      <c r="IO18" s="1446"/>
      <c r="IP18" s="1446"/>
      <c r="IQ18" s="1446"/>
      <c r="IR18" s="1446"/>
      <c r="IS18" s="1446"/>
      <c r="IT18" s="1446"/>
      <c r="IU18" s="1446"/>
      <c r="IV18" s="1446"/>
    </row>
    <row r="19" spans="1:256">
      <c r="B19" s="1453"/>
      <c r="C19" s="1454">
        <v>42242</v>
      </c>
      <c r="D19" s="1453">
        <v>4.5999999999999996</v>
      </c>
      <c r="E19" s="1453">
        <v>4.5999999999999996</v>
      </c>
      <c r="F19" s="1453">
        <v>5</v>
      </c>
      <c r="G19" s="1453">
        <v>5</v>
      </c>
      <c r="H19" s="1453">
        <v>5.15</v>
      </c>
      <c r="I19" s="1453">
        <v>2.75</v>
      </c>
      <c r="J19" s="1453">
        <v>3.25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56">
      <c r="B20" s="1453"/>
      <c r="C20" s="1454">
        <v>42183</v>
      </c>
      <c r="D20" s="1453">
        <v>4.8499999999999996</v>
      </c>
      <c r="E20" s="1453">
        <v>4.8499999999999996</v>
      </c>
      <c r="F20" s="1453">
        <v>5.25</v>
      </c>
      <c r="G20" s="1453">
        <v>5.25</v>
      </c>
      <c r="H20" s="1453">
        <v>5.4</v>
      </c>
      <c r="I20" s="1453">
        <v>3</v>
      </c>
      <c r="J20" s="1453">
        <v>3.5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56">
      <c r="B21" s="1453"/>
      <c r="C21" s="1454">
        <v>42135</v>
      </c>
      <c r="D21" s="1453">
        <v>5.0999999999999996</v>
      </c>
      <c r="E21" s="1453">
        <v>5.0999999999999996</v>
      </c>
      <c r="F21" s="1453">
        <v>5.5</v>
      </c>
      <c r="G21" s="1453">
        <v>5.5</v>
      </c>
      <c r="H21" s="1453">
        <v>5.65</v>
      </c>
      <c r="I21" s="1453">
        <v>3.25</v>
      </c>
      <c r="J21" s="1453">
        <v>3.75</v>
      </c>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56">
      <c r="B22" s="1453"/>
      <c r="C22" s="1454">
        <v>42064</v>
      </c>
      <c r="D22" s="1453">
        <v>5.35</v>
      </c>
      <c r="E22" s="1453">
        <v>5.35</v>
      </c>
      <c r="F22" s="1453">
        <v>5.75</v>
      </c>
      <c r="G22" s="1453">
        <v>5.75</v>
      </c>
      <c r="H22" s="1453">
        <v>5.9</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56">
      <c r="B23" s="1453"/>
      <c r="C23" s="1454">
        <v>41965</v>
      </c>
      <c r="D23" s="1453">
        <v>5.6</v>
      </c>
      <c r="E23" s="1453">
        <v>5.6</v>
      </c>
      <c r="F23" s="1453">
        <v>6</v>
      </c>
      <c r="G23" s="1453">
        <v>6</v>
      </c>
      <c r="H23" s="1453">
        <v>6.15</v>
      </c>
      <c r="I23" s="1453"/>
      <c r="J23" s="1453"/>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56">
      <c r="B24" s="1453"/>
      <c r="C24" s="1454">
        <v>41096</v>
      </c>
      <c r="D24" s="1453">
        <v>5.6</v>
      </c>
      <c r="E24" s="1453">
        <v>6</v>
      </c>
      <c r="F24" s="1453">
        <v>6.15</v>
      </c>
      <c r="G24" s="1453">
        <v>6.4</v>
      </c>
      <c r="H24" s="1453">
        <v>6.55</v>
      </c>
      <c r="I24" s="1453">
        <v>4</v>
      </c>
      <c r="J24" s="1453">
        <v>4.5</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56">
      <c r="B25" s="1453"/>
      <c r="C25" s="1454">
        <v>41068</v>
      </c>
      <c r="D25" s="1453">
        <v>5.85</v>
      </c>
      <c r="E25" s="1453">
        <v>6.31</v>
      </c>
      <c r="F25" s="1453">
        <v>6.4</v>
      </c>
      <c r="G25" s="1453">
        <v>6.65</v>
      </c>
      <c r="H25" s="1453">
        <v>6.8</v>
      </c>
      <c r="I25" s="1453">
        <v>4.2</v>
      </c>
      <c r="J25" s="1453">
        <v>4.7</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56">
      <c r="B26" s="1453"/>
      <c r="C26" s="1454">
        <v>40731</v>
      </c>
      <c r="D26" s="1453">
        <v>6.1</v>
      </c>
      <c r="E26" s="1453">
        <v>6.56</v>
      </c>
      <c r="F26" s="1453">
        <v>6.65</v>
      </c>
      <c r="G26" s="1453">
        <v>6.9</v>
      </c>
      <c r="H26" s="1453">
        <v>7.05</v>
      </c>
      <c r="I26" s="1453">
        <v>4.45</v>
      </c>
      <c r="J26" s="1453">
        <v>4.9000000000000004</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56">
      <c r="B27" s="1453"/>
      <c r="C27" s="1454">
        <v>40639</v>
      </c>
      <c r="D27" s="1453">
        <v>5.85</v>
      </c>
      <c r="E27" s="1453">
        <v>6.31</v>
      </c>
      <c r="F27" s="1453">
        <v>6.4</v>
      </c>
      <c r="G27" s="1453">
        <v>6.65</v>
      </c>
      <c r="H27" s="1453">
        <v>6.8</v>
      </c>
      <c r="I27" s="1453">
        <v>4.2</v>
      </c>
      <c r="J27" s="1453">
        <v>4.7</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56">
      <c r="B28" s="1453"/>
      <c r="C28" s="1454">
        <v>40583</v>
      </c>
      <c r="D28" s="1453">
        <v>5.6</v>
      </c>
      <c r="E28" s="1453">
        <v>6.06</v>
      </c>
      <c r="F28" s="1453">
        <v>6.1</v>
      </c>
      <c r="G28" s="1453">
        <v>6.45</v>
      </c>
      <c r="H28" s="1453">
        <v>6.6</v>
      </c>
      <c r="I28" s="1453">
        <v>4</v>
      </c>
      <c r="J28" s="1453">
        <v>4.5</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56">
      <c r="B29" s="1453"/>
      <c r="C29" s="1454">
        <v>40538</v>
      </c>
      <c r="D29" s="1453">
        <v>5.35</v>
      </c>
      <c r="E29" s="1453">
        <v>5.81</v>
      </c>
      <c r="F29" s="1453">
        <v>5.85</v>
      </c>
      <c r="G29" s="1453">
        <v>6.22</v>
      </c>
      <c r="H29" s="1453">
        <v>6.4</v>
      </c>
      <c r="I29" s="1453">
        <v>3.75</v>
      </c>
      <c r="J29" s="1453">
        <v>4.3</v>
      </c>
      <c r="L29" s="1453"/>
      <c r="M29" s="1455">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56">
      <c r="B30" s="1453"/>
      <c r="C30" s="1454">
        <v>40471</v>
      </c>
      <c r="D30" s="1453">
        <v>5.0999999999999996</v>
      </c>
      <c r="E30" s="1453">
        <v>5.56</v>
      </c>
      <c r="F30" s="1453">
        <v>5.6</v>
      </c>
      <c r="G30" s="1453">
        <v>5.96</v>
      </c>
      <c r="H30" s="1453">
        <v>6.14</v>
      </c>
      <c r="I30" s="1453">
        <v>3.5</v>
      </c>
      <c r="J30" s="1453">
        <v>4.05</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56">
      <c r="B31" s="1453"/>
      <c r="C31" s="1454">
        <v>39805</v>
      </c>
      <c r="D31" s="1453">
        <v>4.8600000000000003</v>
      </c>
      <c r="E31" s="1453">
        <v>5.31</v>
      </c>
      <c r="F31" s="1453">
        <v>5.4</v>
      </c>
      <c r="G31" s="1453">
        <v>5.76</v>
      </c>
      <c r="H31" s="1453">
        <v>5.94</v>
      </c>
      <c r="I31" s="1453">
        <v>3.33</v>
      </c>
      <c r="J31" s="1453">
        <v>3.87</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56">
      <c r="B32" s="1453"/>
      <c r="C32" s="1454">
        <v>39779</v>
      </c>
      <c r="D32" s="1453">
        <v>5.04</v>
      </c>
      <c r="E32" s="1453">
        <v>5.58</v>
      </c>
      <c r="F32" s="1453">
        <v>5.67</v>
      </c>
      <c r="G32" s="1453">
        <v>5.94</v>
      </c>
      <c r="H32" s="1453">
        <v>6.12</v>
      </c>
      <c r="I32" s="1453">
        <v>3.51</v>
      </c>
      <c r="J32" s="1453">
        <v>4.05</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4">
        <v>39751</v>
      </c>
      <c r="D33" s="1453">
        <v>6.03</v>
      </c>
      <c r="E33" s="1453">
        <v>6.66</v>
      </c>
      <c r="F33" s="1453">
        <v>6.75</v>
      </c>
      <c r="G33" s="1453">
        <v>7.02</v>
      </c>
      <c r="H33" s="1453">
        <v>7.2</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5">
        <v>39748</v>
      </c>
      <c r="D34" s="1453">
        <v>6.12</v>
      </c>
      <c r="E34" s="1453">
        <v>6.93</v>
      </c>
      <c r="F34" s="1453">
        <v>7.02</v>
      </c>
      <c r="G34" s="1453">
        <v>7.29</v>
      </c>
      <c r="H34" s="1453">
        <v>7.47</v>
      </c>
      <c r="I34" s="1453">
        <v>4.05</v>
      </c>
      <c r="J34" s="1453">
        <v>4.59</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39730</v>
      </c>
      <c r="D35" s="1453">
        <v>6.12</v>
      </c>
      <c r="E35" s="1453">
        <v>6.93</v>
      </c>
      <c r="F35" s="1453">
        <v>7.02</v>
      </c>
      <c r="G35" s="1453">
        <v>7.29</v>
      </c>
      <c r="H35" s="1453">
        <v>7.47</v>
      </c>
      <c r="I35" s="1453">
        <v>4.32</v>
      </c>
      <c r="J35" s="1453">
        <v>4.8600000000000003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39707</v>
      </c>
      <c r="D36" s="1453">
        <v>6.21</v>
      </c>
      <c r="E36" s="1453">
        <v>7.2</v>
      </c>
      <c r="F36" s="1453">
        <v>7.29</v>
      </c>
      <c r="G36" s="1453">
        <v>7.56</v>
      </c>
      <c r="H36" s="1453">
        <v>7.74</v>
      </c>
      <c r="I36" s="1453">
        <v>4.59</v>
      </c>
      <c r="J36" s="1453">
        <v>5.13</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39437</v>
      </c>
      <c r="D37" s="1453">
        <v>6.57</v>
      </c>
      <c r="E37" s="1453">
        <v>7.47</v>
      </c>
      <c r="F37" s="1453">
        <v>7.56</v>
      </c>
      <c r="G37" s="1453">
        <v>7.74</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39340</v>
      </c>
      <c r="D38" s="1453">
        <v>6.48</v>
      </c>
      <c r="E38" s="1453">
        <v>7.29</v>
      </c>
      <c r="F38" s="1453">
        <v>7.47</v>
      </c>
      <c r="G38" s="1453">
        <v>7.65</v>
      </c>
      <c r="H38" s="1453">
        <v>7.83</v>
      </c>
      <c r="I38" s="1453">
        <v>4.7699999999999996</v>
      </c>
      <c r="J38" s="1453">
        <v>5.22</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39316</v>
      </c>
      <c r="D39" s="1453">
        <v>6.21</v>
      </c>
      <c r="E39" s="1453">
        <v>7.02</v>
      </c>
      <c r="F39" s="1453">
        <v>7.2</v>
      </c>
      <c r="G39" s="1453">
        <v>7.38</v>
      </c>
      <c r="H39" s="1453">
        <v>7.56</v>
      </c>
      <c r="I39" s="1453">
        <v>4.59</v>
      </c>
      <c r="J39" s="1453">
        <v>5.04</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39284</v>
      </c>
      <c r="D40" s="1453">
        <v>6.03</v>
      </c>
      <c r="E40" s="1453">
        <v>6.84</v>
      </c>
      <c r="F40" s="1453">
        <v>7.02</v>
      </c>
      <c r="G40" s="1453">
        <v>7.2</v>
      </c>
      <c r="H40" s="1453">
        <v>7.38</v>
      </c>
      <c r="I40" s="1453">
        <v>4.5</v>
      </c>
      <c r="J40" s="1453">
        <v>4.95</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39221</v>
      </c>
      <c r="D41" s="1453">
        <v>5.85</v>
      </c>
      <c r="E41" s="1453">
        <v>6.57</v>
      </c>
      <c r="F41" s="1453">
        <v>6.75</v>
      </c>
      <c r="G41" s="1453">
        <v>6.93</v>
      </c>
      <c r="H41" s="1453">
        <v>7.2</v>
      </c>
      <c r="I41" s="1453">
        <v>4.41</v>
      </c>
      <c r="J41" s="1453">
        <v>4.8600000000000003</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39159</v>
      </c>
      <c r="D42" s="1453">
        <v>5.67</v>
      </c>
      <c r="E42" s="1453">
        <v>6.39</v>
      </c>
      <c r="F42" s="1453">
        <v>6.57</v>
      </c>
      <c r="G42" s="1453">
        <v>6.75</v>
      </c>
      <c r="H42" s="1453">
        <v>7.11</v>
      </c>
      <c r="I42" s="1453">
        <v>4.32</v>
      </c>
      <c r="J42" s="1453">
        <v>4.7699999999999996</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38948</v>
      </c>
      <c r="D43" s="1453">
        <v>5.58</v>
      </c>
      <c r="E43" s="1453">
        <v>6.12</v>
      </c>
      <c r="F43" s="1453">
        <v>6.3</v>
      </c>
      <c r="G43" s="1453">
        <v>6.48</v>
      </c>
      <c r="H43" s="1453">
        <v>6.84</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38835</v>
      </c>
      <c r="D44" s="1453">
        <v>5.4</v>
      </c>
      <c r="E44" s="1453">
        <v>5.85</v>
      </c>
      <c r="F44" s="1453">
        <v>6.03</v>
      </c>
      <c r="G44" s="1453">
        <v>6.12</v>
      </c>
      <c r="H44" s="1453">
        <v>6.39</v>
      </c>
      <c r="I44" s="1453">
        <v>4.1399999999999997</v>
      </c>
      <c r="J44" s="1453">
        <v>4.59</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38428</v>
      </c>
      <c r="D45" s="1453">
        <v>5.22</v>
      </c>
      <c r="E45" s="1453">
        <v>5.58</v>
      </c>
      <c r="F45" s="1453">
        <v>5.76</v>
      </c>
      <c r="G45" s="1453">
        <v>5.85</v>
      </c>
      <c r="H45" s="1453">
        <v>6.12</v>
      </c>
      <c r="I45" s="1453">
        <v>3.96</v>
      </c>
      <c r="J45" s="1453">
        <v>4.41</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38289</v>
      </c>
      <c r="D46" s="1453">
        <v>5.22</v>
      </c>
      <c r="E46" s="1453">
        <v>5.58</v>
      </c>
      <c r="F46" s="1453">
        <v>5.76</v>
      </c>
      <c r="G46" s="1453">
        <v>5.85</v>
      </c>
      <c r="H46" s="1453">
        <v>6.12</v>
      </c>
      <c r="I46" s="1453">
        <v>3.78</v>
      </c>
      <c r="J46" s="1453">
        <v>4.2300000000000004</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37308</v>
      </c>
      <c r="D47" s="1453">
        <v>5.04</v>
      </c>
      <c r="E47" s="1453">
        <v>5.31</v>
      </c>
      <c r="F47" s="1453">
        <v>5.49</v>
      </c>
      <c r="G47" s="1453">
        <v>5.58</v>
      </c>
      <c r="H47" s="1453">
        <v>5.76</v>
      </c>
      <c r="I47" s="1453">
        <v>3.6</v>
      </c>
      <c r="J47" s="1453">
        <v>4.05</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36321</v>
      </c>
      <c r="D48" s="1453">
        <v>5.58</v>
      </c>
      <c r="E48" s="1453">
        <v>5.85</v>
      </c>
      <c r="F48" s="1453">
        <v>5.94</v>
      </c>
      <c r="G48" s="1453">
        <v>6.03</v>
      </c>
      <c r="H48" s="1453">
        <v>6.21</v>
      </c>
      <c r="I48" s="1453">
        <v>4.1399999999999997</v>
      </c>
      <c r="J48" s="1453">
        <v>4.59</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36136</v>
      </c>
      <c r="D49" s="1453">
        <v>6.12</v>
      </c>
      <c r="E49" s="1453">
        <v>6.39</v>
      </c>
      <c r="F49" s="1453">
        <v>6.66</v>
      </c>
      <c r="G49" s="1453">
        <v>7.2</v>
      </c>
      <c r="H49" s="1453">
        <v>7.56</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35977</v>
      </c>
      <c r="D50" s="1453">
        <v>6.57</v>
      </c>
      <c r="E50" s="1453">
        <v>6.93</v>
      </c>
      <c r="F50" s="1453">
        <v>7.11</v>
      </c>
      <c r="G50" s="1453">
        <v>7.65</v>
      </c>
      <c r="H50" s="1453">
        <v>8.01</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35879</v>
      </c>
      <c r="D51" s="1453">
        <v>7.02</v>
      </c>
      <c r="E51" s="1453">
        <v>7.92</v>
      </c>
      <c r="F51" s="1453">
        <v>9</v>
      </c>
      <c r="G51" s="1453">
        <v>9.7200000000000006</v>
      </c>
      <c r="H51" s="1453">
        <v>10.35</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35726</v>
      </c>
      <c r="D52" s="1453">
        <v>7.65</v>
      </c>
      <c r="E52" s="1453">
        <v>8.64</v>
      </c>
      <c r="F52" s="1453">
        <v>9.36</v>
      </c>
      <c r="G52" s="1453">
        <v>9.9</v>
      </c>
      <c r="H52" s="1453">
        <v>10.53</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35300</v>
      </c>
      <c r="D53" s="1453">
        <v>9.18</v>
      </c>
      <c r="E53" s="1453">
        <v>10.08</v>
      </c>
      <c r="F53" s="1453">
        <v>10.98</v>
      </c>
      <c r="G53" s="1453">
        <v>11.7</v>
      </c>
      <c r="H53" s="1453">
        <v>12.42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35186</v>
      </c>
      <c r="D54" s="1453">
        <v>9.7200000000000006</v>
      </c>
      <c r="E54" s="1453">
        <v>10.98</v>
      </c>
      <c r="F54" s="1453">
        <v>13.14</v>
      </c>
      <c r="G54" s="1453">
        <v>14.94</v>
      </c>
      <c r="H54" s="1453">
        <v>15.12</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34881</v>
      </c>
      <c r="D55" s="1453">
        <v>10.08</v>
      </c>
      <c r="E55" s="1453">
        <v>12.06</v>
      </c>
      <c r="F55" s="1453">
        <v>13.5</v>
      </c>
      <c r="G55" s="1453">
        <v>15.12</v>
      </c>
      <c r="H55" s="1453">
        <v>15.3</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34700</v>
      </c>
      <c r="D56" s="1453">
        <v>9</v>
      </c>
      <c r="E56" s="1453">
        <v>10.98</v>
      </c>
      <c r="F56" s="1453">
        <v>12.96</v>
      </c>
      <c r="G56" s="1453">
        <v>14.58</v>
      </c>
      <c r="H56" s="1453">
        <v>14.76</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34161</v>
      </c>
      <c r="D57" s="1453">
        <v>9</v>
      </c>
      <c r="E57" s="1453">
        <v>10.98</v>
      </c>
      <c r="F57" s="1453">
        <v>12.24</v>
      </c>
      <c r="G57" s="1453">
        <v>13.86</v>
      </c>
      <c r="H57" s="1453">
        <v>14.04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34104</v>
      </c>
      <c r="D58" s="1453">
        <v>8.82</v>
      </c>
      <c r="E58" s="1453">
        <v>9.36</v>
      </c>
      <c r="F58" s="1453">
        <v>10.8</v>
      </c>
      <c r="G58" s="1453">
        <v>12.06</v>
      </c>
      <c r="H58" s="1453">
        <v>12.24</v>
      </c>
      <c r="I58" s="1453">
        <v>0</v>
      </c>
      <c r="J58" s="1453">
        <v>0</v>
      </c>
    </row>
    <row r="59" spans="2:26">
      <c r="B59" s="1453"/>
      <c r="C59" s="1454">
        <v>33349</v>
      </c>
      <c r="D59" s="1453">
        <v>8.1</v>
      </c>
      <c r="E59" s="1453">
        <v>8.64</v>
      </c>
      <c r="F59" s="1453">
        <v>9</v>
      </c>
      <c r="G59" s="1453">
        <v>9.5399999999999991</v>
      </c>
      <c r="H59" s="1453">
        <v>9.7200000000000006</v>
      </c>
      <c r="I59" s="1453">
        <v>0</v>
      </c>
      <c r="J59" s="1453">
        <v>0</v>
      </c>
    </row>
    <row r="60" spans="2:26">
      <c r="B60" s="1453"/>
      <c r="C60" s="1454">
        <v>33318</v>
      </c>
      <c r="D60" s="1453">
        <v>9</v>
      </c>
      <c r="E60" s="1453">
        <v>10.08</v>
      </c>
      <c r="F60" s="1453">
        <v>10.8</v>
      </c>
      <c r="G60" s="1453">
        <v>11.52</v>
      </c>
      <c r="H60" s="1453">
        <v>11.88</v>
      </c>
      <c r="I60" s="1453" t="s">
        <v>1298</v>
      </c>
      <c r="J60" s="1453" t="s">
        <v>1298</v>
      </c>
    </row>
    <row r="61" spans="2:26">
      <c r="B61" s="1453"/>
      <c r="C61" s="1454">
        <v>33106</v>
      </c>
      <c r="D61" s="1453">
        <v>8.64</v>
      </c>
      <c r="E61" s="1453">
        <v>9.36</v>
      </c>
      <c r="F61" s="1453">
        <v>10.08</v>
      </c>
      <c r="G61" s="1453">
        <v>10.8</v>
      </c>
      <c r="H61" s="1453">
        <v>11.16</v>
      </c>
      <c r="I61" s="1453">
        <v>0</v>
      </c>
      <c r="J61" s="1453">
        <v>0</v>
      </c>
    </row>
    <row r="62" spans="2:26">
      <c r="B62" s="1453"/>
      <c r="C62" s="1454">
        <v>32540</v>
      </c>
      <c r="D62" s="1453">
        <v>11.34</v>
      </c>
      <c r="E62" s="1453">
        <v>11.34</v>
      </c>
      <c r="F62" s="1453">
        <v>12.78</v>
      </c>
      <c r="G62" s="1453">
        <v>14.4</v>
      </c>
      <c r="H62" s="1453">
        <v>19.260000000000002</v>
      </c>
      <c r="I62" s="1453">
        <v>0</v>
      </c>
      <c r="J62" s="1453">
        <v>0</v>
      </c>
    </row>
    <row r="63" spans="2:26">
      <c r="B63" s="1453"/>
      <c r="C63" s="1454"/>
      <c r="D63" s="1453"/>
      <c r="E63" s="1453"/>
      <c r="F63" s="1453"/>
      <c r="G63" s="1453"/>
      <c r="H63" s="1453"/>
      <c r="I63" s="1453"/>
      <c r="J63" s="1453"/>
    </row>
    <row r="64" spans="2:26">
      <c r="B64" s="1456"/>
      <c r="C64" s="1457"/>
      <c r="D64" s="1456"/>
      <c r="E64" s="1456"/>
      <c r="F64" s="1456"/>
      <c r="G64" s="1456"/>
      <c r="H64" s="1456"/>
      <c r="I64" s="1456"/>
      <c r="J64" s="1456"/>
    </row>
    <row r="65" spans="2:10">
      <c r="B65" s="1456"/>
      <c r="C65" s="1457"/>
      <c r="D65" s="1456"/>
      <c r="E65" s="1456"/>
      <c r="F65" s="1456"/>
      <c r="G65" s="1456"/>
      <c r="H65" s="1456"/>
      <c r="I65" s="1456"/>
      <c r="J65" s="1456"/>
    </row>
    <row r="66" spans="2:10">
      <c r="B66" s="1456"/>
      <c r="C66" s="1457"/>
      <c r="D66" s="1456"/>
      <c r="E66" s="1456"/>
      <c r="F66" s="1456"/>
      <c r="G66" s="1456"/>
      <c r="H66" s="1456"/>
      <c r="I66" s="1456"/>
      <c r="J66" s="1456"/>
    </row>
    <row r="67" spans="2:10">
      <c r="B67" s="1405"/>
      <c r="C67" s="1405"/>
      <c r="D67" s="1405"/>
      <c r="E67" s="1405"/>
      <c r="F67" s="1405"/>
      <c r="G67" s="1405"/>
      <c r="H67" s="1405"/>
      <c r="I67" s="1405"/>
      <c r="J67" s="1405"/>
    </row>
    <row r="68" spans="2:10">
      <c r="B68" s="1405"/>
      <c r="C68" s="1405"/>
      <c r="D68" s="1405"/>
      <c r="E68" s="1405"/>
      <c r="F68" s="1405"/>
      <c r="G68" s="1405"/>
      <c r="H68" s="1405"/>
      <c r="I68" s="1405"/>
      <c r="J68" s="1405"/>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
  <sheetViews>
    <sheetView tabSelected="1" workbookViewId="0">
      <selection activeCell="J6" sqref="J6"/>
    </sheetView>
  </sheetViews>
  <sheetFormatPr defaultRowHeight="13.5"/>
  <cols>
    <col min="2" max="7" width="14.625" customWidth="1"/>
  </cols>
  <sheetData>
    <row r="1" spans="2:8" ht="14.25" thickBot="1"/>
    <row r="2" spans="2:8" ht="39" thickTop="1">
      <c r="B2" s="3438" t="s">
        <v>3210</v>
      </c>
      <c r="C2" s="3439" t="s">
        <v>3211</v>
      </c>
      <c r="D2" s="3440" t="s">
        <v>3212</v>
      </c>
      <c r="E2" s="3439" t="s">
        <v>3213</v>
      </c>
      <c r="F2" s="3439" t="s">
        <v>3214</v>
      </c>
      <c r="G2" s="3439" t="s">
        <v>3215</v>
      </c>
    </row>
    <row r="3" spans="2:8" ht="51">
      <c r="B3" s="3441" t="s">
        <v>3216</v>
      </c>
      <c r="C3" s="3442">
        <v>1954.06</v>
      </c>
      <c r="D3" s="3442">
        <v>222.28</v>
      </c>
      <c r="E3" s="3442">
        <f ca="1">G3-F3</f>
        <v>4978</v>
      </c>
      <c r="F3" s="3442">
        <f ca="1">ROUND('收益法 (元)'!C13/10000,0)</f>
        <v>810</v>
      </c>
      <c r="G3" s="3442">
        <f ca="1">典型户型修正!S24</f>
        <v>5788</v>
      </c>
      <c r="H3">
        <f ca="1">ROUND(F3/C3*10000,0)</f>
        <v>4145</v>
      </c>
    </row>
    <row r="4" spans="2:8" ht="38.25">
      <c r="B4" s="3441" t="s">
        <v>3217</v>
      </c>
      <c r="C4" s="3442">
        <v>2389.34</v>
      </c>
      <c r="D4" s="3442">
        <v>271.79000000000002</v>
      </c>
      <c r="E4" s="3442">
        <f t="shared" ref="E4:E5" ca="1" si="0">G4-F4</f>
        <v>3214</v>
      </c>
      <c r="F4" s="3442">
        <f ca="1">ROUND(H3*C4/10000,0)</f>
        <v>990</v>
      </c>
      <c r="G4" s="3442">
        <f ca="1">典型户型修正!S25</f>
        <v>4204</v>
      </c>
      <c r="H4">
        <f t="shared" ref="H4:H5" ca="1" si="1">F4/C4</f>
        <v>0.41434036177354411</v>
      </c>
    </row>
    <row r="5" spans="2:8" ht="38.25">
      <c r="B5" s="3441" t="s">
        <v>3218</v>
      </c>
      <c r="C5" s="3442">
        <v>1810.1</v>
      </c>
      <c r="D5" s="3442">
        <v>205.9</v>
      </c>
      <c r="E5" s="3442">
        <f t="shared" ca="1" si="0"/>
        <v>1931</v>
      </c>
      <c r="F5" s="3442">
        <f ca="1">ROUND(H3*C5/10000,0)</f>
        <v>750</v>
      </c>
      <c r="G5" s="3442">
        <f ca="1">典型户型修正!S26</f>
        <v>2681</v>
      </c>
      <c r="H5">
        <f t="shared" ca="1" si="1"/>
        <v>0.41434174907463678</v>
      </c>
    </row>
    <row r="6" spans="2:8">
      <c r="B6" s="3441" t="s">
        <v>37</v>
      </c>
      <c r="C6" s="3442">
        <v>6153.5</v>
      </c>
      <c r="D6" s="3442">
        <v>699.97</v>
      </c>
      <c r="E6" s="3442">
        <f ca="1">SUM(E3:E5)</f>
        <v>10123</v>
      </c>
      <c r="F6" s="3442">
        <f t="shared" ref="F6:G6" ca="1" si="2">SUM(F3:F5)</f>
        <v>2550</v>
      </c>
      <c r="G6" s="3442">
        <f t="shared" ca="1" si="2"/>
        <v>12673</v>
      </c>
    </row>
    <row r="7" spans="2:8" ht="38.25">
      <c r="B7" s="3444" t="s">
        <v>3219</v>
      </c>
      <c r="C7" s="3445"/>
      <c r="D7" s="3446"/>
      <c r="E7" s="3443" t="s">
        <v>3220</v>
      </c>
      <c r="F7" s="3443" t="s">
        <v>3221</v>
      </c>
      <c r="G7" s="3443" t="s">
        <v>3222</v>
      </c>
    </row>
    <row r="8" spans="2:8">
      <c r="B8" s="3447" t="s">
        <v>3223</v>
      </c>
      <c r="C8" s="3448"/>
      <c r="D8" s="3449"/>
      <c r="E8" s="3450">
        <v>0</v>
      </c>
      <c r="F8" s="3451"/>
      <c r="G8" s="3452"/>
    </row>
    <row r="9" spans="2:8">
      <c r="B9" s="3444" t="s">
        <v>3219</v>
      </c>
      <c r="C9" s="3445"/>
      <c r="D9" s="3446"/>
      <c r="E9" s="3444" t="s">
        <v>3224</v>
      </c>
      <c r="F9" s="3445"/>
      <c r="G9" s="3446"/>
    </row>
    <row r="10" spans="2:8">
      <c r="B10" s="3447" t="s">
        <v>3105</v>
      </c>
      <c r="C10" s="3448"/>
      <c r="D10" s="3449"/>
      <c r="E10" s="3450">
        <v>12061</v>
      </c>
      <c r="F10" s="3451"/>
      <c r="G10" s="3452"/>
    </row>
    <row r="11" spans="2:8" ht="14.25" thickBot="1">
      <c r="B11" s="3453" t="s">
        <v>3219</v>
      </c>
      <c r="C11" s="3454"/>
      <c r="D11" s="3455"/>
      <c r="E11" s="3453" t="s">
        <v>3222</v>
      </c>
      <c r="F11" s="3454"/>
      <c r="G11" s="3455"/>
    </row>
    <row r="12" spans="2:8" ht="14.25" thickTop="1"/>
  </sheetData>
  <mergeCells count="9">
    <mergeCell ref="B11:D11"/>
    <mergeCell ref="E11:G11"/>
    <mergeCell ref="B7:D7"/>
    <mergeCell ref="B8:D8"/>
    <mergeCell ref="E8:G8"/>
    <mergeCell ref="B9:D9"/>
    <mergeCell ref="E9:G9"/>
    <mergeCell ref="B10:D10"/>
    <mergeCell ref="E10:G10"/>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8"/>
      <c r="B3" s="3108"/>
      <c r="C3" s="3108"/>
      <c r="D3" s="961" t="s">
        <v>1603</v>
      </c>
      <c r="E3" s="961" t="s">
        <v>1609</v>
      </c>
      <c r="F3" s="961" t="s">
        <v>1603</v>
      </c>
      <c r="G3" s="961" t="s">
        <v>1604</v>
      </c>
      <c r="H3" s="961" t="s">
        <v>1603</v>
      </c>
      <c r="I3" s="961" t="s">
        <v>1604</v>
      </c>
    </row>
    <row r="4" spans="1:9" ht="45">
      <c r="A4" s="1683" t="str">
        <f>项目基本情况!S2</f>
        <v>山西省太原市平阳路1号1幢1层A号、2层A号、3层A号共三套商业用房房地产房地产</v>
      </c>
      <c r="B4" s="961">
        <f>项目基本情况!C17</f>
        <v>1954.06</v>
      </c>
      <c r="C4" s="961">
        <f>项目基本情况!C18</f>
        <v>222.28</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108" t="s">
        <v>1605</v>
      </c>
      <c r="B5" s="3108"/>
      <c r="C5" s="3108"/>
      <c r="D5" s="3109" t="e">
        <f ca="1">结果表!D119</f>
        <v>#REF!</v>
      </c>
      <c r="E5" s="3109"/>
      <c r="F5" s="3109" t="e">
        <f ca="1">结果表!F119</f>
        <v>#REF!</v>
      </c>
      <c r="G5" s="3109"/>
      <c r="H5" s="3109" t="e">
        <f ca="1">结果表!H119</f>
        <v>#REF!</v>
      </c>
      <c r="I5" s="3109"/>
    </row>
    <row r="6" spans="1:9" ht="15.75">
      <c r="A6" s="3110" t="str">
        <f>结果表!A120</f>
        <v>估价师知悉的法定优先受偿款</v>
      </c>
      <c r="B6" s="3110"/>
      <c r="C6" s="3110"/>
      <c r="D6" s="3110">
        <f>结果表!D120</f>
        <v>0</v>
      </c>
      <c r="E6" s="3110"/>
      <c r="F6" s="3110"/>
      <c r="G6" s="3110"/>
      <c r="H6" s="3110"/>
      <c r="I6" s="3110"/>
    </row>
    <row r="7" spans="1:9" ht="15">
      <c r="A7" s="3108" t="s">
        <v>1605</v>
      </c>
      <c r="B7" s="3108"/>
      <c r="C7" s="3108"/>
      <c r="D7" s="3111" t="str">
        <f>结果表!D121</f>
        <v>零元整</v>
      </c>
      <c r="E7" s="3112"/>
      <c r="F7" s="3112"/>
      <c r="G7" s="3112"/>
      <c r="H7" s="3112"/>
      <c r="I7" s="3113"/>
    </row>
    <row r="8" spans="1:9" ht="15.75">
      <c r="A8" s="3110" t="str">
        <f>结果表!A122</f>
        <v>房地产抵押价值</v>
      </c>
      <c r="B8" s="3110"/>
      <c r="C8" s="3110"/>
      <c r="D8" s="3110" t="e">
        <f ca="1">结果表!D122</f>
        <v>#REF!</v>
      </c>
      <c r="E8" s="3110"/>
      <c r="F8" s="3110"/>
      <c r="G8" s="3110"/>
      <c r="H8" s="3110"/>
      <c r="I8" s="3110"/>
    </row>
    <row r="9" spans="1:9" ht="15">
      <c r="A9" s="3108" t="s">
        <v>1605</v>
      </c>
      <c r="B9" s="3108"/>
      <c r="C9" s="3108"/>
      <c r="D9" s="3109" t="e">
        <f ca="1">结果表!D123</f>
        <v>#REF!</v>
      </c>
      <c r="E9" s="3109"/>
      <c r="F9" s="3109"/>
      <c r="G9" s="3109"/>
      <c r="H9" s="3109"/>
      <c r="I9" s="3109"/>
    </row>
    <row r="10" spans="1:9" ht="15.75">
      <c r="A10" s="3110" t="str">
        <f>结果表!A124</f>
        <v/>
      </c>
      <c r="B10" s="3110"/>
      <c r="C10" s="3110"/>
      <c r="D10" s="3110" t="str">
        <f>结果表!D124</f>
        <v>——</v>
      </c>
      <c r="E10" s="3110"/>
      <c r="F10" s="3110"/>
      <c r="G10" s="3110"/>
      <c r="H10" s="3110"/>
      <c r="I10" s="3110"/>
    </row>
    <row r="11" spans="1:9" ht="15">
      <c r="A11" s="3108" t="s">
        <v>1605</v>
      </c>
      <c r="B11" s="3108"/>
      <c r="C11" s="3108"/>
      <c r="D11" s="3109" t="e">
        <f>结果表!D125</f>
        <v>#VALUE!</v>
      </c>
      <c r="E11" s="3109"/>
      <c r="F11" s="3109"/>
      <c r="G11" s="3109"/>
      <c r="H11" s="3109"/>
      <c r="I11" s="3109"/>
    </row>
    <row r="12" spans="1:9" ht="15.75">
      <c r="A12" s="3110" t="str">
        <f>结果表!A126</f>
        <v/>
      </c>
      <c r="B12" s="3110"/>
      <c r="C12" s="3110"/>
      <c r="D12" s="3110" t="str">
        <f>结果表!D126</f>
        <v>——</v>
      </c>
      <c r="E12" s="3110"/>
      <c r="F12" s="3110"/>
      <c r="G12" s="3110"/>
      <c r="H12" s="3110"/>
      <c r="I12" s="3110"/>
    </row>
    <row r="13" spans="1:9" ht="15.75" thickBot="1">
      <c r="A13" s="3114" t="s">
        <v>1605</v>
      </c>
      <c r="B13" s="3114"/>
      <c r="C13" s="3114"/>
      <c r="D13" s="3115" t="e">
        <f>结果表!D127</f>
        <v>#VALUE!</v>
      </c>
      <c r="E13" s="3115"/>
      <c r="F13" s="3115"/>
      <c r="G13" s="3115"/>
      <c r="H13" s="3115"/>
      <c r="I13" s="3115"/>
    </row>
    <row r="14" spans="1:9" ht="15" thickTop="1">
      <c r="A14" s="3116" t="s">
        <v>1610</v>
      </c>
      <c r="B14" s="3116"/>
      <c r="C14" s="3116"/>
      <c r="D14" s="3116"/>
      <c r="E14" s="3116"/>
      <c r="F14" s="3116"/>
      <c r="G14" s="3116"/>
      <c r="H14" s="3116"/>
      <c r="I14" s="3116"/>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17" t="s">
        <v>1627</v>
      </c>
      <c r="B1" s="3117"/>
      <c r="C1" s="3117"/>
      <c r="D1" s="3117"/>
    </row>
    <row r="2" spans="1:4" ht="18">
      <c r="A2" s="3118" t="s">
        <v>1611</v>
      </c>
      <c r="B2" s="3118"/>
      <c r="C2" s="3118"/>
      <c r="D2" s="3118"/>
    </row>
    <row r="3" spans="1:4" ht="18.75">
      <c r="A3" s="1687" t="s">
        <v>1612</v>
      </c>
      <c r="B3" s="1687" t="s">
        <v>1613</v>
      </c>
      <c r="C3" s="1687" t="s">
        <v>1614</v>
      </c>
      <c r="D3" s="1687" t="s">
        <v>1615</v>
      </c>
    </row>
    <row r="4" spans="1:4" ht="56.25" customHeight="1">
      <c r="A4" s="1688">
        <f>项目基本情况!B4</f>
        <v>0</v>
      </c>
      <c r="B4" s="1689">
        <f>项目基本情况!C4</f>
        <v>0</v>
      </c>
      <c r="C4" s="1690"/>
      <c r="D4" s="1691" t="s">
        <v>1616</v>
      </c>
    </row>
    <row r="5" spans="1:4" ht="56.25" customHeight="1">
      <c r="A5" s="1688">
        <f>项目基本情况!D4</f>
        <v>0</v>
      </c>
      <c r="B5" s="1689">
        <f>项目基本情况!E4</f>
        <v>0</v>
      </c>
      <c r="C5" s="1692"/>
      <c r="D5" s="1691" t="s">
        <v>1616</v>
      </c>
    </row>
    <row r="6" spans="1:4" ht="18">
      <c r="A6" s="3118" t="s">
        <v>1617</v>
      </c>
      <c r="B6" s="3118"/>
      <c r="C6" s="3118"/>
      <c r="D6" s="3118"/>
    </row>
    <row r="7" spans="1:4" ht="18.75">
      <c r="A7" s="1687" t="s">
        <v>1612</v>
      </c>
      <c r="B7" s="1689" t="s">
        <v>1618</v>
      </c>
      <c r="C7" s="1687" t="s">
        <v>1614</v>
      </c>
      <c r="D7" s="1687" t="s">
        <v>1615</v>
      </c>
    </row>
    <row r="8" spans="1:4" ht="56.25" customHeight="1">
      <c r="A8" s="1693" t="s">
        <v>837</v>
      </c>
      <c r="B8" s="1693" t="s">
        <v>1</v>
      </c>
      <c r="C8" s="1690"/>
      <c r="D8" s="1691" t="s">
        <v>1616</v>
      </c>
    </row>
    <row r="9" spans="1:4">
      <c r="A9" s="682"/>
      <c r="B9" s="682"/>
      <c r="C9" s="682"/>
      <c r="D9" s="682"/>
    </row>
    <row r="10" spans="1:4" ht="18.75">
      <c r="A10" s="1694" t="s">
        <v>1619</v>
      </c>
      <c r="B10" s="682"/>
      <c r="C10" s="682"/>
      <c r="D10" s="682"/>
    </row>
    <row r="11" spans="1:4" ht="30" customHeight="1">
      <c r="A11" s="3119" t="s">
        <v>1620</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20" t="str">
        <f>IF(项目基本情况!B8="抵押","4.本次评估估价师所知悉的法定优先受偿款情况说明如下：","——")</f>
        <v>4.本次评估估价师所知悉的法定优先受偿款情况说明如下：</v>
      </c>
      <c r="B14" s="3121"/>
      <c r="C14" s="3121"/>
      <c r="D14" s="3121"/>
    </row>
    <row r="15" spans="1:4" ht="42" customHeight="1">
      <c r="A15" s="3120" t="str">
        <f>IF(项目基本情况!B8="抵押","（1）"&amp;CONCATENATE(项目基本情况!L20,项目基本情况!L21,项目基本情况!L22),"——")</f>
        <v>（1）根据估价对象《房屋所有权证》复印件、《国有土地使用权》复印件，截至价值时点，估价对象已设定抵押。上述抵押权设定日期为2018年8月9日，权利人为包商银行股份有限公司，权利范围为，权利价值为。</v>
      </c>
      <c r="B15" s="3120"/>
      <c r="C15" s="3120"/>
      <c r="D15" s="3120"/>
    </row>
    <row r="16" spans="1:4" ht="30" customHeight="1">
      <c r="A16" s="3123" t="s">
        <v>1621</v>
      </c>
      <c r="B16" s="3123"/>
      <c r="C16" s="3123"/>
      <c r="D16" s="3123"/>
    </row>
    <row r="17" spans="1:4" ht="144" customHeight="1">
      <c r="A17" s="3123" t="s">
        <v>1622</v>
      </c>
      <c r="B17" s="3123"/>
      <c r="C17" s="3123"/>
      <c r="D17" s="3123"/>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4"/>
      <c r="C21" s="3124"/>
      <c r="D21" s="3124"/>
    </row>
    <row r="22" spans="1:4" ht="18.75" customHeight="1">
      <c r="A22" s="3125" t="s">
        <v>1623</v>
      </c>
      <c r="B22" s="3125"/>
      <c r="C22" s="3125"/>
      <c r="D22" s="3125"/>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22">
        <v>42551</v>
      </c>
      <c r="D31" s="3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31" t="s">
        <v>1634</v>
      </c>
      <c r="B15" s="3126" t="s">
        <v>136</v>
      </c>
      <c r="C15" s="3127"/>
    </row>
    <row r="16" spans="1:7" ht="13.5">
      <c r="A16" s="3132"/>
      <c r="B16" s="3126" t="s">
        <v>69</v>
      </c>
      <c r="C16" s="3127"/>
    </row>
    <row r="17" spans="1:3" ht="13.5">
      <c r="A17" s="3132"/>
      <c r="B17" s="3129" t="s">
        <v>1635</v>
      </c>
      <c r="C17" s="1710" t="s">
        <v>1634</v>
      </c>
    </row>
    <row r="18" spans="1:3" ht="13.5">
      <c r="A18" s="3132"/>
      <c r="B18" s="3129"/>
      <c r="C18" s="1710" t="s">
        <v>1636</v>
      </c>
    </row>
    <row r="19" spans="1:3" ht="13.5">
      <c r="A19" s="3132"/>
      <c r="B19" s="3129"/>
      <c r="C19" s="1710" t="s">
        <v>1637</v>
      </c>
    </row>
    <row r="20" spans="1:3" ht="13.5">
      <c r="A20" s="3133"/>
      <c r="B20" s="3128" t="s">
        <v>1638</v>
      </c>
      <c r="C20" s="3127"/>
    </row>
    <row r="21" spans="1:3" ht="13.5">
      <c r="A21" s="1711" t="s">
        <v>1639</v>
      </c>
      <c r="B21" s="1712"/>
      <c r="C21" s="1713"/>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0" t="s">
        <v>1645</v>
      </c>
    </row>
    <row r="26" spans="1:3" ht="13.5">
      <c r="A26" s="3130"/>
      <c r="B26" s="3129"/>
      <c r="C26" s="1710" t="s">
        <v>1646</v>
      </c>
    </row>
    <row r="27" spans="1:3" ht="13.5">
      <c r="A27" s="3130"/>
      <c r="B27" s="3129"/>
      <c r="C27" s="1710" t="s">
        <v>1647</v>
      </c>
    </row>
    <row r="28" spans="1:3" ht="13.5">
      <c r="A28" s="3130"/>
      <c r="B28" s="3129"/>
      <c r="C28" s="1710" t="s">
        <v>1648</v>
      </c>
    </row>
    <row r="29" spans="1:3" ht="13.5">
      <c r="A29" s="3130"/>
      <c r="B29" s="3129"/>
      <c r="C29" s="1710" t="s">
        <v>1649</v>
      </c>
    </row>
    <row r="30" spans="1:3" ht="13.5">
      <c r="A30" s="3130"/>
      <c r="B30" s="3129"/>
      <c r="C30" s="1710" t="s">
        <v>1650</v>
      </c>
    </row>
    <row r="31" spans="1:3" ht="13.5">
      <c r="A31" s="3130"/>
      <c r="B31" s="3129"/>
      <c r="C31" s="1710" t="s">
        <v>1651</v>
      </c>
    </row>
    <row r="32" spans="1:3" ht="13.5">
      <c r="A32" s="3130"/>
      <c r="B32" s="3129"/>
      <c r="C32" s="1710" t="s">
        <v>1652</v>
      </c>
    </row>
    <row r="33" spans="1:3" ht="13.5">
      <c r="A33" s="3130"/>
      <c r="B33" s="3129"/>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2877</v>
      </c>
      <c r="B2" s="2552">
        <f ca="1">TODAY()</f>
        <v>44340</v>
      </c>
      <c r="C2" s="2553" t="s">
        <v>2878</v>
      </c>
      <c r="D2" s="2553"/>
      <c r="E2" s="2553"/>
      <c r="F2" s="2549"/>
      <c r="G2" s="2549"/>
      <c r="H2" s="2549"/>
    </row>
    <row r="3" spans="1:8" ht="24" customHeight="1">
      <c r="A3" s="2554" t="s">
        <v>2879</v>
      </c>
      <c r="B3" s="2555" t="s">
        <v>2880</v>
      </c>
      <c r="C3" s="2555" t="s">
        <v>2881</v>
      </c>
      <c r="D3" s="2556" t="s">
        <v>2882</v>
      </c>
      <c r="E3" s="2557" t="s">
        <v>2883</v>
      </c>
      <c r="F3" s="1467" t="s">
        <v>2884</v>
      </c>
      <c r="G3" s="2555" t="s">
        <v>2881</v>
      </c>
      <c r="H3" s="2556" t="s">
        <v>2885</v>
      </c>
    </row>
    <row r="4" spans="1:8" ht="24" customHeight="1">
      <c r="A4" s="1467" t="s">
        <v>2886</v>
      </c>
      <c r="B4" s="1467">
        <f ca="1">IF(C4&lt;B2,"已过期",1119970066)</f>
        <v>1119970066</v>
      </c>
      <c r="C4" s="2558">
        <v>44876</v>
      </c>
      <c r="D4" s="2559" t="str">
        <f ca="1">A4&amp;"（注册号："&amp;B4&amp;"）"</f>
        <v>梁津（注册号：1119970066）</v>
      </c>
      <c r="E4" s="2560" t="s">
        <v>2886</v>
      </c>
      <c r="F4" s="1467">
        <f ca="1">IF(G4&lt;B2,"已过期",96010014)</f>
        <v>96010014</v>
      </c>
      <c r="G4" s="2561">
        <v>47118</v>
      </c>
      <c r="H4" s="2562" t="str">
        <f ca="1">E4&amp;"（注册号："&amp;F4&amp;"）"</f>
        <v>梁津（注册号：96010014）</v>
      </c>
    </row>
    <row r="5" spans="1:8" ht="24" customHeight="1">
      <c r="A5" s="1467" t="s">
        <v>2887</v>
      </c>
      <c r="B5" s="1467">
        <f ca="1">IF(C5&lt;B2,"已过期",1119970111)</f>
        <v>1119970111</v>
      </c>
      <c r="C5" s="2558">
        <v>44876</v>
      </c>
      <c r="D5" s="2559" t="str">
        <f t="shared" ref="D5:D15" ca="1" si="0">A5&amp;"（注册号："&amp;B5&amp;"）"</f>
        <v>叶凌（注册号：1119970111）</v>
      </c>
      <c r="E5" s="2560" t="s">
        <v>2887</v>
      </c>
      <c r="F5" s="1467">
        <f ca="1">IF(G5&lt;B2,"已过期",94010078)</f>
        <v>94010078</v>
      </c>
      <c r="G5" s="2561">
        <v>46387</v>
      </c>
      <c r="H5" s="2562" t="str">
        <f t="shared" ref="H5:H16" ca="1" si="1">E5&amp;"（注册号："&amp;F5&amp;"）"</f>
        <v>叶凌（注册号：94010078）</v>
      </c>
    </row>
    <row r="6" spans="1:8" ht="24" customHeight="1">
      <c r="A6" s="1467" t="s">
        <v>2888</v>
      </c>
      <c r="B6" s="1467">
        <f ca="1">IF(C6&lt;B2,"已过期",1120050019)</f>
        <v>1120050019</v>
      </c>
      <c r="C6" s="2558">
        <v>44395</v>
      </c>
      <c r="D6" s="2559" t="str">
        <f t="shared" ca="1" si="0"/>
        <v>王鹏（注册号：1120050019）</v>
      </c>
      <c r="E6" s="2560" t="s">
        <v>2888</v>
      </c>
      <c r="F6" s="1467">
        <f ca="1">IF(G6&lt;B2,"已过期",2002110030)</f>
        <v>2002110030</v>
      </c>
      <c r="G6" s="2561">
        <v>46387</v>
      </c>
      <c r="H6" s="2562" t="str">
        <f t="shared" ca="1" si="1"/>
        <v>王鹏（注册号：2002110030）</v>
      </c>
    </row>
    <row r="7" spans="1:8" ht="24" customHeight="1">
      <c r="A7" s="1467" t="s">
        <v>2889</v>
      </c>
      <c r="B7" s="1467">
        <f ca="1">IF(C7&lt;B2,"已过期",1120000080)</f>
        <v>1120000080</v>
      </c>
      <c r="C7" s="2558">
        <v>44876</v>
      </c>
      <c r="D7" s="2559" t="str">
        <f t="shared" ca="1" si="0"/>
        <v>欧红伟（注册号：1120000080）</v>
      </c>
      <c r="E7" s="2560" t="s">
        <v>2889</v>
      </c>
      <c r="F7" s="1467">
        <f ca="1">IF(G7&lt;B2,"已过期",2000110082)</f>
        <v>2000110082</v>
      </c>
      <c r="G7" s="2561">
        <v>46387</v>
      </c>
      <c r="H7" s="2562" t="str">
        <f t="shared" ca="1" si="1"/>
        <v>欧红伟（注册号：2000110082）</v>
      </c>
    </row>
    <row r="8" spans="1:8" ht="24" customHeight="1">
      <c r="A8" s="1467" t="s">
        <v>2890</v>
      </c>
      <c r="B8" s="1467">
        <f ca="1">IF(C8&lt;B2,"已过期",1419970001)</f>
        <v>1419970001</v>
      </c>
      <c r="C8" s="2558">
        <v>44899</v>
      </c>
      <c r="D8" s="2559" t="str">
        <f t="shared" ca="1" si="0"/>
        <v>吴薇（注册号：1419970001）</v>
      </c>
      <c r="E8" s="2560" t="s">
        <v>2890</v>
      </c>
      <c r="F8" s="1467">
        <f ca="1">IF(G8&lt;B2,"已过期",2002110125)</f>
        <v>2002110125</v>
      </c>
      <c r="G8" s="2561">
        <v>47118</v>
      </c>
      <c r="H8" s="2562" t="str">
        <f t="shared" ca="1" si="1"/>
        <v>吴薇（注册号：2002110125）</v>
      </c>
    </row>
    <row r="9" spans="1:8" ht="24" customHeight="1">
      <c r="A9" s="1467" t="s">
        <v>2891</v>
      </c>
      <c r="B9" s="1467">
        <f ca="1">IF(C9&lt;B2,"已过期",1120060040)</f>
        <v>1120060040</v>
      </c>
      <c r="C9" s="2563">
        <v>44554</v>
      </c>
      <c r="D9" s="2559" t="str">
        <f t="shared" ca="1" si="0"/>
        <v>陈颖（注册号：1120060040）</v>
      </c>
      <c r="E9" s="2560" t="s">
        <v>2891</v>
      </c>
      <c r="F9" s="1467">
        <f ca="1">IF(G9&lt;B2,"已过期",2004110096)</f>
        <v>2004110096</v>
      </c>
      <c r="G9" s="2561">
        <v>47118</v>
      </c>
      <c r="H9" s="2562" t="str">
        <f t="shared" ca="1" si="1"/>
        <v>陈颖（注册号：2004110096）</v>
      </c>
    </row>
    <row r="10" spans="1:8" ht="24" customHeight="1">
      <c r="A10" s="1467" t="s">
        <v>2892</v>
      </c>
      <c r="B10" s="1467">
        <f ca="1">IF(C10&lt;B2,"已过期",1120100036)</f>
        <v>1120100036</v>
      </c>
      <c r="C10" s="2563">
        <v>44675</v>
      </c>
      <c r="D10" s="2559" t="str">
        <f t="shared" ca="1" si="0"/>
        <v>崔锴（注册号：1120100036）</v>
      </c>
      <c r="E10" s="2560" t="s">
        <v>2892</v>
      </c>
      <c r="F10" s="1467">
        <f ca="1">IF(G10&lt;B2,"已过期",2010110070)</f>
        <v>2010110070</v>
      </c>
      <c r="G10" s="2561">
        <v>47907</v>
      </c>
      <c r="H10" s="2562" t="str">
        <f t="shared" ca="1" si="1"/>
        <v>崔锴（注册号：2010110070）</v>
      </c>
    </row>
    <row r="11" spans="1:8" ht="24" customHeight="1">
      <c r="A11" s="1467" t="s">
        <v>2893</v>
      </c>
      <c r="B11" s="1467">
        <f ca="1">IF(C11&lt;B2,"已过期",1120070131)</f>
        <v>1120070131</v>
      </c>
      <c r="C11" s="2558">
        <v>44849</v>
      </c>
      <c r="D11" s="2559" t="str">
        <f t="shared" ca="1" si="0"/>
        <v>郑燚（注册号：1120070131）</v>
      </c>
      <c r="E11" s="2560" t="s">
        <v>2893</v>
      </c>
      <c r="F11" s="1467">
        <f ca="1">IF(G11&lt;B2,"已过期",2014110011)</f>
        <v>2014110011</v>
      </c>
      <c r="G11" s="2561">
        <v>49302</v>
      </c>
      <c r="H11" s="2562" t="str">
        <f t="shared" ca="1" si="1"/>
        <v>郑燚（注册号：2014110011）</v>
      </c>
    </row>
    <row r="12" spans="1:8" ht="24" customHeight="1">
      <c r="A12" s="1467" t="s">
        <v>2894</v>
      </c>
      <c r="B12" s="1467">
        <f ca="1">IF(C12&lt;B2,"已过期",1120040230)</f>
        <v>1120040230</v>
      </c>
      <c r="C12" s="2563">
        <v>44864</v>
      </c>
      <c r="D12" s="2559" t="str">
        <f t="shared" ca="1" si="0"/>
        <v>苏海（注册号：1120040230）</v>
      </c>
      <c r="E12" s="2560" t="s">
        <v>2894</v>
      </c>
      <c r="F12" s="1467">
        <f ca="1">IF(G12&lt;B2,"已过期",98030020)</f>
        <v>98030020</v>
      </c>
      <c r="G12" s="2561">
        <v>47118</v>
      </c>
      <c r="H12" s="2562" t="str">
        <f t="shared" ca="1" si="1"/>
        <v>苏海（注册号：98030020）</v>
      </c>
    </row>
    <row r="13" spans="1:8" ht="24" customHeight="1">
      <c r="A13" s="1467" t="s">
        <v>2895</v>
      </c>
      <c r="B13" s="1467" t="str">
        <f ca="1">IF(C13&lt;B2,"已过期",1120020033)</f>
        <v>已过期</v>
      </c>
      <c r="C13" s="2558">
        <v>44339</v>
      </c>
      <c r="D13" s="2559" t="str">
        <f t="shared" ca="1" si="0"/>
        <v>刘敬东（注册号：已过期）</v>
      </c>
      <c r="E13" s="2560" t="s">
        <v>2895</v>
      </c>
      <c r="F13" s="1467">
        <f ca="1">IF(G13&lt;B2,"已过期",2000110137)</f>
        <v>2000110137</v>
      </c>
      <c r="G13" s="2561">
        <v>46387</v>
      </c>
      <c r="H13" s="2562" t="str">
        <f t="shared" ca="1" si="1"/>
        <v>刘敬东（注册号：2000110137）</v>
      </c>
    </row>
    <row r="14" spans="1:8" ht="24" customHeight="1">
      <c r="A14" s="1467" t="s">
        <v>2896</v>
      </c>
      <c r="B14" s="1467">
        <f ca="1">IF(C14&lt;B2,"已过期",1119980106)</f>
        <v>1119980106</v>
      </c>
      <c r="C14" s="2563">
        <v>44969</v>
      </c>
      <c r="D14" s="2559" t="str">
        <f t="shared" ca="1" si="0"/>
        <v>刘俊财（注册号：1119980106）</v>
      </c>
      <c r="E14" s="2560" t="s">
        <v>2896</v>
      </c>
      <c r="F14" s="1467">
        <f ca="1">IF(G14&lt;B2,"已过期",96010063)</f>
        <v>96010063</v>
      </c>
      <c r="G14" s="2561">
        <v>47483</v>
      </c>
      <c r="H14" s="2562" t="str">
        <f t="shared" ca="1" si="1"/>
        <v>刘俊财（注册号：96010063）</v>
      </c>
    </row>
    <row r="15" spans="1:8" ht="24" customHeight="1">
      <c r="A15" s="1467"/>
      <c r="B15" s="1467"/>
      <c r="C15" s="2563"/>
      <c r="D15" s="2559" t="str">
        <f t="shared" si="0"/>
        <v>（注册号：）</v>
      </c>
      <c r="E15" s="2560" t="s">
        <v>2897</v>
      </c>
      <c r="F15" s="1467">
        <f ca="1">IF(G15&lt;B2,"已过期",2011110090)</f>
        <v>2011110090</v>
      </c>
      <c r="G15" s="2561">
        <v>48302</v>
      </c>
      <c r="H15" s="2562" t="str">
        <f t="shared" ca="1" si="1"/>
        <v>赵雯（注册号：2011110090）</v>
      </c>
    </row>
    <row r="16" spans="1:8" s="2565" customFormat="1" ht="24" customHeight="1">
      <c r="A16" s="1467"/>
      <c r="B16" s="1467"/>
      <c r="C16" s="1467"/>
      <c r="D16" s="2559" t="str">
        <f>A16&amp;"（注册号："&amp;B16&amp;"）"</f>
        <v>（注册号：）</v>
      </c>
      <c r="E16" s="2560"/>
      <c r="F16" s="1467"/>
      <c r="G16" s="1467"/>
      <c r="H16" s="2564" t="str">
        <f t="shared" si="1"/>
        <v>（注册号：）</v>
      </c>
    </row>
    <row r="17" spans="1:8" ht="24" customHeight="1">
      <c r="A17" s="3134" t="s">
        <v>2898</v>
      </c>
      <c r="B17" s="3134"/>
      <c r="C17" s="3134"/>
      <c r="D17" s="3134"/>
      <c r="E17" s="3134"/>
      <c r="F17" s="3134"/>
      <c r="G17" s="3134"/>
      <c r="H17" s="3134"/>
    </row>
    <row r="18" spans="1:8" ht="24" customHeight="1">
      <c r="A18" s="3135" t="s">
        <v>2899</v>
      </c>
      <c r="B18" s="3135"/>
      <c r="C18" s="3135"/>
      <c r="D18" s="2556"/>
      <c r="E18" s="3136" t="s">
        <v>2900</v>
      </c>
      <c r="F18" s="3135"/>
      <c r="G18" s="3135"/>
    </row>
    <row r="19" spans="1:8" s="2567" customFormat="1" ht="24" customHeight="1">
      <c r="A19" s="2566" t="s">
        <v>2901</v>
      </c>
      <c r="B19" s="2555" t="s">
        <v>2902</v>
      </c>
      <c r="C19" s="2555" t="s">
        <v>2881</v>
      </c>
      <c r="D19" s="2556"/>
      <c r="E19" s="2560" t="s">
        <v>2901</v>
      </c>
      <c r="F19" s="2555" t="s">
        <v>2902</v>
      </c>
      <c r="G19" s="2555" t="s">
        <v>2881</v>
      </c>
    </row>
    <row r="20" spans="1:8" s="2567" customFormat="1" ht="24" customHeight="1">
      <c r="A20" s="2568" t="s">
        <v>2903</v>
      </c>
      <c r="B20" s="2568" t="s">
        <v>2904</v>
      </c>
      <c r="C20" s="2561">
        <v>44820</v>
      </c>
      <c r="D20" s="2569"/>
      <c r="E20" s="2570" t="s">
        <v>2905</v>
      </c>
      <c r="F20" s="2568" t="s">
        <v>2906</v>
      </c>
      <c r="G20" s="2571">
        <v>44377</v>
      </c>
    </row>
    <row r="21" spans="1:8" s="2567" customFormat="1" ht="24" customHeight="1">
      <c r="A21" s="2568"/>
      <c r="B21" s="2568"/>
      <c r="C21" s="2572"/>
      <c r="D21" s="2573"/>
      <c r="E21" s="2570" t="s">
        <v>2907</v>
      </c>
      <c r="F21" s="2574" t="s">
        <v>2908</v>
      </c>
      <c r="G21" s="2575">
        <v>44012</v>
      </c>
    </row>
    <row r="22" spans="1:8" ht="24" customHeight="1">
      <c r="C22" s="2576"/>
      <c r="D22" s="2576"/>
      <c r="E22" s="2577"/>
      <c r="F22" s="2578"/>
      <c r="G22" s="257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比较法-商业</vt:lpstr>
      <vt:lpstr>收益法 (元)</vt:lpstr>
      <vt:lpstr>收益法（汇总）</vt:lpstr>
      <vt:lpstr>酒店收入计算</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2021-05-24T02:14:52Z</dcterms:modified>
</cp:coreProperties>
</file>