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问题" sheetId="79"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state="hidden" r:id="rId23"/>
    <sheet name="基准地价修正-商业" sheetId="43" r:id="rId24"/>
    <sheet name="基准地价修正-办公" sheetId="78" r:id="rId25"/>
    <sheet name="基准地价（汇总）" sheetId="76" r:id="rId26"/>
    <sheet name="假设开发法" sheetId="12" r:id="rId27"/>
    <sheet name="收益法" sheetId="15" r:id="rId28"/>
    <sheet name="收益法 (元)" sheetId="67" state="hidden" r:id="rId29"/>
    <sheet name="收益法（汇总）" sheetId="70"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9">结果表!$A$1:$I$141</definedName>
    <definedName name="_xlnm.Print_Area" localSheetId="27">收益法!$A$1:$F$43</definedName>
    <definedName name="_xlnm.Print_Area" localSheetId="28">'收益法 (元)'!$A$1:$AK$69</definedName>
    <definedName name="_xlnm.Print_Area" localSheetId="15">'数据-汇总表'!$A$1:$I$32</definedName>
    <definedName name="_xlnm.Print_Area" localSheetId="11">'数据-基础表'!$A$1:$AO$15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2" i="9" l="1"/>
  <c r="I5" i="66"/>
  <c r="I6" i="66"/>
  <c r="D28" i="77"/>
  <c r="F28" i="77"/>
  <c r="I16" i="66"/>
  <c r="I13" i="66"/>
  <c r="I10" i="66"/>
  <c r="I9" i="66"/>
  <c r="I8" i="66"/>
  <c r="I7" i="66"/>
  <c r="I4" i="66"/>
  <c r="I3" i="66"/>
  <c r="D14" i="9"/>
  <c r="D39" i="78"/>
  <c r="L24" i="77"/>
  <c r="C21" i="1"/>
  <c r="L14" i="77"/>
  <c r="L13" i="77"/>
  <c r="L15" i="77" s="1"/>
  <c r="K13" i="77"/>
  <c r="I11" i="66" l="1"/>
  <c r="I22" i="66" s="1"/>
  <c r="D1" i="66" s="1"/>
  <c r="C29" i="66" s="1"/>
  <c r="C28" i="66" s="1"/>
  <c r="C33" i="66" s="1"/>
  <c r="D24" i="77"/>
  <c r="K14" i="77" s="1"/>
  <c r="F24" i="77"/>
  <c r="D27" i="77"/>
  <c r="F27" i="77" s="1"/>
  <c r="E41" i="9" l="1"/>
  <c r="E40" i="9"/>
  <c r="C36" i="77" l="1"/>
  <c r="C35" i="77"/>
  <c r="K13" i="3"/>
  <c r="G19" i="6" s="1"/>
  <c r="G27" i="6" s="1"/>
  <c r="I14" i="3"/>
  <c r="F20" i="6" s="1"/>
  <c r="E20" i="6" s="1"/>
  <c r="C20" i="6"/>
  <c r="C7" i="43"/>
  <c r="D33" i="43"/>
  <c r="BD11" i="3"/>
  <c r="BC11"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C13" i="3"/>
  <c r="H14" i="3"/>
  <c r="H16" i="3"/>
  <c r="BD10" i="3"/>
  <c r="E21" i="6"/>
  <c r="A7" i="1"/>
  <c r="A8" i="1"/>
  <c r="L20" i="6"/>
  <c r="L21" i="6"/>
  <c r="AE7" i="1"/>
  <c r="D10" i="66"/>
  <c r="D8" i="66"/>
  <c r="K24" i="77"/>
  <c r="M13" i="77"/>
  <c r="N9" i="1"/>
  <c r="N10" i="1"/>
  <c r="N11" i="1"/>
  <c r="N12" i="1"/>
  <c r="N13" i="1"/>
  <c r="C19" i="6"/>
  <c r="L19" i="6" s="1"/>
  <c r="D31" i="77"/>
  <c r="AN13" i="3" s="1"/>
  <c r="K5" i="3"/>
  <c r="G2" i="78"/>
  <c r="H113" i="78" s="1"/>
  <c r="F113"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N100" i="78"/>
  <c r="M100" i="78"/>
  <c r="L100" i="78"/>
  <c r="K100" i="78"/>
  <c r="J100" i="78"/>
  <c r="I100" i="78"/>
  <c r="H100" i="78"/>
  <c r="G100" i="78"/>
  <c r="F100" i="78"/>
  <c r="E100" i="78"/>
  <c r="D100" i="78"/>
  <c r="C100" i="78"/>
  <c r="M88" i="78"/>
  <c r="N88" i="78" s="1"/>
  <c r="K88" i="78"/>
  <c r="J88" i="78" s="1"/>
  <c r="F81" i="78"/>
  <c r="H88" i="78" s="1"/>
  <c r="D88" i="78"/>
  <c r="M87" i="78"/>
  <c r="N87" i="78" s="1"/>
  <c r="K87" i="78"/>
  <c r="J87" i="78" s="1"/>
  <c r="H87" i="78"/>
  <c r="D87" i="78"/>
  <c r="M86" i="78"/>
  <c r="N86" i="78" s="1"/>
  <c r="K86" i="78"/>
  <c r="J86" i="78" s="1"/>
  <c r="H86" i="78"/>
  <c r="D86" i="78"/>
  <c r="M85" i="78"/>
  <c r="N85" i="78"/>
  <c r="K85" i="78"/>
  <c r="J85" i="78"/>
  <c r="H85" i="78"/>
  <c r="D85" i="78"/>
  <c r="M84" i="78"/>
  <c r="N84" i="78" s="1"/>
  <c r="K84" i="78"/>
  <c r="J84" i="78" s="1"/>
  <c r="H84" i="78"/>
  <c r="D84" i="78"/>
  <c r="B84" i="78"/>
  <c r="M83" i="78"/>
  <c r="N83" i="78" s="1"/>
  <c r="K83" i="78"/>
  <c r="J83" i="78" s="1"/>
  <c r="D83" i="78"/>
  <c r="B83" i="78"/>
  <c r="M82" i="78"/>
  <c r="N82" i="78" s="1"/>
  <c r="K82" i="78"/>
  <c r="J82" i="78" s="1"/>
  <c r="H82" i="78"/>
  <c r="D82" i="78"/>
  <c r="M81" i="78"/>
  <c r="N81" i="78" s="1"/>
  <c r="K81" i="78"/>
  <c r="J81" i="78" s="1"/>
  <c r="H81" i="78"/>
  <c r="D81" i="78"/>
  <c r="E81" i="78" s="1"/>
  <c r="B79" i="78" s="1"/>
  <c r="M78" i="78"/>
  <c r="N78" i="78" s="1"/>
  <c r="K78" i="78"/>
  <c r="J78" i="78" s="1"/>
  <c r="F70" i="78"/>
  <c r="H78" i="78" s="1"/>
  <c r="D78" i="78"/>
  <c r="M77" i="78"/>
  <c r="N77" i="78"/>
  <c r="K77" i="78"/>
  <c r="J77" i="78"/>
  <c r="D77" i="78"/>
  <c r="M76" i="78"/>
  <c r="N76" i="78" s="1"/>
  <c r="K76" i="78"/>
  <c r="J76" i="78" s="1"/>
  <c r="D76" i="78"/>
  <c r="M75" i="78"/>
  <c r="N75" i="78" s="1"/>
  <c r="K75" i="78"/>
  <c r="J75" i="78" s="1"/>
  <c r="D75" i="78"/>
  <c r="M74" i="78"/>
  <c r="N74" i="78"/>
  <c r="K74" i="78"/>
  <c r="J74" i="78"/>
  <c r="D74" i="78"/>
  <c r="M73" i="78"/>
  <c r="N73" i="78" s="1"/>
  <c r="K73" i="78"/>
  <c r="J73" i="78" s="1"/>
  <c r="D73" i="78"/>
  <c r="M72" i="78"/>
  <c r="N72" i="78"/>
  <c r="K72" i="78"/>
  <c r="J72" i="78"/>
  <c r="D72" i="78"/>
  <c r="B72" i="78"/>
  <c r="M71" i="78"/>
  <c r="N71" i="78" s="1"/>
  <c r="K71" i="78"/>
  <c r="J71" i="78" s="1"/>
  <c r="H71" i="78"/>
  <c r="D71" i="78"/>
  <c r="M70" i="78"/>
  <c r="N70" i="78"/>
  <c r="K70" i="78"/>
  <c r="J70" i="78"/>
  <c r="H70" i="78"/>
  <c r="D70" i="78"/>
  <c r="E70" i="78" s="1"/>
  <c r="B68" i="78" s="1"/>
  <c r="I2" i="78"/>
  <c r="N7" i="78" s="1"/>
  <c r="F59" i="78" s="1"/>
  <c r="D67" i="78"/>
  <c r="D65" i="78"/>
  <c r="B61" i="78"/>
  <c r="D59" i="78"/>
  <c r="M56" i="78"/>
  <c r="N56" i="78" s="1"/>
  <c r="K56" i="78"/>
  <c r="J56" i="78" s="1"/>
  <c r="F48" i="78"/>
  <c r="H56" i="78" s="1"/>
  <c r="D56" i="78"/>
  <c r="M55" i="78"/>
  <c r="N55" i="78" s="1"/>
  <c r="K55" i="78"/>
  <c r="J55" i="78" s="1"/>
  <c r="H55" i="78"/>
  <c r="D55" i="78"/>
  <c r="M54" i="78"/>
  <c r="N54" i="78"/>
  <c r="K54" i="78"/>
  <c r="J54" i="78"/>
  <c r="D54" i="78"/>
  <c r="M53" i="78"/>
  <c r="N53" i="78" s="1"/>
  <c r="K53" i="78"/>
  <c r="J53" i="78" s="1"/>
  <c r="H53" i="78"/>
  <c r="D53" i="78"/>
  <c r="M52" i="78"/>
  <c r="N52" i="78" s="1"/>
  <c r="K52" i="78"/>
  <c r="J52" i="78" s="1"/>
  <c r="H52" i="78"/>
  <c r="D52" i="78"/>
  <c r="M51" i="78"/>
  <c r="N51" i="78"/>
  <c r="K51" i="78"/>
  <c r="J51" i="78"/>
  <c r="H51" i="78"/>
  <c r="D51" i="78"/>
  <c r="M50" i="78"/>
  <c r="N50" i="78"/>
  <c r="K50" i="78"/>
  <c r="J50" i="78"/>
  <c r="H50" i="78"/>
  <c r="D50" i="78"/>
  <c r="B50" i="78"/>
  <c r="M49" i="78"/>
  <c r="N49" i="78" s="1"/>
  <c r="K49" i="78"/>
  <c r="J49" i="78" s="1"/>
  <c r="H49" i="78"/>
  <c r="D49" i="78"/>
  <c r="M48" i="78"/>
  <c r="N48" i="78"/>
  <c r="K48" i="78"/>
  <c r="J48" i="78"/>
  <c r="H48" i="78"/>
  <c r="D48" i="78"/>
  <c r="E48" i="78" s="1"/>
  <c r="B46" i="78" s="1"/>
  <c r="B48" i="78"/>
  <c r="M7" i="78"/>
  <c r="C6" i="78" s="1"/>
  <c r="C5" i="78" s="1"/>
  <c r="C7" i="78"/>
  <c r="G17" i="78"/>
  <c r="H17" i="78"/>
  <c r="I17" i="78"/>
  <c r="J17" i="78"/>
  <c r="C17" i="78"/>
  <c r="C16" i="78"/>
  <c r="J20" i="78"/>
  <c r="F39" i="78"/>
  <c r="H39" i="78"/>
  <c r="F38" i="78"/>
  <c r="H38" i="78"/>
  <c r="F37" i="78"/>
  <c r="H37" i="78"/>
  <c r="D5" i="78"/>
  <c r="F36" i="78"/>
  <c r="H36" i="78"/>
  <c r="F35" i="78"/>
  <c r="H35" i="78"/>
  <c r="F34" i="78"/>
  <c r="H34" i="78"/>
  <c r="F33" i="78"/>
  <c r="H33" i="78"/>
  <c r="C18" i="78"/>
  <c r="I19" i="78"/>
  <c r="E17" i="78"/>
  <c r="F15" i="78"/>
  <c r="E15" i="78"/>
  <c r="D15" i="78"/>
  <c r="C15" i="78"/>
  <c r="C12"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Y12" i="78"/>
  <c r="N12" i="78"/>
  <c r="M12" i="78"/>
  <c r="N11" i="78"/>
  <c r="M11" i="78"/>
  <c r="C10" i="78"/>
  <c r="C11" i="78" s="1"/>
  <c r="AJ10" i="78"/>
  <c r="AH10" i="78"/>
  <c r="AF10" i="78"/>
  <c r="AD10" i="78"/>
  <c r="AB10" i="78"/>
  <c r="Z10" i="78"/>
  <c r="Y10" i="78"/>
  <c r="N10" i="78"/>
  <c r="M10" i="78"/>
  <c r="N9" i="78"/>
  <c r="M9" i="78"/>
  <c r="C9" i="78"/>
  <c r="N8" i="78"/>
  <c r="M8" i="78"/>
  <c r="X7" i="78"/>
  <c r="A7" i="78"/>
  <c r="N6" i="78"/>
  <c r="M6" i="78"/>
  <c r="N5" i="78"/>
  <c r="M5" i="78"/>
  <c r="N4" i="78"/>
  <c r="M4" i="78"/>
  <c r="N3" i="78"/>
  <c r="M3" i="78"/>
  <c r="N2" i="78"/>
  <c r="M2" i="78"/>
  <c r="N1" i="78"/>
  <c r="M1" i="78"/>
  <c r="BD13" i="3"/>
  <c r="BE13" i="3"/>
  <c r="BF13" i="3"/>
  <c r="BG13" i="3"/>
  <c r="BH13" i="3"/>
  <c r="BI13" i="3"/>
  <c r="BJ13" i="3"/>
  <c r="BK13" i="3"/>
  <c r="BM13" i="3"/>
  <c r="BN13" i="3"/>
  <c r="BO13" i="3"/>
  <c r="BP13" i="3"/>
  <c r="BQ13" i="3"/>
  <c r="BS13" i="3"/>
  <c r="BT13" i="3"/>
  <c r="I19" i="66"/>
  <c r="M14" i="77"/>
  <c r="F20" i="77"/>
  <c r="F15" i="77"/>
  <c r="D17" i="77"/>
  <c r="F18" i="77" s="1"/>
  <c r="F10" i="77"/>
  <c r="D11" i="77"/>
  <c r="F13" i="77" s="1"/>
  <c r="D6" i="77"/>
  <c r="K11" i="77" s="1"/>
  <c r="D5" i="77"/>
  <c r="N6" i="71"/>
  <c r="N5" i="71"/>
  <c r="X5" i="71" s="1"/>
  <c r="N7" i="71"/>
  <c r="N8" i="71"/>
  <c r="N9" i="71"/>
  <c r="N10" i="71"/>
  <c r="N11" i="71"/>
  <c r="N12" i="71"/>
  <c r="N13" i="71"/>
  <c r="N14" i="71"/>
  <c r="N15" i="71"/>
  <c r="N16" i="71"/>
  <c r="N17" i="71"/>
  <c r="N18" i="71"/>
  <c r="N19" i="71"/>
  <c r="N20" i="71"/>
  <c r="N21" i="71"/>
  <c r="N22" i="71"/>
  <c r="AH5" i="71"/>
  <c r="AG5" i="71"/>
  <c r="AE5" i="71"/>
  <c r="AF5" i="71" s="1"/>
  <c r="AD5" i="71"/>
  <c r="Q6" i="71"/>
  <c r="Q5" i="71"/>
  <c r="AB5" i="71" s="1"/>
  <c r="Q7" i="71"/>
  <c r="Q8" i="71"/>
  <c r="Q9" i="71"/>
  <c r="Q10" i="71"/>
  <c r="Q11" i="71"/>
  <c r="Q12" i="71"/>
  <c r="Q13" i="71"/>
  <c r="Q14" i="71"/>
  <c r="Q15" i="71"/>
  <c r="Q16" i="71"/>
  <c r="Q17" i="71"/>
  <c r="Q18" i="71"/>
  <c r="Q19" i="71"/>
  <c r="Q20" i="71"/>
  <c r="Q21" i="71"/>
  <c r="Q22"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F7" i="71"/>
  <c r="F6" i="71"/>
  <c r="F5" i="71" s="1"/>
  <c r="E7" i="71"/>
  <c r="E6" i="71" s="1"/>
  <c r="E5" i="71"/>
  <c r="C7" i="71"/>
  <c r="C6" i="71"/>
  <c r="C5" i="71" s="1"/>
  <c r="D5" i="71" s="1"/>
  <c r="B7" i="71"/>
  <c r="B6" i="71"/>
  <c r="B5" i="71" s="1"/>
  <c r="D6" i="71"/>
  <c r="B2" i="1"/>
  <c r="G19" i="78" s="1"/>
  <c r="G19" i="43"/>
  <c r="D7" i="71"/>
  <c r="D8" i="71"/>
  <c r="B11" i="71"/>
  <c r="B10" i="71"/>
  <c r="B9" i="71" s="1"/>
  <c r="C11" i="71"/>
  <c r="E11" i="71"/>
  <c r="E10" i="71" s="1"/>
  <c r="E9" i="71"/>
  <c r="F11" i="71"/>
  <c r="F10" i="71"/>
  <c r="F9" i="71" s="1"/>
  <c r="D12" i="71"/>
  <c r="B13" i="71"/>
  <c r="C13" i="71"/>
  <c r="E13" i="71"/>
  <c r="E14" i="71" s="1"/>
  <c r="F13" i="71"/>
  <c r="B14" i="71"/>
  <c r="B15" i="71" s="1"/>
  <c r="F14" i="71"/>
  <c r="F15" i="71" s="1"/>
  <c r="E15" i="71"/>
  <c r="D16" i="71"/>
  <c r="B17" i="71"/>
  <c r="C17" i="71"/>
  <c r="E17" i="71"/>
  <c r="E18" i="71" s="1"/>
  <c r="F17" i="71"/>
  <c r="B18" i="71"/>
  <c r="B19" i="71" s="1"/>
  <c r="F18" i="71"/>
  <c r="F19" i="71" s="1"/>
  <c r="E19" i="71"/>
  <c r="D20" i="71"/>
  <c r="B21" i="71"/>
  <c r="C21" i="71"/>
  <c r="E21" i="71"/>
  <c r="E22" i="71" s="1"/>
  <c r="F21" i="71"/>
  <c r="B22" i="71"/>
  <c r="B23" i="71" s="1"/>
  <c r="F22" i="71"/>
  <c r="F23" i="71" s="1"/>
  <c r="E23" i="71"/>
  <c r="G2" i="43"/>
  <c r="I2" i="43"/>
  <c r="M7" i="43" s="1"/>
  <c r="C6" i="43"/>
  <c r="G17" i="43"/>
  <c r="H17" i="43"/>
  <c r="I17" i="43"/>
  <c r="J17" i="43"/>
  <c r="C17" i="43"/>
  <c r="C16" i="43"/>
  <c r="D5" i="43" s="1"/>
  <c r="J20" i="43"/>
  <c r="D48" i="43"/>
  <c r="D54" i="43"/>
  <c r="D56" i="43"/>
  <c r="F39" i="43"/>
  <c r="F38" i="43"/>
  <c r="F37" i="43"/>
  <c r="F36" i="43"/>
  <c r="F35" i="43"/>
  <c r="F34" i="43"/>
  <c r="M47" i="67"/>
  <c r="J53" i="67"/>
  <c r="M47" i="15"/>
  <c r="A6" i="1"/>
  <c r="J50" i="15"/>
  <c r="J51" i="15"/>
  <c r="B24" i="1"/>
  <c r="C18" i="43"/>
  <c r="AD5" i="3"/>
  <c r="AH5" i="3"/>
  <c r="AL5" i="3"/>
  <c r="AP5" i="3"/>
  <c r="F33" i="43"/>
  <c r="H33" i="43"/>
  <c r="H39" i="43"/>
  <c r="C10" i="43"/>
  <c r="C11" i="43" s="1"/>
  <c r="E8" i="43" s="1"/>
  <c r="E10" i="43"/>
  <c r="C9" i="43"/>
  <c r="C15" i="43"/>
  <c r="D15" i="43"/>
  <c r="E15" i="43"/>
  <c r="F15" i="43"/>
  <c r="C99"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L324" i="3"/>
  <c r="AZ324" i="3" s="1"/>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4" i="3"/>
  <c r="AC15"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c r="E109" i="9"/>
  <c r="A124" i="9"/>
  <c r="A10" i="52" s="1"/>
  <c r="B55" i="72" s="1"/>
  <c r="B44" i="72"/>
  <c r="B42" i="72"/>
  <c r="B69" i="72"/>
  <c r="B68" i="72"/>
  <c r="B63" i="72"/>
  <c r="B62" i="72"/>
  <c r="B16" i="72"/>
  <c r="B65" i="72"/>
  <c r="B60" i="72"/>
  <c r="B59" i="72"/>
  <c r="B58" i="72"/>
  <c r="B67" i="72"/>
  <c r="B66" i="72"/>
  <c r="B12" i="72"/>
  <c r="B10" i="72"/>
  <c r="C53" i="10"/>
  <c r="B51" i="10"/>
  <c r="B19" i="72"/>
  <c r="A18" i="51"/>
  <c r="B13" i="72"/>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N40" i="71"/>
  <c r="B41" i="71"/>
  <c r="B42" i="71" s="1"/>
  <c r="B43" i="71" s="1"/>
  <c r="S43" i="71" s="1"/>
  <c r="D40" i="71"/>
  <c r="Q39" i="71"/>
  <c r="P39" i="71"/>
  <c r="O39" i="71"/>
  <c r="N39" i="71"/>
  <c r="Q38" i="71"/>
  <c r="P38" i="71"/>
  <c r="O38" i="71"/>
  <c r="N38" i="71"/>
  <c r="Q37" i="71"/>
  <c r="P37" i="71"/>
  <c r="O37" i="71"/>
  <c r="N37" i="71"/>
  <c r="O36" i="71"/>
  <c r="C37" i="7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5" i="71"/>
  <c r="C30" i="71"/>
  <c r="D30" i="71" s="1"/>
  <c r="D29" i="71"/>
  <c r="C34" i="71"/>
  <c r="D33" i="71"/>
  <c r="E42" i="71"/>
  <c r="E43" i="71" s="1"/>
  <c r="U43" i="71" s="1"/>
  <c r="U51" i="71"/>
  <c r="E50" i="71"/>
  <c r="C38" i="71"/>
  <c r="D37" i="71"/>
  <c r="C42" i="71"/>
  <c r="D41" i="71"/>
  <c r="Q50" i="71"/>
  <c r="T51" i="71"/>
  <c r="O51" i="71"/>
  <c r="D51" i="71"/>
  <c r="C50" i="71"/>
  <c r="Q51" i="71"/>
  <c r="C54" i="71"/>
  <c r="E54" i="71"/>
  <c r="E53" i="71" s="1"/>
  <c r="D55" i="71"/>
  <c r="C58" i="71"/>
  <c r="E58" i="71"/>
  <c r="E57" i="71" s="1"/>
  <c r="D59" i="71"/>
  <c r="C62" i="71"/>
  <c r="E62" i="71"/>
  <c r="E61" i="71" s="1"/>
  <c r="D63" i="71"/>
  <c r="C66" i="71"/>
  <c r="C70" i="71"/>
  <c r="T11" i="71"/>
  <c r="S11" i="71"/>
  <c r="AB3" i="71"/>
  <c r="AB8" i="71"/>
  <c r="AB9" i="71"/>
  <c r="AB10" i="71"/>
  <c r="AB11" i="71"/>
  <c r="AA3" i="71"/>
  <c r="AA8" i="71"/>
  <c r="AA9" i="71"/>
  <c r="AA10" i="71"/>
  <c r="AA11" i="71"/>
  <c r="C49" i="71"/>
  <c r="O49" i="71" s="1"/>
  <c r="O50" i="71"/>
  <c r="D50" i="71"/>
  <c r="D66" i="71"/>
  <c r="C65" i="71"/>
  <c r="D65" i="71" s="1"/>
  <c r="D58" i="71"/>
  <c r="C57" i="71"/>
  <c r="D57" i="71"/>
  <c r="D70" i="71"/>
  <c r="C69" i="71"/>
  <c r="D69" i="71" s="1"/>
  <c r="D62" i="71"/>
  <c r="C61" i="71"/>
  <c r="D61" i="71"/>
  <c r="D54" i="71"/>
  <c r="C53" i="71"/>
  <c r="D53" i="71" s="1"/>
  <c r="C43" i="71"/>
  <c r="T43" i="71" s="1"/>
  <c r="D42" i="71"/>
  <c r="C39" i="71"/>
  <c r="T39" i="71" s="1"/>
  <c r="D38" i="71"/>
  <c r="P50" i="71"/>
  <c r="E49" i="71"/>
  <c r="C35" i="71"/>
  <c r="T35" i="71" s="1"/>
  <c r="D34" i="71"/>
  <c r="C27" i="71"/>
  <c r="T27" i="71" s="1"/>
  <c r="D26" i="71"/>
  <c r="V11" i="71"/>
  <c r="P48" i="71"/>
  <c r="P49" i="71"/>
  <c r="D49" i="71"/>
  <c r="D27" i="71"/>
  <c r="D35" i="71"/>
  <c r="D39" i="71"/>
  <c r="D4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78" s="1"/>
  <c r="C22" i="20"/>
  <c r="B75" i="43"/>
  <c r="B55" i="43"/>
  <c r="B66"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C51" i="10" s="1"/>
  <c r="A13" i="51"/>
  <c r="B11" i="72" s="1"/>
  <c r="S1" i="4"/>
  <c r="B1" i="4"/>
  <c r="I24" i="66"/>
  <c r="D21" i="66"/>
  <c r="I20" i="66"/>
  <c r="I18" i="66"/>
  <c r="E16" i="66"/>
  <c r="I15" i="66"/>
  <c r="I14"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s="1"/>
  <c r="I20" i="78" s="1"/>
  <c r="F9" i="1"/>
  <c r="F10" i="1"/>
  <c r="F11" i="1"/>
  <c r="F12" i="1"/>
  <c r="F13" i="1"/>
  <c r="D6" i="1"/>
  <c r="D9" i="1"/>
  <c r="D10" i="1"/>
  <c r="D11" i="1"/>
  <c r="D12" i="1"/>
  <c r="D13" i="1"/>
  <c r="G13" i="1" s="1"/>
  <c r="D7" i="1"/>
  <c r="D8" i="1"/>
  <c r="B8" i="1"/>
  <c r="E8" i="1" s="1"/>
  <c r="A9" i="1"/>
  <c r="A10" i="1"/>
  <c r="K10" i="1" s="1"/>
  <c r="M10" i="1" s="1"/>
  <c r="O10" i="1" s="1"/>
  <c r="A11" i="1"/>
  <c r="A12" i="1"/>
  <c r="A13" i="1"/>
  <c r="F3" i="35"/>
  <c r="B11" i="1"/>
  <c r="E11" i="1"/>
  <c r="B7" i="1"/>
  <c r="E7" i="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A15" i="62" s="1"/>
  <c r="B61" i="72" s="1"/>
  <c r="A5" i="62"/>
  <c r="B72" i="72"/>
  <c r="A4" i="62"/>
  <c r="B70" i="72"/>
  <c r="F33" i="9"/>
  <c r="B37" i="48"/>
  <c r="B2" i="72" s="1"/>
  <c r="B13" i="53"/>
  <c r="B29" i="72" s="1"/>
  <c r="R35" i="4"/>
  <c r="Q35" i="4"/>
  <c r="P35" i="4"/>
  <c r="O35" i="4"/>
  <c r="N35" i="4"/>
  <c r="M35" i="4"/>
  <c r="L35" i="4"/>
  <c r="K34" i="4"/>
  <c r="T34" i="4" s="1"/>
  <c r="T35" i="4" s="1"/>
  <c r="A19" i="51" s="1"/>
  <c r="B14" i="72" s="1"/>
  <c r="G11" i="1"/>
  <c r="I15" i="4"/>
  <c r="H15" i="4"/>
  <c r="G15" i="4"/>
  <c r="E15" i="4"/>
  <c r="D15" i="4"/>
  <c r="F19" i="4"/>
  <c r="F2" i="52"/>
  <c r="B50" i="72" s="1"/>
  <c r="D2" i="52"/>
  <c r="B46" i="72" s="1"/>
  <c r="B8" i="53"/>
  <c r="B23" i="72" s="1"/>
  <c r="L4" i="9"/>
  <c r="B17" i="72"/>
  <c r="B15" i="72"/>
  <c r="A3" i="51"/>
  <c r="C8" i="11"/>
  <c r="B2" i="49"/>
  <c r="B23" i="49" s="1"/>
  <c r="B40" i="48"/>
  <c r="B3" i="72"/>
  <c r="N1" i="43"/>
  <c r="F35" i="4"/>
  <c r="J55" i="39" s="1"/>
  <c r="H34" i="43"/>
  <c r="H35" i="43"/>
  <c r="H36" i="43"/>
  <c r="H37" i="43"/>
  <c r="H38" i="43"/>
  <c r="A7" i="43"/>
  <c r="F33" i="15"/>
  <c r="F61" i="15" s="1"/>
  <c r="M19" i="15"/>
  <c r="B22" i="1"/>
  <c r="B23" i="1"/>
  <c r="B43" i="1"/>
  <c r="D78" i="9" s="1"/>
  <c r="K8" i="1"/>
  <c r="M8" i="1" s="1"/>
  <c r="O8" i="1" s="1"/>
  <c r="P8" i="1" s="1"/>
  <c r="F23" i="15"/>
  <c r="D24" i="15"/>
  <c r="E22" i="6"/>
  <c r="E23" i="6"/>
  <c r="E24" i="6"/>
  <c r="E25" i="6"/>
  <c r="E26" i="6"/>
  <c r="BC10" i="3"/>
  <c r="BB10" i="3"/>
  <c r="F35" i="11"/>
  <c r="F36" i="11"/>
  <c r="F38" i="11"/>
  <c r="E37" i="11"/>
  <c r="F20" i="11"/>
  <c r="F21" i="11"/>
  <c r="C21" i="11" s="1"/>
  <c r="F7" i="11"/>
  <c r="C7" i="11" s="1"/>
  <c r="F12" i="12"/>
  <c r="F13" i="12"/>
  <c r="F15" i="12"/>
  <c r="E14" i="12"/>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s="1"/>
  <c r="D101" i="9"/>
  <c r="C101" i="9"/>
  <c r="H104" i="9"/>
  <c r="D10" i="53"/>
  <c r="B26" i="72" s="1"/>
  <c r="C30" i="40"/>
  <c r="C28" i="40"/>
  <c r="C23" i="39"/>
  <c r="C19" i="40"/>
  <c r="D27" i="9"/>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78" s="1"/>
  <c r="G19" i="20"/>
  <c r="B85" i="78" s="1"/>
  <c r="G16" i="20"/>
  <c r="B82" i="78" s="1"/>
  <c r="G15" i="20"/>
  <c r="B81" i="78" s="1"/>
  <c r="C24" i="20"/>
  <c r="C21" i="20"/>
  <c r="C20" i="20"/>
  <c r="C18" i="20"/>
  <c r="C17" i="20"/>
  <c r="B59" i="78" s="1"/>
  <c r="C16" i="20"/>
  <c r="C17" i="39" s="1"/>
  <c r="C15" i="20"/>
  <c r="B70" i="78"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6" i="35"/>
  <c r="W22" i="35"/>
  <c r="S31" i="35"/>
  <c r="U34" i="35"/>
  <c r="F36" i="34"/>
  <c r="J35" i="34"/>
  <c r="W9" i="34"/>
  <c r="U34" i="34"/>
  <c r="H39" i="33"/>
  <c r="AB39" i="33"/>
  <c r="F26" i="33"/>
  <c r="AA26" i="33"/>
  <c r="S9" i="33"/>
  <c r="U33" i="33"/>
  <c r="U35"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B21" i="31" s="1"/>
  <c r="S26" i="31"/>
  <c r="U14" i="40"/>
  <c r="AC33" i="36"/>
  <c r="U35" i="35"/>
  <c r="AA12" i="35"/>
  <c r="W14" i="37"/>
  <c r="AB28" i="37"/>
  <c r="U33" i="37"/>
  <c r="W26" i="37"/>
  <c r="AC8" i="37"/>
  <c r="U26" i="37"/>
  <c r="W47" i="34"/>
  <c r="AB13" i="34"/>
  <c r="W37" i="34"/>
  <c r="AB37" i="34"/>
  <c r="AC36"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B16" i="53"/>
  <c r="B33" i="72" s="1"/>
  <c r="C7" i="37"/>
  <c r="C7" i="34"/>
  <c r="C7" i="36"/>
  <c r="W35" i="40"/>
  <c r="A118" i="9"/>
  <c r="A4" i="52"/>
  <c r="B41" i="72" s="1"/>
  <c r="J11" i="39"/>
  <c r="W11" i="39" s="1"/>
  <c r="F11" i="39"/>
  <c r="AA11" i="39" s="1"/>
  <c r="A12" i="52"/>
  <c r="B56" i="72" s="1"/>
  <c r="S11" i="39"/>
  <c r="G4" i="4"/>
  <c r="I4" i="4"/>
  <c r="K5" i="4"/>
  <c r="B47" i="48"/>
  <c r="A2" i="9"/>
  <c r="N2" i="43"/>
  <c r="N7" i="43"/>
  <c r="F59" i="43"/>
  <c r="BO5" i="3"/>
  <c r="BM5" i="3"/>
  <c r="F29" i="6" s="1"/>
  <c r="E29" i="6" s="1"/>
  <c r="K15" i="1" s="1"/>
  <c r="BJ5" i="3"/>
  <c r="BH5" i="3"/>
  <c r="BF5" i="3"/>
  <c r="BD5" i="3"/>
  <c r="BP5" i="3"/>
  <c r="BN5" i="3"/>
  <c r="BK5" i="3"/>
  <c r="BI5" i="3"/>
  <c r="BG5" i="3"/>
  <c r="BE5" i="3"/>
  <c r="BC5" i="3"/>
  <c r="U36" i="40"/>
  <c r="N4" i="43"/>
  <c r="F81" i="43"/>
  <c r="H83" i="43" s="1"/>
  <c r="F48" i="43"/>
  <c r="H52" i="43" s="1"/>
  <c r="G52" i="43" s="1"/>
  <c r="F70" i="43"/>
  <c r="H73" i="43" s="1"/>
  <c r="M6" i="43"/>
  <c r="M11" i="43"/>
  <c r="E17" i="43"/>
  <c r="U17" i="39"/>
  <c r="S14" i="35"/>
  <c r="U43" i="21"/>
  <c r="U35" i="21"/>
  <c r="AC35" i="21"/>
  <c r="U10" i="21"/>
  <c r="G8" i="1"/>
  <c r="G9" i="1"/>
  <c r="G10" i="1"/>
  <c r="F48" i="9"/>
  <c r="O52" i="9" s="1"/>
  <c r="AC11" i="39"/>
  <c r="W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G50" i="43" s="1"/>
  <c r="H48" i="43"/>
  <c r="G48" i="43" s="1"/>
  <c r="F23" i="39"/>
  <c r="AA23" i="39"/>
  <c r="H27" i="36"/>
  <c r="U27" i="36"/>
  <c r="F27" i="36"/>
  <c r="AA27" i="36"/>
  <c r="H33" i="34"/>
  <c r="U33" i="34"/>
  <c r="F32" i="37"/>
  <c r="AA32" i="37"/>
  <c r="F20" i="36"/>
  <c r="AA20" i="36" s="1"/>
  <c r="J33" i="34"/>
  <c r="AC33" i="34" s="1"/>
  <c r="H23" i="39"/>
  <c r="U23" i="39" s="1"/>
  <c r="D48" i="9"/>
  <c r="M52" i="9" s="1"/>
  <c r="H86" i="43"/>
  <c r="H87" i="43"/>
  <c r="K9" i="1"/>
  <c r="M9" i="1" s="1"/>
  <c r="O9" i="1" s="1"/>
  <c r="P9" i="1" s="1"/>
  <c r="AE9" i="1"/>
  <c r="G29" i="6"/>
  <c r="AC26" i="33"/>
  <c r="W26" i="33"/>
  <c r="W27" i="34"/>
  <c r="AC27" i="34"/>
  <c r="AB34" i="36"/>
  <c r="U34" i="36"/>
  <c r="AB33" i="36"/>
  <c r="U33" i="36"/>
  <c r="AC12" i="39"/>
  <c r="W12" i="39"/>
  <c r="W12" i="33"/>
  <c r="AC12" i="33"/>
  <c r="AA32" i="36"/>
  <c r="S32" i="36"/>
  <c r="AA39" i="34"/>
  <c r="U30" i="33"/>
  <c r="AC13" i="34"/>
  <c r="AA47" i="34"/>
  <c r="W28" i="37"/>
  <c r="S19" i="39"/>
  <c r="F12" i="33"/>
  <c r="H12" i="39"/>
  <c r="AB12" i="39" s="1"/>
  <c r="F39" i="40"/>
  <c r="S12" i="1"/>
  <c r="T12" i="1" s="1"/>
  <c r="R12" i="1"/>
  <c r="B12" i="1"/>
  <c r="E12" i="1"/>
  <c r="S10" i="1"/>
  <c r="T10" i="1" s="1"/>
  <c r="R10" i="1"/>
  <c r="B10" i="1"/>
  <c r="E10" i="1" s="1"/>
  <c r="K12" i="1"/>
  <c r="M12" i="1" s="1"/>
  <c r="O12" i="1" s="1"/>
  <c r="P12" i="1" s="1"/>
  <c r="S13" i="1"/>
  <c r="T13" i="1" s="1"/>
  <c r="R13" i="1"/>
  <c r="S11" i="1"/>
  <c r="T11" i="1" s="1"/>
  <c r="R11" i="1"/>
  <c r="S9" i="1"/>
  <c r="T9" i="1" s="1"/>
  <c r="R9" i="1"/>
  <c r="J51" i="67"/>
  <c r="C42" i="1"/>
  <c r="H100" i="43"/>
  <c r="AC34" i="33"/>
  <c r="AA34" i="33"/>
  <c r="B41" i="1"/>
  <c r="F53" i="9" s="1"/>
  <c r="J100" i="43"/>
  <c r="AB37" i="40"/>
  <c r="S35" i="40"/>
  <c r="AC36" i="40"/>
  <c r="AA32" i="40"/>
  <c r="S17" i="40"/>
  <c r="S23" i="40"/>
  <c r="AC17" i="40"/>
  <c r="AC15" i="40"/>
  <c r="AB27" i="40"/>
  <c r="S30" i="40"/>
  <c r="S28" i="40"/>
  <c r="AA27" i="40"/>
  <c r="U21"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W30" i="37"/>
  <c r="S36" i="37"/>
  <c r="AA38" i="37"/>
  <c r="W38" i="37"/>
  <c r="AC35" i="37"/>
  <c r="W39" i="37"/>
  <c r="S30" i="37"/>
  <c r="S37" i="37"/>
  <c r="J17" i="37"/>
  <c r="W17" i="37" s="1"/>
  <c r="F17" i="37"/>
  <c r="AA17" i="37"/>
  <c r="AB17" i="37"/>
  <c r="F75" i="37"/>
  <c r="G75" i="37" s="1"/>
  <c r="F19" i="37"/>
  <c r="F79" i="37"/>
  <c r="F23" i="37"/>
  <c r="S23" i="37"/>
  <c r="U23" i="37"/>
  <c r="U15" i="37"/>
  <c r="AC13" i="37"/>
  <c r="U9" i="37"/>
  <c r="AA13" i="37"/>
  <c r="AA12" i="37"/>
  <c r="AA9" i="37"/>
  <c r="H10" i="37"/>
  <c r="AB10" i="37" s="1"/>
  <c r="H60" i="37"/>
  <c r="F63" i="37"/>
  <c r="G63" i="37" s="1"/>
  <c r="H63" i="37" s="1"/>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s="1"/>
  <c r="F34" i="67"/>
  <c r="F62" i="67"/>
  <c r="M20" i="67"/>
  <c r="F34" i="15"/>
  <c r="J56" i="9"/>
  <c r="J57" i="9" s="1"/>
  <c r="A24" i="51"/>
  <c r="B18" i="72" s="1"/>
  <c r="U29" i="34"/>
  <c r="P10" i="1"/>
  <c r="E32" i="6"/>
  <c r="G1" i="68"/>
  <c r="K1" i="12"/>
  <c r="E19" i="69"/>
  <c r="E19" i="68"/>
  <c r="E19" i="11"/>
  <c r="E1" i="73"/>
  <c r="K1" i="73"/>
  <c r="G41" i="69"/>
  <c r="G22" i="69"/>
  <c r="G41" i="68"/>
  <c r="G22" i="68"/>
  <c r="G27" i="12"/>
  <c r="G26" i="12"/>
  <c r="G41" i="11"/>
  <c r="G22" i="11"/>
  <c r="G25" i="12"/>
  <c r="E81" i="43"/>
  <c r="B79" i="43" s="1"/>
  <c r="E70" i="43"/>
  <c r="B68" i="43"/>
  <c r="F100" i="43"/>
  <c r="H85" i="43"/>
  <c r="H84" i="43"/>
  <c r="H53" i="43"/>
  <c r="G53" i="43" s="1"/>
  <c r="H78" i="43"/>
  <c r="H71" i="43"/>
  <c r="N6" i="43"/>
  <c r="M2" i="43"/>
  <c r="M10" i="43"/>
  <c r="N3" i="43"/>
  <c r="N11" i="43"/>
  <c r="M9" i="43"/>
  <c r="N12" i="43"/>
  <c r="N5" i="43"/>
  <c r="M5" i="43"/>
  <c r="M12" i="43"/>
  <c r="M4" i="43"/>
  <c r="B19" i="53"/>
  <c r="B37" i="72" s="1"/>
  <c r="C7" i="39"/>
  <c r="C68" i="39" s="1"/>
  <c r="D68" i="39" s="1"/>
  <c r="D70" i="39" s="1"/>
  <c r="C7" i="35"/>
  <c r="C7" i="33"/>
  <c r="C58" i="33" s="1"/>
  <c r="D58" i="33"/>
  <c r="E58" i="33" s="1"/>
  <c r="F58" i="33" s="1"/>
  <c r="C7" i="21"/>
  <c r="C7" i="40"/>
  <c r="C63" i="40"/>
  <c r="D63" i="40" s="1"/>
  <c r="D65" i="40" s="1"/>
  <c r="M47" i="9"/>
  <c r="C46" i="36"/>
  <c r="D46" i="36"/>
  <c r="E46" i="36" s="1"/>
  <c r="F46" i="36" s="1"/>
  <c r="C59" i="34"/>
  <c r="D59" i="34" s="1"/>
  <c r="C52" i="37"/>
  <c r="D52" i="37" s="1"/>
  <c r="A4" i="51"/>
  <c r="B6" i="72" s="1"/>
  <c r="C48" i="35"/>
  <c r="D48" i="35" s="1"/>
  <c r="E48" i="35" s="1"/>
  <c r="C58" i="21"/>
  <c r="D58" i="21" s="1"/>
  <c r="E58" i="21" s="1"/>
  <c r="C94" i="9"/>
  <c r="C92" i="9"/>
  <c r="H62" i="43"/>
  <c r="H66" i="43"/>
  <c r="H61" i="43"/>
  <c r="H65" i="43"/>
  <c r="H60" i="43"/>
  <c r="H64" i="43"/>
  <c r="H59" i="43"/>
  <c r="H63" i="43"/>
  <c r="H67" i="43"/>
  <c r="H55" i="43"/>
  <c r="G55" i="43" s="1"/>
  <c r="H51" i="43"/>
  <c r="G51" i="43" s="1"/>
  <c r="H56" i="43"/>
  <c r="G56" i="43" s="1"/>
  <c r="H76" i="43"/>
  <c r="H72" i="43"/>
  <c r="H77" i="43"/>
  <c r="B6" i="1"/>
  <c r="E6" i="1"/>
  <c r="S8" i="1"/>
  <c r="T8" i="1" s="1"/>
  <c r="K11" i="1"/>
  <c r="M11" i="1" s="1"/>
  <c r="O11" i="1" s="1"/>
  <c r="AP6" i="1"/>
  <c r="B9" i="1"/>
  <c r="E9" i="1"/>
  <c r="K7" i="1"/>
  <c r="M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E7" i="70"/>
  <c r="C24" i="12"/>
  <c r="AA39" i="40"/>
  <c r="S39" i="40"/>
  <c r="S12" i="33"/>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J59" i="9"/>
  <c r="J61" i="9" s="1"/>
  <c r="O19" i="43"/>
  <c r="E52" i="37"/>
  <c r="F52" i="37" s="1"/>
  <c r="G52" i="37"/>
  <c r="H52" i="37" s="1"/>
  <c r="I52" i="37" s="1"/>
  <c r="G46" i="36"/>
  <c r="H46" i="36" s="1"/>
  <c r="I46" i="36"/>
  <c r="J46" i="36" s="1"/>
  <c r="K46" i="36" s="1"/>
  <c r="F58" i="21"/>
  <c r="G58" i="21" s="1"/>
  <c r="F48" i="35"/>
  <c r="G48" i="35" s="1"/>
  <c r="H48" i="35"/>
  <c r="I48" i="35" s="1"/>
  <c r="J48" i="35" s="1"/>
  <c r="E59" i="34"/>
  <c r="F59" i="34" s="1"/>
  <c r="L27" i="6"/>
  <c r="AP7" i="1"/>
  <c r="AC33" i="21"/>
  <c r="S33" i="21"/>
  <c r="AA33" i="21"/>
  <c r="W32" i="21"/>
  <c r="AB9" i="21"/>
  <c r="AA32" i="21"/>
  <c r="S32" i="21"/>
  <c r="W9" i="21"/>
  <c r="AC9" i="21"/>
  <c r="AB32" i="21"/>
  <c r="U32" i="21"/>
  <c r="AA10" i="21"/>
  <c r="F31" i="15"/>
  <c r="M17" i="15"/>
  <c r="F59" i="67"/>
  <c r="F59" i="15"/>
  <c r="F31" i="67"/>
  <c r="M17" i="67"/>
  <c r="AB32" i="39"/>
  <c r="AC32" i="39"/>
  <c r="W32" i="39"/>
  <c r="AC19" i="37"/>
  <c r="W23" i="37"/>
  <c r="AC23" i="37"/>
  <c r="I63" i="37"/>
  <c r="J63" i="37" s="1"/>
  <c r="K63" i="37" s="1"/>
  <c r="L63" i="37" s="1"/>
  <c r="M63" i="37" s="1"/>
  <c r="J11" i="37"/>
  <c r="W10" i="37"/>
  <c r="AC10" i="37"/>
  <c r="U11" i="34"/>
  <c r="AC10" i="34"/>
  <c r="W10" i="34"/>
  <c r="H70" i="34"/>
  <c r="I70" i="34" s="1"/>
  <c r="J70" i="34"/>
  <c r="K70" i="34" s="1"/>
  <c r="L70" i="34" s="1"/>
  <c r="M70" i="34" s="1"/>
  <c r="J11" i="34"/>
  <c r="W11" i="34" s="1"/>
  <c r="AC36" i="33"/>
  <c r="W36" i="33"/>
  <c r="AC27" i="33"/>
  <c r="AC25" i="33"/>
  <c r="AA23" i="33"/>
  <c r="S23" i="33"/>
  <c r="U19" i="33"/>
  <c r="U17" i="33"/>
  <c r="AB17" i="33"/>
  <c r="U23" i="21"/>
  <c r="AB23" i="21"/>
  <c r="W23" i="21"/>
  <c r="G59" i="34"/>
  <c r="H59" i="34" s="1"/>
  <c r="E63" i="40"/>
  <c r="E65" i="40" s="1"/>
  <c r="F1" i="67"/>
  <c r="Q52" i="67"/>
  <c r="AC11" i="37"/>
  <c r="W11" i="37"/>
  <c r="AC11" i="34"/>
  <c r="C13" i="12"/>
  <c r="F63" i="40"/>
  <c r="G63" i="40" s="1"/>
  <c r="F50" i="11"/>
  <c r="F50" i="69"/>
  <c r="F50" i="68"/>
  <c r="R8" i="1"/>
  <c r="F65" i="40"/>
  <c r="C19" i="68"/>
  <c r="AE8" i="1"/>
  <c r="AG6" i="1"/>
  <c r="H109" i="9"/>
  <c r="H110" i="9" s="1"/>
  <c r="D18" i="53" s="1"/>
  <c r="B35" i="72" s="1"/>
  <c r="H112" i="9"/>
  <c r="D21" i="53" s="1"/>
  <c r="B39" i="72" s="1"/>
  <c r="H111" i="9"/>
  <c r="D126" i="9"/>
  <c r="I14" i="74" s="1"/>
  <c r="B8" i="74" s="1"/>
  <c r="D19" i="53"/>
  <c r="D59" i="9"/>
  <c r="M55" i="9" s="1"/>
  <c r="B38" i="72"/>
  <c r="D20" i="53"/>
  <c r="B40" i="72" s="1"/>
  <c r="AD3" i="71"/>
  <c r="P21" i="43" s="1"/>
  <c r="P22" i="43"/>
  <c r="F7" i="67"/>
  <c r="L48" i="67"/>
  <c r="B9" i="76"/>
  <c r="D2" i="34"/>
  <c r="M21" i="67"/>
  <c r="D2" i="37"/>
  <c r="AO10" i="1"/>
  <c r="E2" i="68"/>
  <c r="F5" i="73"/>
  <c r="AO13" i="1"/>
  <c r="M9" i="67"/>
  <c r="F38" i="67"/>
  <c r="B12" i="76"/>
  <c r="E10" i="76"/>
  <c r="F16" i="67"/>
  <c r="F3" i="73"/>
  <c r="F6" i="67"/>
  <c r="F20" i="31"/>
  <c r="E11" i="76"/>
  <c r="F7" i="73"/>
  <c r="F37" i="67"/>
  <c r="AO9" i="1"/>
  <c r="E9" i="76"/>
  <c r="F8" i="67"/>
  <c r="F36" i="67"/>
  <c r="D2" i="21"/>
  <c r="AO11" i="1"/>
  <c r="F43" i="67"/>
  <c r="D2" i="35"/>
  <c r="F41" i="67"/>
  <c r="C76" i="67"/>
  <c r="AO8" i="1"/>
  <c r="D2" i="36"/>
  <c r="M8" i="67"/>
  <c r="F6" i="73"/>
  <c r="M28" i="67"/>
  <c r="M6" i="67"/>
  <c r="B13" i="76"/>
  <c r="E12" i="76"/>
  <c r="M23" i="67"/>
  <c r="F4" i="73"/>
  <c r="E13" i="76"/>
  <c r="D3" i="73"/>
  <c r="M27" i="67"/>
  <c r="B10" i="76"/>
  <c r="M22" i="67"/>
  <c r="E2" i="69"/>
  <c r="F40" i="67"/>
  <c r="D2" i="33"/>
  <c r="M24" i="67"/>
  <c r="F35" i="67"/>
  <c r="E8" i="76"/>
  <c r="L47" i="67"/>
  <c r="M26" i="67"/>
  <c r="J15" i="67"/>
  <c r="B8" i="76"/>
  <c r="F9" i="67"/>
  <c r="F13" i="67"/>
  <c r="B11" i="76"/>
  <c r="M29" i="67"/>
  <c r="F42" i="67"/>
  <c r="AO7" i="1"/>
  <c r="F26" i="67"/>
  <c r="AO12" i="1"/>
  <c r="F32" i="67" l="1"/>
  <c r="F60" i="67" s="1"/>
  <c r="F28" i="15"/>
  <c r="C28" i="15" s="1"/>
  <c r="F28" i="67"/>
  <c r="C28" i="67" s="1"/>
  <c r="D68" i="9"/>
  <c r="F32" i="15"/>
  <c r="F60" i="15" s="1"/>
  <c r="F52" i="9"/>
  <c r="F30" i="68"/>
  <c r="C5" i="11"/>
  <c r="K25" i="77"/>
  <c r="L25" i="77" s="1"/>
  <c r="K12" i="77"/>
  <c r="M12" i="77" s="1"/>
  <c r="D29" i="78" s="1"/>
  <c r="D1" i="78" s="1"/>
  <c r="E11" i="78"/>
  <c r="E9" i="78"/>
  <c r="E8" i="78"/>
  <c r="E10" i="78"/>
  <c r="AA10" i="78"/>
  <c r="AC10" i="78"/>
  <c r="AE10" i="78"/>
  <c r="AG10" i="78"/>
  <c r="AI10" i="78"/>
  <c r="H72" i="78"/>
  <c r="H73" i="78"/>
  <c r="H74" i="78"/>
  <c r="H75" i="78"/>
  <c r="H76" i="78"/>
  <c r="H83" i="78"/>
  <c r="AE10" i="43"/>
  <c r="D93" i="9"/>
  <c r="F54" i="9"/>
  <c r="M18" i="15"/>
  <c r="F30" i="69"/>
  <c r="C48" i="69" s="1"/>
  <c r="M18" i="67"/>
  <c r="F31" i="12"/>
  <c r="F30" i="11"/>
  <c r="B16" i="49"/>
  <c r="B4" i="49"/>
  <c r="E16" i="49"/>
  <c r="E11" i="49"/>
  <c r="E10" i="49"/>
  <c r="E6" i="49"/>
  <c r="C36" i="69"/>
  <c r="BA15" i="3"/>
  <c r="AZ15" i="3" s="1"/>
  <c r="BB14" i="3"/>
  <c r="BA14" i="3" s="1"/>
  <c r="AZ14" i="3" s="1"/>
  <c r="B8" i="49"/>
  <c r="E5" i="49"/>
  <c r="E8" i="49"/>
  <c r="B13" i="49"/>
  <c r="E4" i="4" s="1"/>
  <c r="B5" i="62" s="1"/>
  <c r="B73" i="72" s="1"/>
  <c r="E7" i="49"/>
  <c r="B10" i="49"/>
  <c r="E4" i="49"/>
  <c r="B6" i="49"/>
  <c r="E9" i="49"/>
  <c r="E21" i="49"/>
  <c r="B11" i="49"/>
  <c r="B9" i="49"/>
  <c r="B5" i="49"/>
  <c r="E22" i="49"/>
  <c r="B14" i="49"/>
  <c r="B7" i="49"/>
  <c r="C4" i="4" s="1"/>
  <c r="B22" i="49"/>
  <c r="F65" i="67"/>
  <c r="C27" i="67"/>
  <c r="B7" i="70"/>
  <c r="F69" i="67"/>
  <c r="J20" i="67"/>
  <c r="B20" i="31"/>
  <c r="B8" i="70"/>
  <c r="F63" i="67"/>
  <c r="C62" i="67" s="1"/>
  <c r="C34" i="67"/>
  <c r="F64" i="67"/>
  <c r="F51" i="67"/>
  <c r="F70" i="67"/>
  <c r="F68" i="67"/>
  <c r="F66" i="67"/>
  <c r="N59" i="67"/>
  <c r="M59" i="67"/>
  <c r="L58" i="67"/>
  <c r="L59" i="67"/>
  <c r="F71" i="67"/>
  <c r="L56" i="67"/>
  <c r="J60" i="67"/>
  <c r="Q48" i="67" s="1"/>
  <c r="J57" i="67"/>
  <c r="J55" i="67" s="1"/>
  <c r="J58" i="67" s="1"/>
  <c r="Q50" i="67" s="1"/>
  <c r="J59" i="67"/>
  <c r="F50" i="67"/>
  <c r="M7" i="67"/>
  <c r="J6" i="67" s="1"/>
  <c r="C6" i="67"/>
  <c r="Q71" i="67"/>
  <c r="B10" i="70"/>
  <c r="B11" i="70"/>
  <c r="B12" i="70"/>
  <c r="B13" i="70"/>
  <c r="B9" i="70"/>
  <c r="I1" i="73"/>
  <c r="B39" i="1" s="1"/>
  <c r="G65" i="40"/>
  <c r="H63" i="40"/>
  <c r="I59" i="34"/>
  <c r="J59" i="34" s="1"/>
  <c r="K59" i="34" s="1"/>
  <c r="L59" i="34" s="1"/>
  <c r="M59" i="34" s="1"/>
  <c r="N59" i="34" s="1"/>
  <c r="O59" i="34" s="1"/>
  <c r="J7" i="34"/>
  <c r="H7" i="34"/>
  <c r="K48" i="35"/>
  <c r="L48" i="35" s="1"/>
  <c r="M48" i="35" s="1"/>
  <c r="N48" i="35" s="1"/>
  <c r="O48" i="35" s="1"/>
  <c r="F7" i="21"/>
  <c r="H58" i="21"/>
  <c r="I58" i="21" s="1"/>
  <c r="J58" i="21" s="1"/>
  <c r="K58" i="21" s="1"/>
  <c r="L58" i="21" s="1"/>
  <c r="M58" i="21" s="1"/>
  <c r="N58" i="21" s="1"/>
  <c r="O58" i="21" s="1"/>
  <c r="G58" i="33"/>
  <c r="H58" i="33" s="1"/>
  <c r="I58" i="33" s="1"/>
  <c r="J58" i="33" s="1"/>
  <c r="K58" i="33" s="1"/>
  <c r="L58" i="33" s="1"/>
  <c r="M58" i="33" s="1"/>
  <c r="N58" i="33" s="1"/>
  <c r="O58" i="33" s="1"/>
  <c r="J7" i="33"/>
  <c r="F7" i="33"/>
  <c r="H7" i="33"/>
  <c r="L46" i="36"/>
  <c r="M46" i="36" s="1"/>
  <c r="N46" i="36" s="1"/>
  <c r="O46" i="36" s="1"/>
  <c r="J7" i="36"/>
  <c r="J52" i="37"/>
  <c r="K52" i="37" s="1"/>
  <c r="L52" i="37" s="1"/>
  <c r="M52" i="37" s="1"/>
  <c r="N52" i="37" s="1"/>
  <c r="O52" i="37" s="1"/>
  <c r="H7" i="37"/>
  <c r="F7" i="37"/>
  <c r="D124" i="9"/>
  <c r="M56" i="43"/>
  <c r="N56" i="43" s="1"/>
  <c r="K56" i="43"/>
  <c r="J56" i="43" s="1"/>
  <c r="K55" i="43"/>
  <c r="M55" i="43"/>
  <c r="N55" i="43" s="1"/>
  <c r="F62" i="15"/>
  <c r="AC45" i="21"/>
  <c r="W45" i="21"/>
  <c r="U45" i="21"/>
  <c r="AB45" i="21"/>
  <c r="I54" i="67"/>
  <c r="P25" i="43"/>
  <c r="P24" i="43"/>
  <c r="B66" i="40" s="1"/>
  <c r="P23" i="43"/>
  <c r="B71" i="39" s="1"/>
  <c r="D12" i="52"/>
  <c r="D127" i="9"/>
  <c r="D13" i="52" s="1"/>
  <c r="D16" i="53"/>
  <c r="H7" i="21"/>
  <c r="F7" i="34"/>
  <c r="J7" i="21"/>
  <c r="E68" i="39"/>
  <c r="J7" i="37"/>
  <c r="H7" i="36"/>
  <c r="F7" i="35"/>
  <c r="H7" i="35"/>
  <c r="F7" i="36"/>
  <c r="S17" i="33"/>
  <c r="AB36" i="33"/>
  <c r="U11" i="37"/>
  <c r="C65" i="40"/>
  <c r="S13" i="21"/>
  <c r="C30" i="69"/>
  <c r="S9" i="21"/>
  <c r="P11" i="1"/>
  <c r="C70" i="39"/>
  <c r="K53" i="43"/>
  <c r="M53" i="43"/>
  <c r="N53" i="43" s="1"/>
  <c r="K52" i="43"/>
  <c r="M52" i="43"/>
  <c r="N52" i="43" s="1"/>
  <c r="M48" i="43"/>
  <c r="N48" i="43" s="1"/>
  <c r="K48" i="43"/>
  <c r="J48" i="43" s="1"/>
  <c r="K50" i="43"/>
  <c r="M50" i="43"/>
  <c r="N50" i="43" s="1"/>
  <c r="B71" i="78"/>
  <c r="B60" i="78"/>
  <c r="B49" i="78"/>
  <c r="B77" i="78"/>
  <c r="B67" i="78"/>
  <c r="B56" i="78"/>
  <c r="B74" i="78"/>
  <c r="B65" i="78"/>
  <c r="B54" i="78"/>
  <c r="B73" i="78"/>
  <c r="B63" i="78"/>
  <c r="B52" i="78"/>
  <c r="J12" i="36"/>
  <c r="H12" i="36"/>
  <c r="J24" i="36"/>
  <c r="H24" i="36"/>
  <c r="J39" i="40"/>
  <c r="H39" i="40"/>
  <c r="O13" i="1"/>
  <c r="P13" i="1" s="1"/>
  <c r="D45" i="71"/>
  <c r="C46" i="71"/>
  <c r="AA19" i="33"/>
  <c r="W33" i="34"/>
  <c r="AB23" i="39"/>
  <c r="K51" i="43"/>
  <c r="M51" i="43"/>
  <c r="N51" i="43" s="1"/>
  <c r="H70" i="43"/>
  <c r="H54" i="43"/>
  <c r="G54" i="43" s="1"/>
  <c r="H88" i="43"/>
  <c r="H81" i="43"/>
  <c r="AC15" i="37"/>
  <c r="U32" i="37"/>
  <c r="AB31" i="37"/>
  <c r="U12" i="39"/>
  <c r="S15" i="39"/>
  <c r="AB19" i="40"/>
  <c r="AA19" i="40"/>
  <c r="U35" i="40"/>
  <c r="H82" i="43"/>
  <c r="H49" i="43"/>
  <c r="G49" i="43" s="1"/>
  <c r="H74" i="43"/>
  <c r="W37" i="37"/>
  <c r="W14" i="39"/>
  <c r="AA25" i="21"/>
  <c r="W44" i="33"/>
  <c r="AC31" i="33"/>
  <c r="AC32" i="36"/>
  <c r="AC28" i="34"/>
  <c r="W29" i="33"/>
  <c r="S45" i="33"/>
  <c r="AC30" i="34"/>
  <c r="W11" i="35"/>
  <c r="S11" i="36"/>
  <c r="AB26" i="33"/>
  <c r="AB11" i="36"/>
  <c r="AA14" i="33"/>
  <c r="AA44" i="33"/>
  <c r="S28" i="34"/>
  <c r="S41" i="33"/>
  <c r="AB23" i="34"/>
  <c r="U33" i="35"/>
  <c r="AC34" i="36"/>
  <c r="AC11" i="40"/>
  <c r="AA39" i="37"/>
  <c r="F24" i="36"/>
  <c r="C15" i="39"/>
  <c r="C27" i="39"/>
  <c r="S34" i="21"/>
  <c r="S40" i="21"/>
  <c r="W31" i="40"/>
  <c r="H39" i="37"/>
  <c r="S34" i="34"/>
  <c r="W34" i="35"/>
  <c r="B70" i="43"/>
  <c r="B59" i="43"/>
  <c r="B71" i="43"/>
  <c r="B77" i="43"/>
  <c r="B74" i="43"/>
  <c r="B73" i="43"/>
  <c r="B81" i="43"/>
  <c r="B82" i="43"/>
  <c r="B85" i="43"/>
  <c r="B88" i="43"/>
  <c r="H12" i="33"/>
  <c r="H23" i="35"/>
  <c r="J23" i="35"/>
  <c r="F38" i="40"/>
  <c r="J38" i="40"/>
  <c r="H38" i="40"/>
  <c r="Q49" i="71"/>
  <c r="Q48" i="71"/>
  <c r="AZ473" i="3"/>
  <c r="AZ465" i="3"/>
  <c r="F7" i="1"/>
  <c r="G7" i="1" s="1"/>
  <c r="F6" i="1"/>
  <c r="B75" i="78"/>
  <c r="B66" i="78"/>
  <c r="B55" i="78"/>
  <c r="O48" i="71"/>
  <c r="B50" i="71"/>
  <c r="AH10" i="43"/>
  <c r="AD10" i="43"/>
  <c r="Z10" i="43"/>
  <c r="AG10" i="43"/>
  <c r="AC10" i="43"/>
  <c r="P74" i="67"/>
  <c r="BL479" i="3"/>
  <c r="AZ479" i="3" s="1"/>
  <c r="BA478" i="3"/>
  <c r="AZ478" i="3" s="1"/>
  <c r="BL475" i="3"/>
  <c r="AZ475" i="3" s="1"/>
  <c r="BA474" i="3"/>
  <c r="AZ474" i="3" s="1"/>
  <c r="BL471" i="3"/>
  <c r="AZ471" i="3" s="1"/>
  <c r="BA470" i="3"/>
  <c r="AZ470" i="3" s="1"/>
  <c r="BL467" i="3"/>
  <c r="AZ467" i="3" s="1"/>
  <c r="BA466" i="3"/>
  <c r="AZ466" i="3" s="1"/>
  <c r="BL463" i="3"/>
  <c r="AZ463" i="3" s="1"/>
  <c r="BA462" i="3"/>
  <c r="AZ462" i="3" s="1"/>
  <c r="E5" i="6"/>
  <c r="I21" i="66"/>
  <c r="D23" i="67"/>
  <c r="B86" i="43"/>
  <c r="BL477" i="3"/>
  <c r="AZ477" i="3" s="1"/>
  <c r="BA476" i="3"/>
  <c r="AZ476" i="3" s="1"/>
  <c r="BL473" i="3"/>
  <c r="BA472" i="3"/>
  <c r="AZ472" i="3" s="1"/>
  <c r="BL469" i="3"/>
  <c r="AZ469" i="3" s="1"/>
  <c r="BA468" i="3"/>
  <c r="AZ468" i="3" s="1"/>
  <c r="BL465" i="3"/>
  <c r="BA464" i="3"/>
  <c r="AZ464" i="3" s="1"/>
  <c r="BL461" i="3"/>
  <c r="AZ461"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AZ147" i="3"/>
  <c r="AZ139" i="3"/>
  <c r="AZ131" i="3"/>
  <c r="AZ123" i="3"/>
  <c r="AZ115" i="3"/>
  <c r="AZ107" i="3"/>
  <c r="AZ99" i="3"/>
  <c r="AZ91" i="3"/>
  <c r="AZ83" i="3"/>
  <c r="AZ75" i="3"/>
  <c r="AZ67" i="3"/>
  <c r="AZ59" i="3"/>
  <c r="AZ51" i="3"/>
  <c r="AZ43" i="3"/>
  <c r="AZ35" i="3"/>
  <c r="AZ27" i="3"/>
  <c r="AZ19" i="3"/>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C19" i="43"/>
  <c r="BL147" i="3"/>
  <c r="BA146" i="3"/>
  <c r="AZ146" i="3" s="1"/>
  <c r="BL143" i="3"/>
  <c r="AZ143" i="3" s="1"/>
  <c r="BA142" i="3"/>
  <c r="AZ142" i="3" s="1"/>
  <c r="BL139" i="3"/>
  <c r="BA138" i="3"/>
  <c r="AZ138" i="3" s="1"/>
  <c r="BL135" i="3"/>
  <c r="AZ135" i="3" s="1"/>
  <c r="BA134" i="3"/>
  <c r="AZ134" i="3" s="1"/>
  <c r="BL131" i="3"/>
  <c r="BA130" i="3"/>
  <c r="AZ130" i="3" s="1"/>
  <c r="BL127" i="3"/>
  <c r="AZ127" i="3" s="1"/>
  <c r="BA126" i="3"/>
  <c r="AZ126" i="3" s="1"/>
  <c r="BL123" i="3"/>
  <c r="BA122" i="3"/>
  <c r="AZ122" i="3" s="1"/>
  <c r="BL119" i="3"/>
  <c r="AZ119" i="3" s="1"/>
  <c r="BA118" i="3"/>
  <c r="AZ118" i="3" s="1"/>
  <c r="BL115" i="3"/>
  <c r="BA114" i="3"/>
  <c r="AZ114" i="3" s="1"/>
  <c r="BL111" i="3"/>
  <c r="AZ111" i="3" s="1"/>
  <c r="BA110" i="3"/>
  <c r="AZ110" i="3" s="1"/>
  <c r="BL107" i="3"/>
  <c r="BA106" i="3"/>
  <c r="AZ106" i="3" s="1"/>
  <c r="BL103" i="3"/>
  <c r="AZ103" i="3" s="1"/>
  <c r="BA102" i="3"/>
  <c r="AZ102" i="3" s="1"/>
  <c r="BL99" i="3"/>
  <c r="BA98" i="3"/>
  <c r="AZ98" i="3" s="1"/>
  <c r="BL95" i="3"/>
  <c r="AZ95" i="3" s="1"/>
  <c r="BA94" i="3"/>
  <c r="AZ94" i="3" s="1"/>
  <c r="BL91" i="3"/>
  <c r="BA90" i="3"/>
  <c r="AZ90" i="3" s="1"/>
  <c r="BL87" i="3"/>
  <c r="AZ87" i="3" s="1"/>
  <c r="BA86" i="3"/>
  <c r="AZ86" i="3" s="1"/>
  <c r="BL83" i="3"/>
  <c r="BA82" i="3"/>
  <c r="AZ82" i="3" s="1"/>
  <c r="BL79" i="3"/>
  <c r="AZ79" i="3" s="1"/>
  <c r="BA78" i="3"/>
  <c r="AZ78" i="3" s="1"/>
  <c r="BL75" i="3"/>
  <c r="BA74" i="3"/>
  <c r="AZ74" i="3" s="1"/>
  <c r="BL71" i="3"/>
  <c r="AZ71" i="3" s="1"/>
  <c r="BA70" i="3"/>
  <c r="AZ70" i="3" s="1"/>
  <c r="BL67" i="3"/>
  <c r="BA66" i="3"/>
  <c r="AZ66" i="3" s="1"/>
  <c r="BL63" i="3"/>
  <c r="AZ63" i="3" s="1"/>
  <c r="BA62" i="3"/>
  <c r="AZ62" i="3" s="1"/>
  <c r="BL59" i="3"/>
  <c r="BA58" i="3"/>
  <c r="AZ58" i="3" s="1"/>
  <c r="BL55" i="3"/>
  <c r="AZ55" i="3" s="1"/>
  <c r="BA54" i="3"/>
  <c r="AZ54" i="3" s="1"/>
  <c r="BL51" i="3"/>
  <c r="BA50" i="3"/>
  <c r="AZ50" i="3" s="1"/>
  <c r="BL47" i="3"/>
  <c r="AZ47" i="3" s="1"/>
  <c r="BA46" i="3"/>
  <c r="AZ46" i="3" s="1"/>
  <c r="BL43" i="3"/>
  <c r="BA42" i="3"/>
  <c r="AZ42" i="3" s="1"/>
  <c r="BL39" i="3"/>
  <c r="AZ39" i="3" s="1"/>
  <c r="BA38" i="3"/>
  <c r="AZ38" i="3" s="1"/>
  <c r="BL35" i="3"/>
  <c r="BA34" i="3"/>
  <c r="AZ34" i="3" s="1"/>
  <c r="BL31" i="3"/>
  <c r="AZ31" i="3" s="1"/>
  <c r="BA30" i="3"/>
  <c r="AZ30" i="3" s="1"/>
  <c r="BL27" i="3"/>
  <c r="BA26" i="3"/>
  <c r="AZ26" i="3" s="1"/>
  <c r="BL23" i="3"/>
  <c r="AZ23" i="3" s="1"/>
  <c r="BA22" i="3"/>
  <c r="AZ22" i="3" s="1"/>
  <c r="BL19" i="3"/>
  <c r="BA18" i="3"/>
  <c r="AZ18" i="3" s="1"/>
  <c r="D100" i="43"/>
  <c r="D108" i="43"/>
  <c r="C100" i="43"/>
  <c r="C108" i="43"/>
  <c r="E9" i="43"/>
  <c r="E11" i="43"/>
  <c r="G1" i="15"/>
  <c r="C10" i="71"/>
  <c r="D11" i="71"/>
  <c r="U11" i="71" s="1"/>
  <c r="P24" i="78"/>
  <c r="P23" i="78"/>
  <c r="P21" i="78"/>
  <c r="P25" i="78"/>
  <c r="P22" i="78"/>
  <c r="O19" i="78"/>
  <c r="Y5" i="71"/>
  <c r="Z5" i="71"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C12" i="43"/>
  <c r="C5" i="43"/>
  <c r="D21" i="71"/>
  <c r="C22" i="71"/>
  <c r="D17" i="71"/>
  <c r="C18" i="71"/>
  <c r="D13" i="71"/>
  <c r="C14" i="71"/>
  <c r="D29" i="43"/>
  <c r="D1" i="43" s="1"/>
  <c r="M11" i="77"/>
  <c r="BS5" i="3"/>
  <c r="F5" i="77"/>
  <c r="F8" i="77"/>
  <c r="BT5" i="3"/>
  <c r="BQ5" i="3"/>
  <c r="F28" i="6" s="1"/>
  <c r="H67" i="78"/>
  <c r="G67" i="78" s="1"/>
  <c r="H65" i="78"/>
  <c r="G65" i="78" s="1"/>
  <c r="H62" i="78"/>
  <c r="G62" i="78" s="1"/>
  <c r="H61" i="78"/>
  <c r="G61" i="78" s="1"/>
  <c r="H59" i="78"/>
  <c r="G59" i="78" s="1"/>
  <c r="H66" i="78"/>
  <c r="G66" i="78" s="1"/>
  <c r="H64" i="78"/>
  <c r="G64" i="78" s="1"/>
  <c r="H63" i="78"/>
  <c r="G63" i="78" s="1"/>
  <c r="H60" i="78"/>
  <c r="G60" i="78" s="1"/>
  <c r="H54" i="78"/>
  <c r="H77" i="78"/>
  <c r="AC13" i="3"/>
  <c r="AC5" i="3" s="1"/>
  <c r="BR13" i="3"/>
  <c r="BR5" i="3" s="1"/>
  <c r="G14" i="3"/>
  <c r="D32" i="77"/>
  <c r="I15" i="3"/>
  <c r="H15" i="3" s="1"/>
  <c r="G15" i="3" s="1"/>
  <c r="G16" i="3"/>
  <c r="D5" i="73"/>
  <c r="D4" i="73"/>
  <c r="C14" i="67"/>
  <c r="D6" i="73"/>
  <c r="C17" i="67"/>
  <c r="C16" i="67"/>
  <c r="D7" i="73"/>
  <c r="C30" i="68" l="1"/>
  <c r="C48" i="68"/>
  <c r="K15" i="77"/>
  <c r="M15" i="77"/>
  <c r="N7" i="1"/>
  <c r="O7" i="1" s="1"/>
  <c r="P7" i="1" s="1"/>
  <c r="C48" i="11"/>
  <c r="C30" i="11"/>
  <c r="BL13" i="3"/>
  <c r="BL5" i="3" s="1"/>
  <c r="B4" i="62"/>
  <c r="B71" i="72" s="1"/>
  <c r="K4" i="4"/>
  <c r="B46" i="48" s="1"/>
  <c r="B4" i="72" s="1"/>
  <c r="C15" i="67"/>
  <c r="C18" i="67"/>
  <c r="E20" i="43"/>
  <c r="E20" i="78"/>
  <c r="G28" i="6"/>
  <c r="G30" i="6" s="1"/>
  <c r="G31" i="6" s="1"/>
  <c r="M63" i="78"/>
  <c r="N63" i="78" s="1"/>
  <c r="K63" i="78"/>
  <c r="M66" i="78"/>
  <c r="N66" i="78" s="1"/>
  <c r="K66" i="78"/>
  <c r="M61" i="78"/>
  <c r="N61" i="78" s="1"/>
  <c r="K61" i="78"/>
  <c r="M65" i="78"/>
  <c r="N65" i="78" s="1"/>
  <c r="K65" i="78"/>
  <c r="J65" i="78" s="1"/>
  <c r="F30" i="6"/>
  <c r="C19" i="78"/>
  <c r="C9" i="71"/>
  <c r="D10" i="71"/>
  <c r="I20" i="43"/>
  <c r="G6" i="1"/>
  <c r="W38" i="40"/>
  <c r="AC38" i="40"/>
  <c r="AC23" i="35"/>
  <c r="W23" i="35"/>
  <c r="AB12" i="33"/>
  <c r="U12" i="33"/>
  <c r="K49" i="43"/>
  <c r="M49" i="43"/>
  <c r="N49" i="43" s="1"/>
  <c r="M54" i="43"/>
  <c r="N54" i="43" s="1"/>
  <c r="K54" i="43"/>
  <c r="J54" i="43" s="1"/>
  <c r="W39" i="40"/>
  <c r="AC39" i="40"/>
  <c r="AC24" i="36"/>
  <c r="W24" i="36"/>
  <c r="W12" i="36"/>
  <c r="AC12" i="36"/>
  <c r="D50" i="43"/>
  <c r="J50" i="43"/>
  <c r="D52" i="43"/>
  <c r="J52" i="43"/>
  <c r="D53" i="43"/>
  <c r="J53" i="43"/>
  <c r="AB7" i="35"/>
  <c r="T38" i="35" s="1"/>
  <c r="G38" i="35" s="1"/>
  <c r="U7" i="35"/>
  <c r="AB7" i="36"/>
  <c r="T36" i="36" s="1"/>
  <c r="G36" i="36" s="1"/>
  <c r="U7" i="36"/>
  <c r="F68" i="39"/>
  <c r="E70" i="39"/>
  <c r="S7" i="34"/>
  <c r="AA7" i="34"/>
  <c r="R49" i="34" s="1"/>
  <c r="D17" i="53"/>
  <c r="B36" i="72" s="1"/>
  <c r="B34" i="72"/>
  <c r="D55" i="43"/>
  <c r="J55" i="43"/>
  <c r="S7" i="37"/>
  <c r="AA7" i="37"/>
  <c r="R42" i="37" s="1"/>
  <c r="S7" i="33"/>
  <c r="AA7" i="33"/>
  <c r="R48" i="33" s="1"/>
  <c r="J7" i="35"/>
  <c r="U7" i="34"/>
  <c r="AB7" i="34"/>
  <c r="T49" i="34" s="1"/>
  <c r="G49" i="34" s="1"/>
  <c r="Q60" i="67"/>
  <c r="Q73" i="67"/>
  <c r="C49" i="67"/>
  <c r="M60" i="78"/>
  <c r="N60" i="78" s="1"/>
  <c r="K60" i="78"/>
  <c r="M64" i="78"/>
  <c r="N64" i="78" s="1"/>
  <c r="K64" i="78"/>
  <c r="M59" i="78"/>
  <c r="N59" i="78" s="1"/>
  <c r="K59" i="78"/>
  <c r="J59" i="78" s="1"/>
  <c r="M62" i="78"/>
  <c r="N62" i="78" s="1"/>
  <c r="K62" i="78"/>
  <c r="M67" i="78"/>
  <c r="N67" i="78" s="1"/>
  <c r="K67" i="78"/>
  <c r="J67" i="78" s="1"/>
  <c r="H21" i="77"/>
  <c r="G21" i="77" s="1"/>
  <c r="N14" i="1" s="1"/>
  <c r="G10" i="79"/>
  <c r="H10" i="79" s="1"/>
  <c r="B42" i="9" s="1"/>
  <c r="I13" i="3"/>
  <c r="D14" i="71"/>
  <c r="C15" i="71"/>
  <c r="D18" i="71"/>
  <c r="C19" i="71"/>
  <c r="D22" i="71"/>
  <c r="C23" i="71"/>
  <c r="D9" i="68"/>
  <c r="D9" i="11"/>
  <c r="C9" i="11" s="1"/>
  <c r="D9" i="69"/>
  <c r="D19" i="12"/>
  <c r="C19" i="12" s="1"/>
  <c r="B49" i="71"/>
  <c r="N50" i="71"/>
  <c r="AB38" i="40"/>
  <c r="U38" i="40"/>
  <c r="S38" i="40"/>
  <c r="AA38" i="40"/>
  <c r="AB23" i="35"/>
  <c r="U23" i="35"/>
  <c r="U39" i="37"/>
  <c r="AB39" i="37"/>
  <c r="S24" i="36"/>
  <c r="AA24" i="36"/>
  <c r="D51" i="43"/>
  <c r="J51" i="43"/>
  <c r="D46" i="71"/>
  <c r="C47" i="71"/>
  <c r="U39" i="40"/>
  <c r="AB39" i="40"/>
  <c r="AB24" i="36"/>
  <c r="U24" i="36"/>
  <c r="U12" i="36"/>
  <c r="AB12" i="36"/>
  <c r="S7" i="36"/>
  <c r="AA7" i="36"/>
  <c r="R36" i="36" s="1"/>
  <c r="AA7" i="35"/>
  <c r="R38" i="35" s="1"/>
  <c r="S7" i="35"/>
  <c r="AC7" i="37"/>
  <c r="V42" i="37" s="1"/>
  <c r="I42" i="37" s="1"/>
  <c r="W7" i="37"/>
  <c r="AC7" i="21"/>
  <c r="V48" i="21" s="1"/>
  <c r="I48" i="21" s="1"/>
  <c r="W7" i="21"/>
  <c r="U7" i="21"/>
  <c r="AB7" i="21"/>
  <c r="T48" i="21" s="1"/>
  <c r="G48" i="21" s="1"/>
  <c r="D10" i="52"/>
  <c r="D125" i="9"/>
  <c r="D11" i="52" s="1"/>
  <c r="H14" i="74"/>
  <c r="B7" i="74" s="1"/>
  <c r="U7" i="37"/>
  <c r="AB7" i="37"/>
  <c r="T42" i="37" s="1"/>
  <c r="G42" i="37" s="1"/>
  <c r="W7" i="36"/>
  <c r="AC7" i="36"/>
  <c r="V36" i="36" s="1"/>
  <c r="I36" i="36" s="1"/>
  <c r="AB7" i="33"/>
  <c r="T48" i="33" s="1"/>
  <c r="G48" i="33" s="1"/>
  <c r="U7" i="33"/>
  <c r="W7" i="33"/>
  <c r="AC7" i="33"/>
  <c r="V48" i="33" s="1"/>
  <c r="I48" i="33" s="1"/>
  <c r="S7" i="21"/>
  <c r="AA7" i="21"/>
  <c r="R48" i="21" s="1"/>
  <c r="AC7" i="34"/>
  <c r="V49" i="34" s="1"/>
  <c r="I49" i="34" s="1"/>
  <c r="W7" i="34"/>
  <c r="I63" i="40"/>
  <c r="H65" i="40"/>
  <c r="F11" i="15"/>
  <c r="M11" i="15"/>
  <c r="F11" i="67"/>
  <c r="M11" i="67"/>
  <c r="J10" i="67" s="1"/>
  <c r="J5" i="67" s="1"/>
  <c r="Q61" i="67"/>
  <c r="Q74" i="67"/>
  <c r="M27" i="15"/>
  <c r="L47" i="15"/>
  <c r="F8" i="15"/>
  <c r="F42" i="15"/>
  <c r="F7" i="15"/>
  <c r="F37" i="15"/>
  <c r="M28" i="15"/>
  <c r="M26" i="15"/>
  <c r="L48" i="15"/>
  <c r="M22" i="15"/>
  <c r="F16" i="15"/>
  <c r="M9" i="15"/>
  <c r="G1" i="73"/>
  <c r="C76" i="15"/>
  <c r="F38" i="15"/>
  <c r="F9" i="15"/>
  <c r="M8" i="15"/>
  <c r="M23" i="15"/>
  <c r="M6" i="15"/>
  <c r="M24" i="15"/>
  <c r="F36" i="15"/>
  <c r="F26" i="15"/>
  <c r="F13" i="15"/>
  <c r="J15" i="15"/>
  <c r="F40" i="15"/>
  <c r="E42" i="9" l="1"/>
  <c r="C38" i="9" s="1"/>
  <c r="H106" i="9" s="1"/>
  <c r="B40" i="1"/>
  <c r="F22" i="68" s="1"/>
  <c r="C19" i="67"/>
  <c r="F65" i="15"/>
  <c r="F64" i="15"/>
  <c r="F68" i="15"/>
  <c r="M7" i="15"/>
  <c r="F50" i="15"/>
  <c r="Q71" i="15"/>
  <c r="L58" i="15"/>
  <c r="N59" i="15"/>
  <c r="M59" i="15"/>
  <c r="L59" i="15" s="1"/>
  <c r="J6" i="15"/>
  <c r="I54" i="15"/>
  <c r="L60" i="15"/>
  <c r="L57" i="15"/>
  <c r="L56" i="15"/>
  <c r="J59" i="15"/>
  <c r="J57" i="15"/>
  <c r="J55" i="15" s="1"/>
  <c r="J58" i="15" s="1"/>
  <c r="Q50" i="15" s="1"/>
  <c r="J53" i="15"/>
  <c r="J60" i="15"/>
  <c r="Q48" i="15" s="1"/>
  <c r="F66" i="15"/>
  <c r="C27" i="15"/>
  <c r="F51" i="15"/>
  <c r="C49" i="15" s="1"/>
  <c r="C53" i="15" s="1"/>
  <c r="N6" i="1"/>
  <c r="J24" i="67"/>
  <c r="J18" i="67"/>
  <c r="J26" i="67"/>
  <c r="J29" i="67" s="1"/>
  <c r="E48" i="21"/>
  <c r="R49" i="21"/>
  <c r="I52" i="33"/>
  <c r="J52" i="33" s="1"/>
  <c r="I40" i="36"/>
  <c r="J40" i="36" s="1"/>
  <c r="G46" i="37"/>
  <c r="H46" i="37" s="1"/>
  <c r="G47" i="37"/>
  <c r="H47" i="37" s="1"/>
  <c r="G53" i="21"/>
  <c r="H53" i="21" s="1"/>
  <c r="G52" i="21"/>
  <c r="H52" i="21" s="1"/>
  <c r="E36" i="36"/>
  <c r="R37" i="36"/>
  <c r="D47" i="71"/>
  <c r="T47" i="71"/>
  <c r="D23" i="71"/>
  <c r="M19" i="78" s="1"/>
  <c r="M19" i="43"/>
  <c r="T23" i="71"/>
  <c r="D19" i="71"/>
  <c r="T19" i="71"/>
  <c r="D15" i="71"/>
  <c r="T15" i="71"/>
  <c r="G53" i="34"/>
  <c r="H53" i="34" s="1"/>
  <c r="G54" i="34"/>
  <c r="H54" i="34" s="1"/>
  <c r="AC7" i="35"/>
  <c r="V38" i="35" s="1"/>
  <c r="I38" i="35" s="1"/>
  <c r="W7" i="35"/>
  <c r="G68" i="39"/>
  <c r="F70" i="39"/>
  <c r="G40" i="36"/>
  <c r="H40" i="36" s="1"/>
  <c r="G41" i="36"/>
  <c r="H41" i="36" s="1"/>
  <c r="G43" i="35"/>
  <c r="H43" i="35" s="1"/>
  <c r="G42" i="35"/>
  <c r="H42" i="35" s="1"/>
  <c r="D49" i="43"/>
  <c r="E48" i="43" s="1"/>
  <c r="B46" i="43" s="1"/>
  <c r="C24" i="43" s="1"/>
  <c r="J49" i="43"/>
  <c r="E28" i="6"/>
  <c r="N17" i="78"/>
  <c r="G20" i="78" s="1"/>
  <c r="C20" i="78" s="1"/>
  <c r="P17" i="78"/>
  <c r="M17" i="78"/>
  <c r="O17" i="78"/>
  <c r="C53" i="67"/>
  <c r="C48" i="67" s="1"/>
  <c r="C10" i="67"/>
  <c r="C5" i="67" s="1"/>
  <c r="C10" i="15"/>
  <c r="I65" i="40"/>
  <c r="J63" i="40"/>
  <c r="I53" i="34"/>
  <c r="J53" i="34" s="1"/>
  <c r="G52" i="33"/>
  <c r="H52" i="33" s="1"/>
  <c r="G53" i="33"/>
  <c r="H53" i="33" s="1"/>
  <c r="I52" i="21"/>
  <c r="J52" i="21" s="1"/>
  <c r="I53" i="21"/>
  <c r="J53" i="21" s="1"/>
  <c r="I47" i="37"/>
  <c r="J47" i="37" s="1"/>
  <c r="I46" i="37"/>
  <c r="J46" i="37" s="1"/>
  <c r="R39" i="35"/>
  <c r="E38" i="35"/>
  <c r="N49" i="71"/>
  <c r="N48" i="71"/>
  <c r="C9" i="69"/>
  <c r="C9" i="68"/>
  <c r="BB13" i="3"/>
  <c r="I5" i="3"/>
  <c r="F19" i="6"/>
  <c r="E19" i="6" s="1"/>
  <c r="H13" i="3"/>
  <c r="J62" i="78"/>
  <c r="D62" i="78"/>
  <c r="J64" i="78"/>
  <c r="D64" i="78"/>
  <c r="J60" i="78"/>
  <c r="D60" i="78"/>
  <c r="E48" i="33"/>
  <c r="R49" i="33"/>
  <c r="R43" i="37"/>
  <c r="E42" i="37"/>
  <c r="E49" i="34"/>
  <c r="I54" i="34" s="1"/>
  <c r="J54" i="34" s="1"/>
  <c r="R50" i="34"/>
  <c r="D9" i="71"/>
  <c r="M20" i="43"/>
  <c r="M20" i="78"/>
  <c r="J61" i="78"/>
  <c r="D61" i="78"/>
  <c r="J66" i="78"/>
  <c r="D66" i="78"/>
  <c r="J63" i="78"/>
  <c r="D63" i="78"/>
  <c r="M17" i="43"/>
  <c r="G20" i="43" s="1"/>
  <c r="C20" i="43" s="1"/>
  <c r="N17" i="43"/>
  <c r="P17" i="43"/>
  <c r="O17" i="43"/>
  <c r="C20" i="67"/>
  <c r="D12" i="53" l="1"/>
  <c r="B28" i="72" s="1"/>
  <c r="H103" i="9"/>
  <c r="F22" i="69"/>
  <c r="C26" i="69" s="1"/>
  <c r="D22" i="69" s="1"/>
  <c r="D8" i="53"/>
  <c r="D120" i="9"/>
  <c r="F25" i="12"/>
  <c r="C26" i="12" s="1"/>
  <c r="D25" i="12" s="1"/>
  <c r="F24" i="15"/>
  <c r="C24" i="15" s="1"/>
  <c r="F24" i="67"/>
  <c r="C24" i="67" s="1"/>
  <c r="F22" i="11"/>
  <c r="C26" i="11" s="1"/>
  <c r="D22" i="11" s="1"/>
  <c r="L46" i="15"/>
  <c r="C60" i="67"/>
  <c r="C66" i="67"/>
  <c r="C44" i="68"/>
  <c r="D41" i="68" s="1"/>
  <c r="C26" i="68"/>
  <c r="D22" i="68" s="1"/>
  <c r="C24" i="68"/>
  <c r="C34" i="43"/>
  <c r="C35" i="43"/>
  <c r="C38" i="43"/>
  <c r="T16" i="43"/>
  <c r="V16" i="43" s="1"/>
  <c r="T13" i="43"/>
  <c r="V13" i="43" s="1"/>
  <c r="T14" i="43"/>
  <c r="V14" i="43" s="1"/>
  <c r="T15" i="43"/>
  <c r="V15" i="43" s="1"/>
  <c r="C33" i="43"/>
  <c r="C37" i="43"/>
  <c r="C39" i="43"/>
  <c r="T9" i="43"/>
  <c r="V9" i="43" s="1"/>
  <c r="T10" i="43"/>
  <c r="V10" i="43" s="1"/>
  <c r="T11" i="43"/>
  <c r="V11" i="43" s="1"/>
  <c r="T12" i="43"/>
  <c r="V12" i="43" s="1"/>
  <c r="T8" i="43"/>
  <c r="V8" i="43" s="1"/>
  <c r="C36" i="43"/>
  <c r="C26" i="67"/>
  <c r="C50" i="34"/>
  <c r="C49" i="34"/>
  <c r="E47" i="37"/>
  <c r="F47" i="37" s="1"/>
  <c r="E46" i="37"/>
  <c r="F46" i="37" s="1"/>
  <c r="C49" i="33"/>
  <c r="C48" i="33"/>
  <c r="E59" i="78"/>
  <c r="B57" i="78" s="1"/>
  <c r="C24" i="78" s="1"/>
  <c r="T8" i="78" s="1"/>
  <c r="V8" i="78" s="1"/>
  <c r="G13" i="3"/>
  <c r="H5" i="3"/>
  <c r="I4" i="6"/>
  <c r="E42" i="35"/>
  <c r="F42" i="35" s="1"/>
  <c r="E43" i="35"/>
  <c r="F43" i="35" s="1"/>
  <c r="K63" i="40"/>
  <c r="J65" i="40"/>
  <c r="C32" i="67"/>
  <c r="C38" i="67"/>
  <c r="K14" i="1"/>
  <c r="M14" i="1" s="1"/>
  <c r="E30" i="6"/>
  <c r="E40" i="36"/>
  <c r="F40" i="36" s="1"/>
  <c r="E41" i="36"/>
  <c r="F41" i="36" s="1"/>
  <c r="I41" i="36"/>
  <c r="J41" i="36" s="1"/>
  <c r="E52" i="21"/>
  <c r="F52" i="21" s="1"/>
  <c r="E53" i="21"/>
  <c r="F53" i="21" s="1"/>
  <c r="C31" i="66"/>
  <c r="C32" i="66"/>
  <c r="AQ11" i="1"/>
  <c r="AR12" i="1"/>
  <c r="AQ13" i="1"/>
  <c r="AR11" i="1"/>
  <c r="AR8" i="1"/>
  <c r="AQ10" i="1"/>
  <c r="AR13" i="1"/>
  <c r="AR9" i="1"/>
  <c r="AQ12" i="1"/>
  <c r="AR10" i="1"/>
  <c r="AQ9" i="1"/>
  <c r="AQ8" i="1"/>
  <c r="C48" i="15"/>
  <c r="F1" i="15"/>
  <c r="Q52" i="15"/>
  <c r="Q74" i="15"/>
  <c r="Q61" i="15"/>
  <c r="Q60" i="15"/>
  <c r="Q73" i="15"/>
  <c r="E53" i="34"/>
  <c r="F53" i="34" s="1"/>
  <c r="E54" i="34"/>
  <c r="F54" i="34" s="1"/>
  <c r="C42" i="37"/>
  <c r="C43" i="37"/>
  <c r="E53" i="33"/>
  <c r="F53" i="33" s="1"/>
  <c r="E52" i="33"/>
  <c r="F52" i="33" s="1"/>
  <c r="C7" i="12"/>
  <c r="K6" i="1"/>
  <c r="BB5" i="3"/>
  <c r="BA13" i="3"/>
  <c r="C38" i="35"/>
  <c r="C39" i="35"/>
  <c r="B2" i="35" s="1"/>
  <c r="B3" i="35" s="1"/>
  <c r="H68" i="39"/>
  <c r="G70" i="39"/>
  <c r="I42" i="35"/>
  <c r="J42" i="35" s="1"/>
  <c r="I43" i="35"/>
  <c r="J43" i="35" s="1"/>
  <c r="C36" i="36"/>
  <c r="C37" i="36"/>
  <c r="B2" i="36" s="1"/>
  <c r="B3" i="36" s="1"/>
  <c r="I53" i="33"/>
  <c r="J53" i="33" s="1"/>
  <c r="C48" i="21"/>
  <c r="C49" i="21"/>
  <c r="Q66" i="15"/>
  <c r="Q57" i="15"/>
  <c r="J10" i="15"/>
  <c r="J5" i="15" s="1"/>
  <c r="F43" i="15"/>
  <c r="M29" i="15"/>
  <c r="AE6" i="1"/>
  <c r="C44" i="69" l="1"/>
  <c r="D41" i="69" s="1"/>
  <c r="T16" i="78"/>
  <c r="V16" i="78" s="1"/>
  <c r="T10" i="78"/>
  <c r="V10" i="78" s="1"/>
  <c r="T11" i="78"/>
  <c r="V11" i="78" s="1"/>
  <c r="C36" i="78"/>
  <c r="E36" i="78" s="1"/>
  <c r="T14" i="78"/>
  <c r="V14" i="78" s="1"/>
  <c r="C38" i="78"/>
  <c r="E38" i="78" s="1"/>
  <c r="T15" i="78"/>
  <c r="V15" i="78" s="1"/>
  <c r="C34" i="78"/>
  <c r="E34" i="78" s="1"/>
  <c r="T9" i="78"/>
  <c r="V9" i="78" s="1"/>
  <c r="T13" i="78"/>
  <c r="V13" i="78" s="1"/>
  <c r="C35" i="78"/>
  <c r="E35" i="78" s="1"/>
  <c r="C39" i="78"/>
  <c r="G39" i="78" s="1"/>
  <c r="I39" i="78" s="1"/>
  <c r="T12" i="78"/>
  <c r="V12" i="78" s="1"/>
  <c r="C33" i="78"/>
  <c r="E33" i="78" s="1"/>
  <c r="C37" i="78"/>
  <c r="G37" i="78" s="1"/>
  <c r="I37" i="78" s="1"/>
  <c r="D6" i="52"/>
  <c r="D121" i="9"/>
  <c r="D7" i="52" s="1"/>
  <c r="K120" i="9"/>
  <c r="A18" i="62" s="1"/>
  <c r="B64" i="72" s="1"/>
  <c r="D9" i="53"/>
  <c r="B25" i="72" s="1"/>
  <c r="B24" i="72"/>
  <c r="E27" i="66"/>
  <c r="U6" i="1" s="1"/>
  <c r="C23" i="67"/>
  <c r="C29" i="67" s="1"/>
  <c r="J14" i="67" s="1"/>
  <c r="C44" i="11"/>
  <c r="D41" i="11" s="1"/>
  <c r="C23" i="11"/>
  <c r="F71" i="15"/>
  <c r="J26" i="15"/>
  <c r="J24" i="15"/>
  <c r="J18" i="15"/>
  <c r="I68" i="39"/>
  <c r="H70" i="39"/>
  <c r="AZ13" i="3"/>
  <c r="AZ5" i="3" s="1"/>
  <c r="BA5" i="3"/>
  <c r="E27" i="6" s="1"/>
  <c r="E37" i="78"/>
  <c r="K65" i="40"/>
  <c r="L63" i="40"/>
  <c r="G3" i="78"/>
  <c r="G3" i="43"/>
  <c r="G5" i="3"/>
  <c r="B3" i="3" s="1"/>
  <c r="E37" i="43"/>
  <c r="G37" i="43"/>
  <c r="I37" i="43" s="1"/>
  <c r="E38" i="43"/>
  <c r="G38" i="43"/>
  <c r="I38" i="43" s="1"/>
  <c r="E35" i="43"/>
  <c r="G35" i="43"/>
  <c r="I35" i="43" s="1"/>
  <c r="G35" i="78"/>
  <c r="I35" i="78" s="1"/>
  <c r="E12" i="6"/>
  <c r="E11" i="6"/>
  <c r="E14" i="6"/>
  <c r="E15" i="6"/>
  <c r="E13" i="6"/>
  <c r="E10" i="6"/>
  <c r="E8" i="6"/>
  <c r="C60" i="15"/>
  <c r="C66" i="15"/>
  <c r="O14" i="1"/>
  <c r="P14" i="1" s="1"/>
  <c r="E36" i="43"/>
  <c r="G36" i="43"/>
  <c r="I36" i="43" s="1"/>
  <c r="E39" i="43"/>
  <c r="G39" i="43"/>
  <c r="I39" i="43" s="1"/>
  <c r="E33" i="43"/>
  <c r="G33" i="43"/>
  <c r="I33" i="43" s="1"/>
  <c r="E34" i="43"/>
  <c r="G34" i="43"/>
  <c r="I34" i="43" s="1"/>
  <c r="M6" i="1"/>
  <c r="H16" i="1"/>
  <c r="K16" i="1"/>
  <c r="C34" i="69"/>
  <c r="Q16" i="1"/>
  <c r="G16" i="1"/>
  <c r="F41" i="15"/>
  <c r="F6" i="15"/>
  <c r="C16" i="15"/>
  <c r="G38" i="78" l="1"/>
  <c r="I38" i="78" s="1"/>
  <c r="E39" i="78"/>
  <c r="G33" i="78"/>
  <c r="I33" i="78" s="1"/>
  <c r="G34" i="78"/>
  <c r="I34" i="78" s="1"/>
  <c r="G36" i="78"/>
  <c r="I36" i="78" s="1"/>
  <c r="C6" i="15"/>
  <c r="C5" i="15" s="1"/>
  <c r="C57" i="67"/>
  <c r="C61" i="67" s="1"/>
  <c r="C59" i="67" s="1"/>
  <c r="C33" i="67"/>
  <c r="C31" i="67" s="1"/>
  <c r="F69" i="15"/>
  <c r="C13" i="67"/>
  <c r="C56" i="67" s="1"/>
  <c r="C65" i="67" s="1"/>
  <c r="Q49" i="67"/>
  <c r="J29" i="15"/>
  <c r="J19" i="67"/>
  <c r="J17" i="67" s="1"/>
  <c r="C36" i="67"/>
  <c r="E60" i="40"/>
  <c r="E65" i="39"/>
  <c r="E61"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17" i="3"/>
  <c r="E366" i="3"/>
  <c r="E553" i="3"/>
  <c r="E282" i="3"/>
  <c r="N6" i="3"/>
  <c r="AJ6" i="3"/>
  <c r="E477" i="3"/>
  <c r="E403" i="3"/>
  <c r="E489" i="3"/>
  <c r="E404" i="3"/>
  <c r="E447" i="3"/>
  <c r="E71" i="3"/>
  <c r="E27" i="3"/>
  <c r="E70" i="3"/>
  <c r="E121" i="3"/>
  <c r="E182" i="3"/>
  <c r="E166" i="3"/>
  <c r="E211" i="3"/>
  <c r="E295" i="3"/>
  <c r="E273" i="3"/>
  <c r="E316" i="3"/>
  <c r="E377" i="3"/>
  <c r="E334" i="3"/>
  <c r="E572" i="3"/>
  <c r="E44" i="3"/>
  <c r="E29" i="3"/>
  <c r="E480" i="3"/>
  <c r="E484" i="3"/>
  <c r="E467" i="3"/>
  <c r="E46" i="3"/>
  <c r="E160" i="3"/>
  <c r="E200" i="3"/>
  <c r="E249" i="3"/>
  <c r="E371" i="3"/>
  <c r="E492" i="3"/>
  <c r="E23" i="3"/>
  <c r="E67" i="3"/>
  <c r="E144" i="3"/>
  <c r="E233" i="3"/>
  <c r="E381" i="3"/>
  <c r="E68" i="3"/>
  <c r="E81" i="3"/>
  <c r="E264" i="3"/>
  <c r="E309" i="3"/>
  <c r="E21" i="3"/>
  <c r="E125" i="3"/>
  <c r="E526" i="3"/>
  <c r="E268" i="3"/>
  <c r="E32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345" i="3"/>
  <c r="E367" i="3"/>
  <c r="E558" i="3"/>
  <c r="E505" i="3"/>
  <c r="E557" i="3"/>
  <c r="E547" i="3"/>
  <c r="E581" i="3"/>
  <c r="AS6" i="3"/>
  <c r="E531" i="3"/>
  <c r="E444" i="3"/>
  <c r="E476" i="3"/>
  <c r="E546" i="3"/>
  <c r="E28" i="3"/>
  <c r="E88" i="3"/>
  <c r="E92" i="3"/>
  <c r="E162" i="3"/>
  <c r="E126" i="3"/>
  <c r="E186" i="3"/>
  <c r="E272" i="3"/>
  <c r="E210" i="3"/>
  <c r="E291" i="3"/>
  <c r="E331" i="3"/>
  <c r="E317" i="3"/>
  <c r="E384" i="3"/>
  <c r="AM6" i="3"/>
  <c r="E30" i="3"/>
  <c r="E109" i="3"/>
  <c r="E441" i="3"/>
  <c r="E425" i="3"/>
  <c r="E64" i="3"/>
  <c r="E103" i="3"/>
  <c r="E142" i="3"/>
  <c r="E267" i="3"/>
  <c r="E300" i="3"/>
  <c r="E310" i="3"/>
  <c r="E84" i="3"/>
  <c r="E33" i="3"/>
  <c r="E184" i="3"/>
  <c r="E355" i="3"/>
  <c r="E63" i="3"/>
  <c r="E118" i="3"/>
  <c r="E283" i="3"/>
  <c r="E513" i="3"/>
  <c r="E15" i="3"/>
  <c r="E16" i="3"/>
  <c r="E14" i="3"/>
  <c r="I6" i="3"/>
  <c r="G22" i="78"/>
  <c r="H22" i="78"/>
  <c r="E22" i="78"/>
  <c r="F22" i="78"/>
  <c r="B113" i="78"/>
  <c r="C23" i="78"/>
  <c r="J22" i="78"/>
  <c r="N101" i="78"/>
  <c r="M101" i="78"/>
  <c r="L101" i="78"/>
  <c r="K101" i="78"/>
  <c r="J101" i="78"/>
  <c r="I101" i="78"/>
  <c r="H101" i="78"/>
  <c r="G101" i="78"/>
  <c r="F101" i="78"/>
  <c r="E101" i="78"/>
  <c r="D101" i="78"/>
  <c r="C101" i="78"/>
  <c r="AI11" i="78"/>
  <c r="AI13" i="78" s="1"/>
  <c r="AH11" i="78"/>
  <c r="AH13" i="78" s="1"/>
  <c r="AG11" i="78"/>
  <c r="AG13" i="78" s="1"/>
  <c r="AF11" i="78"/>
  <c r="AF13" i="78" s="1"/>
  <c r="AE11" i="78"/>
  <c r="AE13" i="78" s="1"/>
  <c r="AD11" i="78"/>
  <c r="AD13" i="78" s="1"/>
  <c r="AC11" i="78"/>
  <c r="AC13" i="78" s="1"/>
  <c r="AB11" i="78"/>
  <c r="AB13" i="78" s="1"/>
  <c r="AA11" i="78"/>
  <c r="AA13" i="78" s="1"/>
  <c r="Z11" i="78"/>
  <c r="Z13" i="78" s="1"/>
  <c r="S5" i="78"/>
  <c r="T5" i="78" s="1"/>
  <c r="V5" i="78" s="1"/>
  <c r="S3" i="78"/>
  <c r="T3" i="78" s="1"/>
  <c r="V3" i="78" s="1"/>
  <c r="AJ11" i="78"/>
  <c r="AJ13" i="78" s="1"/>
  <c r="Y11" i="78"/>
  <c r="Y13" i="78" s="1"/>
  <c r="Z7" i="78"/>
  <c r="S7" i="78"/>
  <c r="T7" i="78" s="1"/>
  <c r="V7" i="78" s="1"/>
  <c r="S6" i="78"/>
  <c r="T6" i="78" s="1"/>
  <c r="V6" i="78" s="1"/>
  <c r="S4" i="78"/>
  <c r="T4" i="78" s="1"/>
  <c r="V4" i="78" s="1"/>
  <c r="S2" i="78"/>
  <c r="T2" i="78" s="1"/>
  <c r="V2" i="78" s="1"/>
  <c r="E31" i="6"/>
  <c r="K20" i="6"/>
  <c r="K21" i="6"/>
  <c r="M21" i="6" s="1"/>
  <c r="I21" i="6" s="1"/>
  <c r="S21" i="6" s="1"/>
  <c r="K25" i="6"/>
  <c r="M25" i="6" s="1"/>
  <c r="I25" i="6" s="1"/>
  <c r="S25" i="6" s="1"/>
  <c r="K19" i="6"/>
  <c r="K24" i="6"/>
  <c r="M24" i="6" s="1"/>
  <c r="I24" i="6" s="1"/>
  <c r="S24" i="6" s="1"/>
  <c r="K22" i="6"/>
  <c r="M22" i="6" s="1"/>
  <c r="I22" i="6" s="1"/>
  <c r="S22" i="6" s="1"/>
  <c r="K23" i="6"/>
  <c r="M23" i="6" s="1"/>
  <c r="I23" i="6" s="1"/>
  <c r="S23" i="6" s="1"/>
  <c r="K26" i="6"/>
  <c r="M26" i="6" s="1"/>
  <c r="I26" i="6" s="1"/>
  <c r="S26" i="6" s="1"/>
  <c r="F27" i="68"/>
  <c r="F28" i="12"/>
  <c r="C29" i="12" s="1"/>
  <c r="D28" i="12" s="1"/>
  <c r="F27" i="69"/>
  <c r="F27" i="11"/>
  <c r="J10" i="39"/>
  <c r="F10" i="39"/>
  <c r="J10" i="40"/>
  <c r="F10" i="40"/>
  <c r="H10" i="39"/>
  <c r="H10" i="40"/>
  <c r="C35" i="69"/>
  <c r="C38" i="69"/>
  <c r="O6" i="1"/>
  <c r="O16" i="1" s="1"/>
  <c r="M16" i="1"/>
  <c r="F27" i="6"/>
  <c r="F31" i="6" s="1"/>
  <c r="E56" i="39"/>
  <c r="E51" i="40"/>
  <c r="E16" i="6"/>
  <c r="E58" i="40"/>
  <c r="E63" i="39"/>
  <c r="E64" i="39"/>
  <c r="E59" i="40"/>
  <c r="E62" i="39"/>
  <c r="E57" i="40"/>
  <c r="E13" i="3"/>
  <c r="E22" i="43"/>
  <c r="F22" i="43"/>
  <c r="G22" i="43"/>
  <c r="H22" i="43"/>
  <c r="B113" i="43"/>
  <c r="C101" i="43"/>
  <c r="D101" i="43"/>
  <c r="M101" i="43"/>
  <c r="I101" i="43"/>
  <c r="E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J22" i="43"/>
  <c r="K101" i="43"/>
  <c r="F101" i="43"/>
  <c r="N101" i="43"/>
  <c r="G101" i="43"/>
  <c r="J101" i="43"/>
  <c r="N104" i="46"/>
  <c r="L101" i="43"/>
  <c r="S7" i="43"/>
  <c r="T7" i="43" s="1"/>
  <c r="V7" i="43" s="1"/>
  <c r="H101" i="43"/>
  <c r="S5" i="43"/>
  <c r="T5" i="43" s="1"/>
  <c r="V5" i="43" s="1"/>
  <c r="S4" i="43"/>
  <c r="T4" i="43" s="1"/>
  <c r="V4" i="43" s="1"/>
  <c r="C23" i="43"/>
  <c r="L65" i="40"/>
  <c r="M63" i="40"/>
  <c r="AY6" i="3"/>
  <c r="E3" i="6"/>
  <c r="I70" i="39"/>
  <c r="J68" i="39"/>
  <c r="J22" i="67"/>
  <c r="J13" i="67"/>
  <c r="J23" i="67" s="1"/>
  <c r="H6" i="3" l="1"/>
  <c r="Q70" i="67"/>
  <c r="C32" i="15"/>
  <c r="C38" i="15"/>
  <c r="C37" i="67"/>
  <c r="C30" i="67" s="1"/>
  <c r="C39" i="67" s="1"/>
  <c r="C40" i="67" s="1"/>
  <c r="C64" i="67"/>
  <c r="C58" i="67" s="1"/>
  <c r="C67" i="67" s="1"/>
  <c r="C68" i="67" s="1"/>
  <c r="P6" i="1"/>
  <c r="P16" i="1" s="1"/>
  <c r="C11" i="12" s="1"/>
  <c r="C12" i="12" s="1"/>
  <c r="C75" i="67"/>
  <c r="J16" i="67"/>
  <c r="J25" i="67" s="1"/>
  <c r="AC6" i="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83" i="3"/>
  <c r="BT6" i="3"/>
  <c r="AY567" i="3"/>
  <c r="AY396" i="3"/>
  <c r="AY232" i="3"/>
  <c r="AY558" i="3"/>
  <c r="BL6" i="3"/>
  <c r="AY38" i="3"/>
  <c r="AY148" i="3"/>
  <c r="AY277" i="3"/>
  <c r="AY224" i="3"/>
  <c r="AY391" i="3"/>
  <c r="AY338" i="3"/>
  <c r="AY448" i="3"/>
  <c r="BD6"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378" i="3"/>
  <c r="AY362" i="3"/>
  <c r="AY346" i="3"/>
  <c r="AY469" i="3"/>
  <c r="AY456" i="3"/>
  <c r="AY437" i="3"/>
  <c r="AY560" i="3"/>
  <c r="AY91" i="3"/>
  <c r="AY55" i="3"/>
  <c r="AY184" i="3"/>
  <c r="AY128" i="3"/>
  <c r="AY241" i="3"/>
  <c r="AY354" i="3"/>
  <c r="AY490" i="3"/>
  <c r="AY429" i="3"/>
  <c r="AY511" i="3"/>
  <c r="AY504" i="3"/>
  <c r="AY498" i="3"/>
  <c r="M65" i="40"/>
  <c r="N63" i="40"/>
  <c r="G105" i="43"/>
  <c r="G107" i="43"/>
  <c r="G104" i="43"/>
  <c r="G106" i="43"/>
  <c r="G109" i="43"/>
  <c r="G102" i="43"/>
  <c r="G103" i="43"/>
  <c r="F104" i="43"/>
  <c r="F107" i="43"/>
  <c r="F106" i="43"/>
  <c r="F103" i="43"/>
  <c r="F105" i="43"/>
  <c r="F109" i="43"/>
  <c r="F102" i="43"/>
  <c r="I104" i="43"/>
  <c r="I106" i="43"/>
  <c r="I107" i="43"/>
  <c r="I102" i="43"/>
  <c r="I109" i="43"/>
  <c r="I103" i="43"/>
  <c r="I105" i="43"/>
  <c r="D102" i="43"/>
  <c r="D104" i="43"/>
  <c r="D106" i="43"/>
  <c r="D105" i="43"/>
  <c r="D103" i="43"/>
  <c r="D107" i="43"/>
  <c r="D109" i="43"/>
  <c r="D115" i="43"/>
  <c r="E115" i="43" s="1"/>
  <c r="F115" i="43" s="1"/>
  <c r="G115" i="43" s="1"/>
  <c r="H115" i="43" s="1"/>
  <c r="D116" i="43"/>
  <c r="E116" i="43" s="1"/>
  <c r="F116" i="43" s="1"/>
  <c r="G116" i="43" s="1"/>
  <c r="H116" i="43" s="1"/>
  <c r="D117" i="43"/>
  <c r="E117" i="43" s="1"/>
  <c r="F117" i="43" s="1"/>
  <c r="G117" i="43" s="1"/>
  <c r="H117" i="43" s="1"/>
  <c r="D118" i="43"/>
  <c r="E118" i="43" s="1"/>
  <c r="F118" i="43" s="1"/>
  <c r="B116" i="43"/>
  <c r="C116" i="43" s="1"/>
  <c r="B118" i="43"/>
  <c r="C118" i="43" s="1"/>
  <c r="I116" i="43"/>
  <c r="J116" i="43" s="1"/>
  <c r="K116" i="43" s="1"/>
  <c r="L116" i="43" s="1"/>
  <c r="M116" i="43" s="1"/>
  <c r="I118" i="43"/>
  <c r="J118" i="43" s="1"/>
  <c r="K118" i="43" s="1"/>
  <c r="L118" i="43" s="1"/>
  <c r="M118" i="43" s="1"/>
  <c r="B115" i="43"/>
  <c r="B117" i="43"/>
  <c r="C117" i="43" s="1"/>
  <c r="I115" i="43"/>
  <c r="J115" i="43" s="1"/>
  <c r="K115" i="43" s="1"/>
  <c r="L115" i="43" s="1"/>
  <c r="M115" i="43" s="1"/>
  <c r="I117" i="43"/>
  <c r="J117" i="43" s="1"/>
  <c r="K117" i="43" s="1"/>
  <c r="L117" i="43" s="1"/>
  <c r="M117" i="43" s="1"/>
  <c r="G118" i="43"/>
  <c r="H118" i="43" s="1"/>
  <c r="N16" i="1"/>
  <c r="L16" i="1"/>
  <c r="U10" i="40"/>
  <c r="AB10" i="40"/>
  <c r="AA10" i="40"/>
  <c r="S10" i="40"/>
  <c r="S10" i="39"/>
  <c r="AA10" i="39"/>
  <c r="C47" i="11"/>
  <c r="D45" i="11" s="1"/>
  <c r="C29" i="11"/>
  <c r="D27" i="11" s="1"/>
  <c r="M20" i="6"/>
  <c r="I20" i="6" s="1"/>
  <c r="S20" i="6" s="1"/>
  <c r="S7" i="1"/>
  <c r="D107" i="78"/>
  <c r="D106" i="78"/>
  <c r="D105" i="78"/>
  <c r="D104" i="78"/>
  <c r="D103" i="78"/>
  <c r="D102" i="78"/>
  <c r="D109" i="78"/>
  <c r="F107" i="78"/>
  <c r="F106" i="78"/>
  <c r="F105" i="78"/>
  <c r="F104" i="78"/>
  <c r="F103" i="78"/>
  <c r="F102" i="78"/>
  <c r="F109" i="78"/>
  <c r="H107" i="78"/>
  <c r="H106" i="78"/>
  <c r="H105" i="78"/>
  <c r="H104" i="78"/>
  <c r="H103" i="78"/>
  <c r="H102" i="78"/>
  <c r="H109" i="78"/>
  <c r="J107" i="78"/>
  <c r="J106" i="78"/>
  <c r="J105" i="78"/>
  <c r="J104" i="78"/>
  <c r="J103" i="78"/>
  <c r="J102" i="78"/>
  <c r="J109" i="78"/>
  <c r="L107" i="78"/>
  <c r="L106" i="78"/>
  <c r="L105" i="78"/>
  <c r="L104" i="78"/>
  <c r="L103" i="78"/>
  <c r="L102" i="78"/>
  <c r="L109" i="78"/>
  <c r="N107" i="78"/>
  <c r="N106" i="78"/>
  <c r="N105" i="78"/>
  <c r="N104" i="78"/>
  <c r="N103" i="78"/>
  <c r="N102" i="78"/>
  <c r="N109" i="78"/>
  <c r="K68" i="39"/>
  <c r="J70" i="39"/>
  <c r="E6" i="6"/>
  <c r="M18" i="9"/>
  <c r="B118" i="9" s="1"/>
  <c r="B14" i="74" s="1"/>
  <c r="B1" i="74" s="1"/>
  <c r="D3" i="21"/>
  <c r="B2" i="21" s="1"/>
  <c r="B3" i="21" s="1"/>
  <c r="C17" i="4"/>
  <c r="B4" i="52" s="1"/>
  <c r="B43" i="72" s="1"/>
  <c r="L18" i="9"/>
  <c r="D3" i="37"/>
  <c r="B2" i="37" s="1"/>
  <c r="B3" i="37" s="1"/>
  <c r="D3" i="34"/>
  <c r="B2" i="34" s="1"/>
  <c r="B3" i="34" s="1"/>
  <c r="D37" i="11"/>
  <c r="D3" i="33"/>
  <c r="B2" i="33" s="1"/>
  <c r="B3" i="33" s="1"/>
  <c r="D19" i="11"/>
  <c r="C19" i="11" s="1"/>
  <c r="D14" i="12"/>
  <c r="H102" i="43"/>
  <c r="H103" i="43"/>
  <c r="H105" i="43"/>
  <c r="H107" i="43"/>
  <c r="H104" i="43"/>
  <c r="H106" i="43"/>
  <c r="H109" i="43"/>
  <c r="L109" i="43"/>
  <c r="L102" i="43"/>
  <c r="L103" i="43"/>
  <c r="L105" i="43"/>
  <c r="L106" i="43"/>
  <c r="L104" i="43"/>
  <c r="L107" i="43"/>
  <c r="J104" i="43"/>
  <c r="J105" i="43"/>
  <c r="J103" i="43"/>
  <c r="J102" i="43"/>
  <c r="J106" i="43"/>
  <c r="J109" i="43"/>
  <c r="J107" i="43"/>
  <c r="N102" i="43"/>
  <c r="N103" i="43"/>
  <c r="N106" i="43"/>
  <c r="N105" i="43"/>
  <c r="N107" i="43"/>
  <c r="N109" i="43"/>
  <c r="N104" i="43"/>
  <c r="K103" i="43"/>
  <c r="K102" i="43"/>
  <c r="K105" i="43"/>
  <c r="K109" i="43"/>
  <c r="K107" i="43"/>
  <c r="K106" i="43"/>
  <c r="K104" i="43"/>
  <c r="E103" i="43"/>
  <c r="E104" i="43"/>
  <c r="E105" i="43"/>
  <c r="E106" i="43"/>
  <c r="E107" i="43"/>
  <c r="E109" i="43"/>
  <c r="E102" i="43"/>
  <c r="M104" i="43"/>
  <c r="M107" i="43"/>
  <c r="M109" i="43"/>
  <c r="M103" i="43"/>
  <c r="M105" i="43"/>
  <c r="M102" i="43"/>
  <c r="M106" i="43"/>
  <c r="C102" i="43"/>
  <c r="C104" i="43"/>
  <c r="C106" i="43"/>
  <c r="C105" i="43"/>
  <c r="C103" i="43"/>
  <c r="C107" i="43"/>
  <c r="C109" i="43"/>
  <c r="D22" i="43"/>
  <c r="C21" i="43" s="1"/>
  <c r="E66" i="39"/>
  <c r="U10" i="39"/>
  <c r="AB10" i="39"/>
  <c r="W10" i="40"/>
  <c r="AC10" i="40"/>
  <c r="W10" i="39"/>
  <c r="AC10" i="39"/>
  <c r="C29" i="69"/>
  <c r="D27" i="69" s="1"/>
  <c r="C47" i="69"/>
  <c r="D45" i="69" s="1"/>
  <c r="C47" i="68"/>
  <c r="D45" i="68" s="1"/>
  <c r="C29" i="68"/>
  <c r="D27" i="68" s="1"/>
  <c r="M19" i="6"/>
  <c r="K27" i="6"/>
  <c r="S6" i="1"/>
  <c r="C107" i="78"/>
  <c r="C106" i="78"/>
  <c r="C105" i="78"/>
  <c r="C104" i="78"/>
  <c r="C103" i="78"/>
  <c r="C102" i="78"/>
  <c r="C109" i="78"/>
  <c r="E107" i="78"/>
  <c r="E106" i="78"/>
  <c r="E105" i="78"/>
  <c r="E104" i="78"/>
  <c r="E103" i="78"/>
  <c r="E102" i="78"/>
  <c r="E109" i="78"/>
  <c r="G107" i="78"/>
  <c r="G106" i="78"/>
  <c r="G105" i="78"/>
  <c r="G104" i="78"/>
  <c r="G103" i="78"/>
  <c r="G102" i="78"/>
  <c r="G109" i="78"/>
  <c r="I107" i="78"/>
  <c r="I106" i="78"/>
  <c r="I105" i="78"/>
  <c r="I104" i="78"/>
  <c r="I103" i="78"/>
  <c r="I102" i="78"/>
  <c r="I109" i="78"/>
  <c r="K107" i="78"/>
  <c r="K106" i="78"/>
  <c r="K105" i="78"/>
  <c r="K104" i="78"/>
  <c r="K103" i="78"/>
  <c r="K102" i="78"/>
  <c r="K109" i="78"/>
  <c r="M107" i="78"/>
  <c r="M106" i="78"/>
  <c r="M105" i="78"/>
  <c r="M104" i="78"/>
  <c r="M103" i="78"/>
  <c r="M102" i="78"/>
  <c r="M109"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G118" i="78"/>
  <c r="H118" i="78" s="1"/>
  <c r="D118" i="78"/>
  <c r="E118" i="78" s="1"/>
  <c r="F118" i="78" s="1"/>
  <c r="D117" i="78"/>
  <c r="E117" i="78" s="1"/>
  <c r="F117" i="78" s="1"/>
  <c r="G117" i="78" s="1"/>
  <c r="H117" i="78" s="1"/>
  <c r="D116" i="78"/>
  <c r="E116" i="78" s="1"/>
  <c r="F116" i="78" s="1"/>
  <c r="G116" i="78" s="1"/>
  <c r="H116" i="78" s="1"/>
  <c r="D115" i="78"/>
  <c r="E115" i="78" s="1"/>
  <c r="F115" i="78" s="1"/>
  <c r="G115" i="78" s="1"/>
  <c r="H115" i="78" s="1"/>
  <c r="B115" i="78"/>
  <c r="D22" i="78"/>
  <c r="C21" i="78" s="1"/>
  <c r="E6" i="3"/>
  <c r="C17" i="15"/>
  <c r="C15" i="12" l="1"/>
  <c r="Q69" i="67"/>
  <c r="Q68" i="67" s="1"/>
  <c r="C80" i="67"/>
  <c r="C79" i="67" s="1"/>
  <c r="C71" i="67"/>
  <c r="C45" i="67"/>
  <c r="C46" i="67" s="1"/>
  <c r="T6" i="1"/>
  <c r="S16" i="1"/>
  <c r="AQ6" i="1"/>
  <c r="AR6" i="1"/>
  <c r="E6" i="70"/>
  <c r="E2" i="70" s="1"/>
  <c r="I19" i="6"/>
  <c r="M27" i="6"/>
  <c r="D17" i="12"/>
  <c r="C17" i="12" s="1"/>
  <c r="C8" i="74"/>
  <c r="C7" i="74"/>
  <c r="T7" i="1"/>
  <c r="AQ7" i="1"/>
  <c r="AR7" i="1"/>
  <c r="F34" i="11"/>
  <c r="F11" i="12"/>
  <c r="C14" i="12" s="1"/>
  <c r="F34" i="68"/>
  <c r="C115" i="43"/>
  <c r="D113" i="43" s="1"/>
  <c r="H20" i="6"/>
  <c r="H21" i="6"/>
  <c r="D19" i="6"/>
  <c r="H19" i="6"/>
  <c r="D20" i="6"/>
  <c r="R20" i="6" s="1"/>
  <c r="R7" i="1" s="1"/>
  <c r="D21" i="6"/>
  <c r="R21" i="6" s="1"/>
  <c r="M19" i="9"/>
  <c r="C118" i="9" s="1"/>
  <c r="C14" i="74" s="1"/>
  <c r="B2" i="74" s="1"/>
  <c r="D26" i="6"/>
  <c r="C18" i="4"/>
  <c r="D8" i="6"/>
  <c r="D24" i="6"/>
  <c r="D5" i="6"/>
  <c r="D12" i="6"/>
  <c r="D11" i="6"/>
  <c r="D13" i="6"/>
  <c r="D28" i="6"/>
  <c r="E61" i="40"/>
  <c r="H23" i="6"/>
  <c r="H24" i="6"/>
  <c r="D25" i="6"/>
  <c r="D15" i="6"/>
  <c r="D22" i="6"/>
  <c r="D23" i="6"/>
  <c r="D14" i="6"/>
  <c r="D6" i="6"/>
  <c r="D10" i="6"/>
  <c r="L19" i="9"/>
  <c r="H26" i="6"/>
  <c r="D9" i="6"/>
  <c r="D29" i="6"/>
  <c r="H25" i="6"/>
  <c r="H22" i="6"/>
  <c r="Q65" i="67"/>
  <c r="Q56" i="67"/>
  <c r="Q47" i="67"/>
  <c r="Q53" i="67" s="1"/>
  <c r="C43" i="67"/>
  <c r="C83" i="67"/>
  <c r="C82" i="67" s="1"/>
  <c r="C115" i="78"/>
  <c r="D113" i="78" s="1"/>
  <c r="C29" i="78"/>
  <c r="C29" i="43"/>
  <c r="C20" i="11"/>
  <c r="C25" i="11" s="1"/>
  <c r="C24" i="11"/>
  <c r="D10" i="68"/>
  <c r="D10" i="11"/>
  <c r="C10" i="11" s="1"/>
  <c r="D20" i="12"/>
  <c r="C20" i="12" s="1"/>
  <c r="D10" i="69"/>
  <c r="K70" i="39"/>
  <c r="L68" i="39"/>
  <c r="N65" i="40"/>
  <c r="O63" i="40"/>
  <c r="O65" i="40" s="1"/>
  <c r="L51" i="67"/>
  <c r="C14" i="15"/>
  <c r="Q67" i="67" l="1"/>
  <c r="L57" i="67"/>
  <c r="L60" i="67" s="1"/>
  <c r="Q66" i="67" s="1"/>
  <c r="Q75" i="67" s="1"/>
  <c r="R25" i="6"/>
  <c r="C28" i="11"/>
  <c r="C27" i="11" s="1"/>
  <c r="R23" i="6"/>
  <c r="C16" i="12"/>
  <c r="C15" i="15"/>
  <c r="C18" i="15"/>
  <c r="J7" i="40"/>
  <c r="F7" i="40"/>
  <c r="M68" i="39"/>
  <c r="L70" i="39"/>
  <c r="C10" i="69"/>
  <c r="C8" i="69" s="1"/>
  <c r="C5" i="69" s="1"/>
  <c r="D19" i="69"/>
  <c r="C22" i="11"/>
  <c r="E29" i="43"/>
  <c r="C26" i="43" s="1"/>
  <c r="C30" i="43"/>
  <c r="E30" i="43" s="1"/>
  <c r="C27" i="43" s="1"/>
  <c r="D30" i="6"/>
  <c r="D16" i="6"/>
  <c r="R26" i="6"/>
  <c r="H27" i="6"/>
  <c r="H7" i="40"/>
  <c r="T16" i="1"/>
  <c r="Q57" i="67"/>
  <c r="Q62" i="67" s="1"/>
  <c r="C10" i="68"/>
  <c r="D19" i="68"/>
  <c r="D37" i="68" s="1"/>
  <c r="C37" i="68" s="1"/>
  <c r="E29" i="78"/>
  <c r="C26" i="78" s="1"/>
  <c r="C30" i="78"/>
  <c r="E30" i="78" s="1"/>
  <c r="C27" i="78" s="1"/>
  <c r="R22" i="6"/>
  <c r="R24" i="6"/>
  <c r="A7" i="51"/>
  <c r="B7" i="72" s="1"/>
  <c r="C4" i="52"/>
  <c r="B45" i="72" s="1"/>
  <c r="A10" i="51"/>
  <c r="B9" i="72" s="1"/>
  <c r="D8" i="74"/>
  <c r="D7" i="74"/>
  <c r="R19" i="6"/>
  <c r="D27" i="6"/>
  <c r="C34" i="68"/>
  <c r="C36" i="68"/>
  <c r="C36" i="11"/>
  <c r="C34" i="11"/>
  <c r="C37" i="11"/>
  <c r="I27" i="6"/>
  <c r="S19" i="6"/>
  <c r="S27" i="6" s="1"/>
  <c r="E6" i="76"/>
  <c r="E7" i="76"/>
  <c r="B29" i="1" l="1"/>
  <c r="C8" i="68" s="1"/>
  <c r="D31" i="6"/>
  <c r="I5" i="6" s="1"/>
  <c r="L46" i="67"/>
  <c r="D2" i="67" s="1"/>
  <c r="B2" i="67" s="1"/>
  <c r="C31" i="11"/>
  <c r="C18" i="12"/>
  <c r="C21" i="12" s="1"/>
  <c r="C22" i="12" s="1"/>
  <c r="C19" i="15"/>
  <c r="C20" i="15" s="1"/>
  <c r="C23" i="15" s="1"/>
  <c r="E2" i="76"/>
  <c r="C35" i="11"/>
  <c r="C38" i="11"/>
  <c r="I6" i="6"/>
  <c r="B3" i="67"/>
  <c r="AB7" i="40"/>
  <c r="T42" i="40" s="1"/>
  <c r="G42" i="40" s="1"/>
  <c r="U7" i="40"/>
  <c r="D37" i="69"/>
  <c r="C37" i="69" s="1"/>
  <c r="C33" i="69" s="1"/>
  <c r="C19" i="69"/>
  <c r="C24" i="69" s="1"/>
  <c r="AA7" i="40"/>
  <c r="R42" i="40" s="1"/>
  <c r="S7" i="40"/>
  <c r="C38" i="68"/>
  <c r="C35" i="68"/>
  <c r="R6" i="1"/>
  <c r="R27" i="6"/>
  <c r="B2" i="78"/>
  <c r="B2" i="43"/>
  <c r="C23" i="69"/>
  <c r="N68" i="39"/>
  <c r="M70" i="39"/>
  <c r="W7" i="40"/>
  <c r="AC7" i="40"/>
  <c r="V42" i="40" s="1"/>
  <c r="I42" i="40" s="1"/>
  <c r="B6" i="76"/>
  <c r="M21" i="15"/>
  <c r="F35" i="15"/>
  <c r="B7" i="76"/>
  <c r="C33" i="11" l="1"/>
  <c r="C39" i="11" s="1"/>
  <c r="C43" i="11" s="1"/>
  <c r="C33" i="68"/>
  <c r="C39" i="68" s="1"/>
  <c r="C43" i="68" s="1"/>
  <c r="C20" i="69"/>
  <c r="C25" i="69" s="1"/>
  <c r="C22" i="69" s="1"/>
  <c r="F63" i="15"/>
  <c r="C62" i="15" s="1"/>
  <c r="C34" i="15"/>
  <c r="J20" i="15"/>
  <c r="B2" i="76"/>
  <c r="O68" i="39"/>
  <c r="O70" i="39" s="1"/>
  <c r="N70" i="39"/>
  <c r="I46" i="40"/>
  <c r="J46" i="40" s="1"/>
  <c r="B3" i="78"/>
  <c r="R16" i="1"/>
  <c r="C26" i="15"/>
  <c r="C29" i="15" s="1"/>
  <c r="C33" i="15" s="1"/>
  <c r="B3" i="43"/>
  <c r="R43" i="40"/>
  <c r="E42" i="40"/>
  <c r="I47" i="40" s="1"/>
  <c r="J47" i="40" s="1"/>
  <c r="C42" i="69"/>
  <c r="C39" i="69"/>
  <c r="C43" i="69" s="1"/>
  <c r="G46" i="40"/>
  <c r="H46" i="40" s="1"/>
  <c r="G47" i="40"/>
  <c r="H47" i="40" s="1"/>
  <c r="C42" i="11"/>
  <c r="C31" i="15" l="1"/>
  <c r="C28" i="69"/>
  <c r="C27" i="69" s="1"/>
  <c r="C31" i="69" s="1"/>
  <c r="C42" i="68"/>
  <c r="C41" i="68" s="1"/>
  <c r="C46" i="68"/>
  <c r="C45" i="68" s="1"/>
  <c r="C36" i="15"/>
  <c r="C13" i="15"/>
  <c r="J19" i="15"/>
  <c r="J17" i="15" s="1"/>
  <c r="Q49" i="15"/>
  <c r="C57" i="15"/>
  <c r="J14" i="15"/>
  <c r="C46" i="11"/>
  <c r="C45" i="11" s="1"/>
  <c r="C46" i="69"/>
  <c r="C45" i="69" s="1"/>
  <c r="C41" i="11"/>
  <c r="C41" i="69"/>
  <c r="C43" i="40"/>
  <c r="C42" i="40"/>
  <c r="C6" i="68"/>
  <c r="B3" i="76"/>
  <c r="E46" i="40"/>
  <c r="F46" i="40" s="1"/>
  <c r="E47" i="40"/>
  <c r="F47" i="40" s="1"/>
  <c r="J7" i="39"/>
  <c r="F7" i="39"/>
  <c r="H7" i="39"/>
  <c r="C49" i="69" l="1"/>
  <c r="C51" i="69" s="1"/>
  <c r="C52" i="69" s="1"/>
  <c r="B2" i="69" s="1"/>
  <c r="B3" i="69" s="1"/>
  <c r="C49" i="11"/>
  <c r="C51" i="11" s="1"/>
  <c r="C52" i="11" s="1"/>
  <c r="B2" i="11" s="1"/>
  <c r="B3" i="11" s="1"/>
  <c r="C49" i="68"/>
  <c r="C51" i="68" s="1"/>
  <c r="AB7" i="39"/>
  <c r="T47" i="39" s="1"/>
  <c r="G47" i="39" s="1"/>
  <c r="U7" i="39"/>
  <c r="S7" i="39"/>
  <c r="AA7" i="39"/>
  <c r="R47" i="39" s="1"/>
  <c r="C7" i="68"/>
  <c r="C5" i="68"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J22" i="15"/>
  <c r="J13" i="15"/>
  <c r="J23" i="15" s="1"/>
  <c r="C37" i="15"/>
  <c r="C30" i="15" s="1"/>
  <c r="C39" i="15" s="1"/>
  <c r="C56" i="15"/>
  <c r="C65" i="15" s="1"/>
  <c r="C75" i="15"/>
  <c r="Q70" i="15"/>
  <c r="AC7" i="39"/>
  <c r="V47" i="39" s="1"/>
  <c r="I47" i="39" s="1"/>
  <c r="W7" i="39"/>
  <c r="C61" i="15"/>
  <c r="C59" i="15" s="1"/>
  <c r="C64" i="15"/>
  <c r="J16" i="15" l="1"/>
  <c r="J25" i="15" s="1"/>
  <c r="C57" i="69"/>
  <c r="C56" i="69" s="1"/>
  <c r="C56" i="11"/>
  <c r="C57" i="11" s="1"/>
  <c r="C40" i="15"/>
  <c r="Q69" i="15"/>
  <c r="Q68" i="15" s="1"/>
  <c r="C20" i="68"/>
  <c r="C25" i="68" s="1"/>
  <c r="C23" i="68"/>
  <c r="C58" i="15"/>
  <c r="C67" i="15" s="1"/>
  <c r="C68" i="15" s="1"/>
  <c r="I51" i="39"/>
  <c r="J51" i="39" s="1"/>
  <c r="G52" i="39"/>
  <c r="H52" i="39" s="1"/>
  <c r="G51" i="39"/>
  <c r="H51" i="39" s="1"/>
  <c r="C80" i="15"/>
  <c r="C79" i="15" s="1"/>
  <c r="E47" i="39"/>
  <c r="R48" i="39"/>
  <c r="L51" i="15"/>
  <c r="C22" i="68" l="1"/>
  <c r="C28" i="68"/>
  <c r="C27" i="68" s="1"/>
  <c r="Q67" i="15"/>
  <c r="C47" i="39"/>
  <c r="C48" i="39"/>
  <c r="B2" i="15"/>
  <c r="C43" i="15"/>
  <c r="Q47" i="15"/>
  <c r="Q53" i="15" s="1"/>
  <c r="Q65" i="15"/>
  <c r="Q75" i="15" s="1"/>
  <c r="Q56" i="15"/>
  <c r="Q62" i="15" s="1"/>
  <c r="C83" i="15"/>
  <c r="C82" i="15" s="1"/>
  <c r="E51" i="39"/>
  <c r="F51" i="39" s="1"/>
  <c r="E52" i="39"/>
  <c r="F52" i="39" s="1"/>
  <c r="I52" i="39"/>
  <c r="J52" i="39" s="1"/>
  <c r="C71" i="15"/>
  <c r="C46" i="15"/>
  <c r="AO6" i="1"/>
  <c r="C31" i="68" l="1"/>
  <c r="C52" i="68" s="1"/>
  <c r="B2" i="68" s="1"/>
  <c r="B6" i="70"/>
  <c r="B2" i="70" s="1"/>
  <c r="B3" i="7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 i="15"/>
  <c r="C8" i="12"/>
  <c r="C4" i="12" s="1"/>
  <c r="C19" i="9"/>
  <c r="B3" i="68" l="1"/>
  <c r="C57" i="68"/>
  <c r="C56" i="68" s="1"/>
  <c r="C102" i="9"/>
  <c r="C21" i="9"/>
  <c r="C6" i="12"/>
  <c r="C31" i="12"/>
  <c r="C23" i="12"/>
  <c r="D34" i="9"/>
  <c r="D35" i="9"/>
  <c r="C20" i="9"/>
  <c r="C103" i="9" l="1"/>
  <c r="C27" i="12"/>
  <c r="C25" i="12" s="1"/>
  <c r="C30" i="12"/>
  <c r="C28" i="12" s="1"/>
  <c r="C32" i="12" l="1"/>
  <c r="B2" i="12" s="1"/>
  <c r="D19" i="9"/>
  <c r="D21" i="9" l="1"/>
  <c r="D102" i="9"/>
  <c r="G19" i="9"/>
  <c r="K17" i="66" s="1"/>
  <c r="D22" i="9"/>
  <c r="B3" i="12"/>
  <c r="D20" i="9"/>
  <c r="D103" i="9" l="1"/>
  <c r="G20" i="9"/>
  <c r="C32" i="9"/>
  <c r="G21" i="9"/>
  <c r="G22" i="9"/>
  <c r="C35" i="9" l="1"/>
  <c r="F118" i="9" s="1"/>
  <c r="H118" i="9"/>
  <c r="C34" i="9" l="1"/>
  <c r="D118" i="9" s="1"/>
  <c r="H101" i="9"/>
  <c r="I118" i="9"/>
  <c r="C104" i="9"/>
  <c r="D14" i="74"/>
  <c r="H119" i="9"/>
  <c r="H5" i="52" s="1"/>
  <c r="H4" i="52"/>
  <c r="F119" i="9"/>
  <c r="F5" i="52" s="1"/>
  <c r="B53" i="72" s="1"/>
  <c r="G118" i="9"/>
  <c r="G4" i="52" s="1"/>
  <c r="B52" i="72" s="1"/>
  <c r="F4" i="52"/>
  <c r="B51" i="72" s="1"/>
  <c r="D45" i="9" l="1"/>
  <c r="H107" i="9"/>
  <c r="M48" i="9"/>
  <c r="D5" i="53"/>
  <c r="F14" i="74"/>
  <c r="E14" i="74"/>
  <c r="H102" i="9"/>
  <c r="D7" i="53" s="1"/>
  <c r="B21" i="72" s="1"/>
  <c r="C105" i="9"/>
  <c r="E118" i="9"/>
  <c r="E4" i="52" s="1"/>
  <c r="B48" i="72" s="1"/>
  <c r="I4" i="52"/>
  <c r="D119" i="9"/>
  <c r="D5" i="52" s="1"/>
  <c r="B49" i="72" s="1"/>
  <c r="D4" i="52"/>
  <c r="B47" i="72" s="1"/>
  <c r="D6" i="53" l="1"/>
  <c r="B22" i="72" s="1"/>
  <c r="B20" i="72"/>
  <c r="M49" i="9"/>
  <c r="D13" i="53"/>
  <c r="D122" i="9"/>
  <c r="H108" i="9"/>
  <c r="D15" i="53" s="1"/>
  <c r="B31" i="72" s="1"/>
  <c r="D55" i="9"/>
  <c r="M53" i="9" s="1"/>
  <c r="C78" i="9"/>
  <c r="C73" i="9" s="1"/>
  <c r="D52" i="9"/>
  <c r="C93" i="9"/>
  <c r="C86" i="9" s="1"/>
  <c r="C85" i="9"/>
  <c r="C64" i="9"/>
  <c r="C63" i="9" s="1"/>
  <c r="C67" i="9" s="1"/>
  <c r="C68" i="9" s="1"/>
  <c r="D54" i="9" s="1"/>
  <c r="D53" i="9"/>
  <c r="C72" i="9"/>
  <c r="C79" i="9" s="1"/>
  <c r="C95" i="9" l="1"/>
  <c r="C96" i="9" s="1"/>
  <c r="E96" i="9" s="1"/>
  <c r="E97" i="9" s="1"/>
  <c r="C80" i="9"/>
  <c r="E80" i="9" s="1"/>
  <c r="E81" i="9" s="1"/>
  <c r="B30" i="72"/>
  <c r="D14" i="53"/>
  <c r="B32" i="72" s="1"/>
  <c r="D123" i="9"/>
  <c r="D9" i="52" s="1"/>
  <c r="D8" i="52"/>
  <c r="G14" i="74"/>
  <c r="L66" i="9"/>
  <c r="M66" i="9" s="1"/>
  <c r="L63" i="9"/>
  <c r="M63" i="9" s="1"/>
  <c r="L67" i="9"/>
  <c r="M67" i="9" s="1"/>
  <c r="L64" i="9"/>
  <c r="M64" i="9" s="1"/>
  <c r="L68" i="9"/>
  <c r="M68" i="9" s="1"/>
  <c r="L65" i="9"/>
  <c r="M65" i="9" s="1"/>
  <c r="B6" i="74" l="1"/>
  <c r="D6" i="74" s="1"/>
  <c r="C81" i="9"/>
  <c r="C97" i="9"/>
  <c r="D58" i="9" s="1"/>
  <c r="D56" i="9" s="1"/>
  <c r="M54" i="9" s="1"/>
  <c r="N57" i="9" s="1"/>
  <c r="N58" i="9" s="1"/>
  <c r="M69" i="9"/>
  <c r="N69" i="9" s="1"/>
  <c r="C6" i="74"/>
  <c r="E15" i="74"/>
  <c r="B5" i="74"/>
  <c r="F15" i="74"/>
  <c r="N59" i="9" l="1"/>
  <c r="N61" i="9" s="1"/>
  <c r="P57" i="9"/>
  <c r="D5" i="74"/>
  <c r="C5" i="74"/>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<sst xmlns="http://schemas.openxmlformats.org/spreadsheetml/2006/main" count="7753" uniqueCount="3176">
  <si>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</si>
  <si>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</si>
  <si>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</si>
  <si>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</si>
  <si>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</si>
  <si>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</si>
  <si>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</si>
  <si>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</si>
  <si>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</si>
  <si>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</si>
  <si>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</si>
  <si>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</si>
  <si>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</si>
  <si>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</si>
  <si>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</si>
  <si>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</si>
  <si>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</si>
  <si>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</si>
  <si>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</si>
  <si>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</si>
  <si>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</si>
  <si>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</si>
  <si>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</si>
  <si>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</si>
  <si>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</si>
  <si>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</si>
  <si>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</si>
  <si>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</si>
  <si>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</si>
  <si>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</si>
  <si>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</si>
  <si>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</si>
  <si>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</si>
  <si>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</si>
  <si>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</si>
  <si>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</si>
  <si>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</si>
  <si>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</si>
  <si>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</si>
  <si>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</si>
  <si>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</si>
  <si>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</si>
  <si>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</si>
  <si>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</si>
  <si>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</si>
  <si>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</si>
  <si>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</si>
  <si>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</si>
  <si>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</si>
  <si>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</si>
  <si>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</si>
  <si>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</si>
  <si>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</si>
  <si>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</si>
  <si>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</si>
  <si>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</si>
  <si>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</si>
  <si>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</si>
  <si>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</si>
  <si>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</si>
  <si>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</si>
  <si>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</si>
  <si>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</si>
  <si>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</si>
  <si>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</si>
  <si>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</si>
  <si>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</si>
  <si>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</si>
  <si>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</si>
  <si>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</si>
  <si>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</si>
  <si>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</si>
  <si>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</si>
  <si>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</si>
  <si>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</si>
  <si>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</si>
  <si>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</si>
  <si>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</si>
  <si>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</si>
  <si>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</si>
  <si>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</si>
  <si>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</si>
  <si>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</si>
  <si>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</si>
  <si>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</si>
  <si>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</si>
  <si>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</si>
  <si>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</si>
  <si>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</si>
  <si>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</si>
  <si>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</si>
  <si>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</si>
  <si>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</si>
  <si>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</si>
  <si>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</si>
  <si>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</si>
  <si>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</si>
  <si>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</si>
  <si>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</si>
  <si>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</si>
  <si>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</si>
  <si>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</si>
  <si>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</si>
  <si>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</si>
  <si>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</si>
  <si>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</si>
  <si>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</si>
  <si>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</si>
  <si>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</si>
  <si>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</si>
  <si>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</si>
  <si>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</si>
  <si>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</si>
  <si>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</si>
  <si>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</si>
  <si>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</si>
  <si>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</si>
  <si>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</si>
  <si>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</si>
  <si>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</si>
  <si>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</si>
  <si>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</si>
  <si>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</si>
  <si>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</si>
  <si>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</si>
  <si>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</si>
  <si>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</si>
  <si>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</si>
  <si>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</si>
  <si>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</si>
  <si>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</si>
  <si>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</si>
  <si>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</si>
  <si>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</si>
  <si>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</si>
  <si>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</si>
  <si>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</si>
  <si>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</si>
  <si>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</si>
  <si>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</si>
  <si>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</si>
  <si>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</si>
  <si>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</si>
  <si>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</si>
  <si>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</si>
  <si>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</si>
  <si>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</si>
  <si>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</si>
  <si>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</si>
  <si>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</si>
  <si>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</si>
  <si>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</si>
  <si>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</si>
  <si>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</si>
  <si>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</si>
  <si>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</si>
  <si>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</si>
  <si>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</si>
  <si>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</si>
  <si>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</si>
  <si>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</si>
  <si>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</si>
  <si>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</si>
  <si>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</si>
  <si>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</si>
  <si>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</si>
  <si>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</si>
  <si>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</si>
  <si>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</si>
  <si>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</si>
  <si>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</si>
  <si>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</si>
  <si>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</si>
  <si>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</si>
  <si>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</si>
  <si>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</si>
  <si>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</si>
  <si>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</si>
  <si>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</si>
  <si>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</si>
  <si>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</si>
  <si>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</si>
  <si>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</si>
  <si>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</si>
  <si>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</si>
  <si>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</si>
  <si>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</si>
  <si>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</si>
  <si>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</si>
  <si>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</si>
  <si>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</si>
  <si>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</si>
  <si>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</si>
  <si>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</si>
  <si>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</si>
  <si>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</si>
  <si>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</si>
  <si>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</si>
  <si>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</si>
  <si>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</si>
  <si>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</si>
  <si>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</si>
  <si>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</si>
  <si>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</si>
  <si>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</si>
  <si>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</si>
  <si>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</si>
  <si>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</si>
  <si>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</si>
  <si>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</si>
  <si>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</si>
  <si>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</si>
  <si>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</si>
  <si>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</si>
  <si>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</si>
  <si>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</si>
  <si>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</si>
  <si>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</si>
  <si>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</si>
  <si>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</si>
  <si>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</si>
  <si>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</si>
  <si>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</si>
  <si>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</si>
  <si>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</si>
  <si>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</si>
  <si>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</si>
  <si>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</si>
  <si>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</si>
  <si>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</si>
  <si>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</si>
  <si>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</si>
  <si>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</si>
  <si>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</si>
  <si>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</si>
  <si>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</si>
  <si>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</si>
  <si>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</si>
  <si>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</si>
  <si>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</si>
  <si>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</si>
  <si>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</si>
  <si>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</si>
  <si>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</si>
  <si>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</si>
  <si>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</si>
  <si>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</si>
  <si>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</si>
  <si>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</si>
  <si>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</si>
  <si>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</si>
  <si>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</si>
  <si>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</si>
  <si>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</si>
  <si>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</si>
  <si>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</si>
  <si>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</si>
  <si>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</si>
  <si>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</si>
  <si>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</si>
  <si>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</si>
  <si>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</si>
  <si>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</si>
  <si>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</si>
  <si>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</si>
  <si>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</si>
  <si>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</si>
  <si>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</si>
  <si>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</si>
  <si>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</si>
  <si>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</si>
  <si>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</si>
  <si>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</si>
  <si>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</si>
  <si>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</si>
  <si>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</si>
  <si>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</si>
  <si>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</si>
  <si>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</si>
  <si>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</si>
  <si>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</si>
  <si>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</si>
  <si>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</si>
  <si>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</si>
  <si>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</si>
  <si>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</si>
  <si>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</si>
  <si>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</si>
  <si>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</si>
  <si>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</si>
  <si>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</si>
  <si>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</si>
  <si>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</si>
  <si>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</si>
  <si>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</si>
  <si>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</si>
  <si>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</si>
  <si>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</si>
  <si>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</si>
  <si>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</si>
  <si>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</si>
  <si>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</si>
  <si>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</si>
  <si>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</si>
  <si>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</si>
  <si>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</si>
  <si>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</si>
  <si>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</si>
  <si>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</si>
  <si>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</si>
  <si>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</si>
  <si>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</si>
  <si>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</si>
  <si>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</si>
  <si>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</si>
  <si>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</si>
  <si>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</si>
  <si>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</si>
  <si>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</si>
  <si>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</si>
  <si>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</si>
  <si>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</si>
  <si>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</si>
  <si>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</si>
  <si>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</si>
  <si>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</si>
  <si>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</si>
  <si>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</si>
  <si>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</si>
  <si>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</si>
  <si>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</si>
  <si>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</si>
  <si>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</si>
  <si>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</si>
  <si>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</si>
  <si>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</si>
  <si>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</si>
  <si>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</si>
  <si>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</si>
  <si>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</si>
  <si>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</si>
  <si>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</si>
  <si>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</si>
  <si>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</si>
  <si>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</si>
  <si>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</si>
  <si>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</si>
  <si>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</si>
  <si>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</si>
  <si>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</si>
  <si>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</si>
  <si>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</si>
  <si>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</si>
  <si>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</si>
  <si>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</si>
  <si>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</si>
  <si>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</si>
  <si>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</si>
  <si>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</si>
  <si>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</si>
  <si>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</si>
  <si>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</si>
  <si>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</si>
  <si>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</si>
  <si>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</si>
  <si>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</si>
  <si>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</si>
  <si>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</si>
  <si>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</si>
  <si>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</si>
  <si>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</si>
  <si>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</si>
  <si>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</si>
  <si>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</si>
  <si>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</si>
  <si>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</si>
  <si>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</si>
  <si>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</si>
  <si>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</si>
  <si>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</si>
  <si>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</si>
  <si>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</si>
  <si>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</si>
  <si>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</si>
  <si>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</si>
  <si>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</si>
  <si>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</si>
  <si>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</si>
  <si>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</si>
  <si>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</si>
  <si>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</si>
  <si>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</si>
  <si>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</si>
  <si>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</si>
  <si>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</si>
  <si>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</si>
  <si>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</si>
  <si>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</si>
  <si>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</si>
  <si>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</si>
  <si>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</si>
  <si>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</si>
  <si>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</si>
  <si>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</si>
  <si>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</si>
  <si>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</si>
  <si>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</si>
  <si>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</si>
  <si>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</si>
  <si>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</si>
  <si>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</si>
  <si>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</si>
  <si>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</si>
  <si>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</si>
  <si>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</si>
  <si>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</si>
  <si>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</si>
  <si>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</si>
  <si>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</si>
  <si>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</si>
  <si>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</si>
  <si>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</si>
  <si>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</si>
  <si>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</si>
  <si>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</si>
  <si>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</si>
  <si>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</si>
  <si>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</si>
  <si>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</si>
  <si>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</si>
  <si>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</si>
  <si>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</si>
  <si>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</si>
  <si>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</si>
  <si>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</si>
  <si>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</si>
  <si>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</si>
  <si>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</si>
  <si>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</si>
  <si>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</si>
  <si>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</si>
  <si>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</si>
  <si>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</si>
  <si>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</si>
  <si>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</si>
  <si>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</si>
  <si>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</si>
  <si>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</si>
  <si>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</si>
  <si>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</si>
  <si>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</si>
  <si>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</si>
  <si>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</si>
  <si>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</si>
  <si>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</si>
  <si>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</si>
  <si>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</si>
  <si>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</si>
  <si>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</si>
  <si>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</si>
  <si>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</si>
  <si>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</si>
  <si>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</si>
  <si>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</si>
  <si>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</si>
  <si>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</si>
  <si>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</si>
  <si>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</si>
  <si>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</si>
  <si>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</si>
  <si>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</si>
  <si>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</si>
  <si>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</si>
  <si>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</si>
  <si>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</si>
  <si>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</si>
  <si>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</si>
  <si>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</si>
  <si>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</si>
  <si>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</si>
  <si>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</si>
  <si>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</si>
  <si>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</si>
  <si>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</si>
  <si>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</si>
  <si>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</si>
  <si>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</si>
  <si>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</si>
  <si>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</si>
  <si>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</si>
  <si>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</si>
  <si>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</si>
  <si>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</si>
  <si>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</si>
  <si>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</si>
  <si>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</si>
  <si>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</si>
  <si>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</si>
  <si>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</si>
  <si>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</si>
  <si>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</si>
  <si>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</si>
  <si>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</si>
  <si>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</si>
  <si>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</si>
  <si>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</si>
  <si>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</si>
  <si>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</si>
  <si>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</si>
  <si>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</si>
  <si>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</si>
  <si>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</si>
  <si>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</si>
  <si>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</si>
  <si>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</si>
  <si>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</si>
  <si>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</si>
  <si>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</si>
  <si>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</si>
  <si>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</si>
  <si>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</si>
  <si>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</si>
  <si>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</si>
  <si>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</si>
  <si>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</si>
  <si>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</si>
  <si>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</si>
  <si>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</si>
  <si>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</si>
  <si>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</si>
  <si>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</si>
  <si>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</si>
  <si>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</si>
  <si>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</si>
  <si>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</si>
  <si>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</si>
  <si>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</si>
  <si>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</si>
  <si>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</si>
  <si>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</si>
  <si>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</si>
  <si>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</si>
  <si>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</si>
  <si>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</si>
  <si>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</si>
  <si>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</si>
  <si>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</si>
  <si>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</si>
  <si>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</si>
  <si>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</si>
  <si>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</si>
  <si>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</si>
  <si>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</si>
  <si>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</si>
  <si>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</si>
  <si>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</si>
  <si>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</si>
  <si>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</si>
  <si>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</si>
  <si>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</si>
  <si>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</si>
  <si>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</si>
  <si>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</si>
  <si>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</si>
  <si>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</si>
  <si>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</si>
  <si>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</si>
  <si>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</si>
  <si>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</si>
  <si>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</si>
  <si>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</si>
  <si>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</si>
  <si>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</si>
  <si>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</si>
  <si>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</si>
  <si>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</si>
  <si>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</si>
  <si>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</si>
  <si>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</si>
  <si>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</si>
  <si>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</si>
  <si>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</si>
  <si>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</si>
  <si>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</si>
  <si>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</si>
  <si>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</si>
  <si>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</si>
  <si>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</si>
  <si>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</si>
  <si>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</si>
  <si>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</si>
  <si>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</si>
  <si>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</si>
  <si>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</si>
  <si>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</si>
  <si>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</si>
  <si>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</si>
  <si>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</si>
  <si>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</si>
  <si>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</si>
  <si>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</si>
  <si>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</si>
  <si>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</si>
  <si>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</si>
  <si>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</si>
  <si>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</si>
  <si>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</si>
  <si>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</si>
  <si>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</si>
  <si>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</si>
  <si>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</si>
  <si>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</si>
  <si>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</si>
  <si>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</si>
  <si>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</si>
  <si>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</si>
  <si>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</si>
  <si>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</si>
  <si>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</si>
  <si>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</si>
  <si>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</si>
  <si>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</si>
  <si>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</si>
  <si>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</si>
  <si>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</si>
  <si>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</si>
  <si>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</si>
  <si>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</si>
  <si>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</si>
  <si>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</si>
  <si>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</si>
  <si>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</si>
  <si>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</si>
  <si>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</si>
  <si>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</si>
  <si>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</si>
  <si>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</si>
  <si>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</si>
  <si>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</si>
  <si>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</si>
  <si>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</si>
  <si>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</si>
  <si>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</si>
  <si>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</si>
  <si>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</si>
  <si>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</si>
  <si>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</si>
  <si>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</si>
  <si>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</si>
  <si>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</si>
  <si>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</si>
  <si>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</si>
  <si>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</si>
  <si>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</si>
  <si>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</si>
  <si>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</si>
  <si>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</si>
  <si>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</si>
  <si>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</si>
  <si>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</si>
  <si>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</si>
  <si>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</si>
  <si>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</si>
  <si>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</si>
  <si>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</si>
  <si>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</si>
  <si>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</si>
  <si>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</si>
  <si>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</si>
  <si>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</si>
  <si>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</si>
  <si>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</si>
  <si>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</si>
  <si>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</si>
  <si>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</si>
  <si>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</si>
  <si>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</si>
  <si>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</si>
  <si>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</si>
  <si>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</si>
  <si>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</si>
  <si>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</si>
  <si>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</si>
  <si>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</si>
  <si>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</si>
  <si>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</si>
  <si>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</si>
  <si>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</si>
  <si>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</si>
  <si>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</si>
  <si>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</si>
  <si>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</si>
  <si>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</si>
  <si>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</si>
  <si>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</si>
  <si>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</si>
  <si>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</si>
  <si>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</si>
  <si>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</si>
  <si>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</si>
  <si>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</si>
  <si>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</si>
  <si>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</si>
  <si>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</si>
  <si>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</si>
  <si>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</si>
  <si>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</si>
  <si>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</si>
  <si>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</si>
  <si>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</si>
  <si>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</si>
  <si>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</si>
  <si>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</si>
  <si>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</si>
  <si>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</si>
  <si>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</si>
  <si>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</si>
  <si>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</si>
  <si>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</si>
  <si>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</si>
  <si>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</si>
  <si>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</si>
  <si>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</si>
  <si>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</si>
  <si>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</si>
  <si>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</si>
  <si>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</si>
  <si>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</si>
  <si>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</si>
  <si>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</si>
  <si>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</si>
  <si>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</si>
  <si>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</si>
  <si>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</si>
  <si>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</si>
  <si>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</si>
  <si>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</si>
  <si>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</si>
  <si>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</si>
  <si>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</si>
  <si>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</si>
  <si>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</si>
  <si>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</si>
  <si>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</si>
  <si>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</si>
  <si>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</si>
  <si>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</si>
  <si>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</si>
  <si>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</si>
  <si>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</si>
  <si>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</si>
  <si>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</si>
  <si>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</si>
  <si>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</si>
  <si>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</si>
  <si>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</si>
  <si>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</si>
  <si>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</si>
  <si>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</si>
  <si>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</si>
  <si>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</si>
  <si>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</si>
  <si>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</si>
  <si>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</si>
  <si>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</si>
  <si>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</si>
  <si>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</si>
  <si>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</si>
  <si>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</si>
  <si>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</si>
  <si>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</si>
  <si>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</si>
  <si>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</si>
  <si>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</si>
  <si>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</si>
  <si>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</si>
  <si>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</si>
  <si>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</si>
  <si>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</si>
  <si>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</si>
  <si>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</si>
  <si>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</si>
  <si>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</si>
  <si>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</si>
  <si>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</si>
  <si>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</si>
  <si>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</si>
  <si>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</si>
  <si>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</si>
  <si>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</si>
  <si>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</si>
  <si>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</si>
  <si>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</si>
  <si>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</si>
  <si>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</si>
  <si>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</si>
  <si>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</si>
  <si>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</si>
  <si>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</si>
  <si>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</si>
  <si>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</si>
  <si>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</si>
  <si>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</si>
  <si>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</si>
  <si>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</si>
  <si>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</si>
  <si>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</si>
  <si>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</si>
  <si>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</si>
  <si>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</si>
  <si>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</si>
  <si>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</si>
  <si>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</si>
  <si>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</si>
  <si>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</si>
  <si>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</si>
  <si>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</si>
  <si>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</si>
  <si>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</si>
  <si>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</si>
  <si>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</si>
  <si>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</si>
  <si>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</si>
  <si>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</si>
  <si>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</si>
  <si>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</si>
  <si>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</si>
  <si>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</si>
  <si>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</si>
  <si>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</si>
  <si>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</si>
  <si>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</si>
  <si>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</si>
  <si>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</si>
  <si>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</si>
  <si>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</si>
  <si>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</si>
  <si>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</si>
  <si>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</si>
  <si>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</si>
  <si>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</si>
  <si>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</si>
  <si>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</si>
  <si>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</si>
  <si>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</si>
  <si>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</si>
  <si>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</si>
  <si>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</si>
  <si>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</si>
  <si>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</si>
  <si>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</si>
  <si>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</si>
  <si>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</si>
  <si>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</si>
  <si>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</si>
  <si>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</si>
  <si>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</si>
  <si>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</si>
  <si>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</si>
  <si>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</si>
  <si>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</si>
  <si>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</si>
  <si>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</si>
  <si>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</si>
  <si>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</si>
  <si>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</si>
  <si>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</si>
  <si>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</si>
  <si>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</si>
  <si>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</si>
  <si>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</si>
  <si>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</si>
  <si>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</si>
  <si>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</si>
  <si>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</si>
  <si>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</si>
  <si>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</si>
  <si>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</si>
  <si>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</si>
  <si>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</si>
  <si>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</si>
  <si>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</si>
  <si>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</si>
  <si>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</si>
  <si>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</si>
  <si>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</si>
  <si>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</si>
  <si>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</si>
  <si>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</si>
  <si>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</si>
  <si>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</si>
  <si>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</si>
  <si>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</si>
  <si>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</si>
  <si>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</si>
  <si>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</si>
  <si>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</si>
  <si>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</si>
  <si>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</si>
  <si>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</si>
  <si>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</si>
  <si>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</si>
  <si>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</si>
  <si>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</si>
  <si>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</si>
  <si>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</si>
  <si>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</si>
  <si>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</si>
  <si>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</si>
  <si>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</si>
  <si>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</si>
  <si>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</si>
  <si>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</si>
  <si>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</si>
  <si>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</si>
  <si>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</si>
  <si>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</si>
  <si>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</si>
  <si>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</si>
  <si>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</si>
  <si>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</si>
  <si>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</si>
  <si>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</si>
  <si>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</si>
  <si>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</si>
  <si>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</si>
  <si>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</si>
  <si>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</si>
  <si>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</si>
  <si>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</si>
  <si>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</si>
  <si>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</si>
  <si>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</si>
  <si>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</si>
  <si>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</si>
  <si>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</si>
  <si>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</si>
  <si>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</si>
  <si>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</si>
  <si>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</si>
  <si>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</si>
  <si>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</si>
  <si>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</si>
  <si>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</si>
  <si>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</si>
  <si>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</si>
  <si>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</si>
  <si>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</si>
  <si>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</si>
  <si>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</si>
  <si>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</si>
  <si>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</si>
  <si>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</si>
  <si>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</si>
  <si>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</si>
  <si>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</si>
  <si>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</si>
  <si>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</si>
  <si>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</si>
  <si>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</si>
  <si>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</si>
  <si>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</si>
  <si>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</si>
  <si>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</si>
  <si>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</si>
  <si>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</si>
  <si>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</si>
  <si>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</si>
  <si>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</si>
  <si>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</si>
  <si>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</si>
  <si>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</si>
  <si>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</si>
  <si>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</si>
  <si>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</si>
  <si>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</si>
  <si>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</si>
  <si>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</si>
  <si>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</si>
  <si>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</si>
  <si>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</si>
  <si>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</si>
  <si>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</si>
  <si>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</si>
  <si>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</si>
  <si>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</si>
  <si>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</si>
  <si>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</si>
  <si>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</si>
  <si>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</si>
  <si>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</si>
  <si>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</si>
  <si>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</si>
  <si>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</si>
  <si>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</si>
  <si>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</si>
  <si>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</si>
  <si>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</si>
  <si>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</si>
  <si>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</si>
  <si>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</si>
  <si>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</si>
  <si>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</si>
  <si>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</si>
  <si>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</si>
  <si>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</si>
  <si>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</si>
  <si>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</si>
  <si>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</si>
  <si>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</si>
  <si>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</si>
  <si>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</si>
  <si>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</si>
  <si>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</si>
  <si>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</si>
  <si>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</si>
  <si>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</si>
  <si>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</si>
  <si>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</si>
  <si>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</si>
  <si>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</si>
  <si>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</si>
  <si>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</si>
  <si>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</si>
  <si>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</si>
  <si>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</si>
  <si>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</si>
  <si>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</si>
  <si>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</si>
  <si>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</si>
  <si>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</si>
  <si>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</si>
  <si>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</si>
  <si>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</si>
  <si>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</si>
  <si>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</si>
  <si>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</si>
  <si>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</si>
  <si>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</si>
  <si>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</si>
  <si>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</si>
  <si>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</si>
  <si>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</si>
  <si>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</si>
  <si>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</si>
  <si>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</si>
  <si>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</si>
  <si>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</si>
  <si>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</si>
  <si>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</si>
  <si>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</si>
  <si>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</si>
  <si>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</si>
  <si>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</si>
  <si>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</si>
  <si>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</si>
  <si>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</si>
  <si>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</si>
  <si>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</si>
  <si>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</si>
  <si>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</si>
  <si>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</si>
  <si>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</si>
  <si>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</si>
  <si>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</si>
  <si>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</si>
  <si>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</si>
  <si>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</si>
  <si>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</si>
  <si>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</si>
  <si>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</si>
  <si>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</si>
  <si>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</si>
  <si>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</si>
  <si>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</si>
  <si>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</si>
  <si>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</si>
  <si>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</si>
  <si>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</si>
  <si>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</si>
  <si>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</si>
  <si>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</si>
  <si>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</si>
  <si>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</si>
  <si>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</si>
  <si>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标准房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</si>
  <si>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</si>
  <si>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</si>
  <si>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</si>
  <si>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</si>
  <si>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</si>
  <si>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</si>
  <si>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</si>
  <si>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</si>
  <si>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</si>
  <si>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</si>
  <si>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</si>
  <si>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</si>
  <si>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</si>
  <si>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</si>
  <si>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</si>
  <si>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</si>
  <si>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</si>
  <si>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</si>
  <si>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</si>
  <si>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</si>
  <si>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</si>
  <si>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</si>
  <si>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</si>
  <si>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</si>
  <si>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</si>
  <si>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</si>
  <si>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</si>
  <si>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</si>
  <si>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</si>
  <si>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</si>
  <si>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</si>
  <si>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</si>
  <si>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</si>
  <si>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</si>
  <si>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</si>
  <si>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</si>
  <si>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</si>
  <si>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</si>
  <si>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</si>
  <si>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</si>
  <si>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</si>
  <si>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</si>
  <si>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</si>
  <si>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</si>
  <si>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</si>
  <si>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</si>
  <si>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</si>
  <si>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</si>
  <si>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</si>
  <si>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</si>
  <si>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</si>
  <si>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</si>
  <si>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</si>
  <si>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</si>
  <si>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</si>
  <si>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</si>
  <si>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</si>
  <si>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</si>
  <si>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</si>
  <si>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</si>
  <si>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</si>
  <si>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</si>
  <si>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</si>
  <si>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</si>
  <si>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</si>
  <si>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</si>
  <si>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</si>
  <si>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</si>
  <si>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</si>
  <si>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</si>
  <si>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</si>
  <si>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</si>
  <si>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</si>
  <si>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</si>
  <si>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</si>
  <si>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</si>
  <si>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</si>
  <si>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</si>
  <si>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</si>
  <si>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</si>
  <si>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</si>
  <si>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</si>
  <si>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</si>
  <si>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</si>
  <si>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</si>
  <si>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</si>
  <si>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</si>
  <si>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</si>
  <si>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</si>
  <si>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</si>
  <si>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</si>
  <si>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</si>
  <si>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</si>
  <si>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</si>
  <si>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</si>
  <si>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</si>
  <si>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</si>
  <si>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</si>
  <si>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</si>
  <si>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</si>
  <si>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</si>
  <si>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</si>
  <si>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</si>
  <si>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</si>
  <si>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</si>
  <si>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</si>
  <si>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</si>
  <si>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</si>
  <si>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</si>
  <si>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</si>
  <si>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</si>
  <si>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</si>
  <si>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</si>
  <si>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</si>
  <si>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</si>
  <si>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</si>
  <si>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</si>
  <si>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</si>
  <si>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</si>
  <si>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</si>
  <si>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</si>
  <si>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</si>
  <si>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</si>
  <si>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</si>
  <si>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</si>
  <si>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</si>
  <si>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</si>
  <si>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</si>
  <si>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</si>
  <si>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</si>
  <si>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</si>
  <si>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</si>
  <si>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</si>
  <si>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</si>
  <si>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</si>
  <si>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</si>
  <si>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</si>
  <si>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</si>
  <si>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</si>
  <si>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</si>
  <si>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</si>
  <si>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</si>
  <si>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</si>
  <si>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</si>
  <si>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</si>
  <si>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</si>
  <si>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</si>
  <si>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</si>
  <si>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</si>
  <si>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</si>
  <si>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</si>
  <si>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</si>
  <si>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</si>
  <si>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</si>
  <si>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</si>
  <si>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</si>
  <si>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</si>
  <si>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</si>
  <si>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</si>
  <si>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</si>
  <si>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</si>
  <si>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</si>
  <si>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</si>
  <si>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</si>
  <si>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</si>
  <si>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</si>
  <si>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</si>
  <si>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</si>
  <si>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</si>
  <si>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</si>
  <si>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</si>
  <si>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</si>
  <si>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</si>
  <si>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</si>
  <si>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</si>
  <si>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</si>
  <si>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</si>
  <si>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</si>
  <si>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</si>
  <si>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</si>
  <si>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</si>
  <si>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</si>
  <si>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</si>
  <si>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</si>
  <si>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</si>
  <si>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</si>
  <si>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</si>
  <si>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</si>
  <si>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</si>
  <si>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</si>
  <si>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</si>
  <si>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</si>
  <si>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</si>
  <si>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</si>
  <si>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</si>
  <si>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</si>
  <si>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</si>
  <si>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</si>
  <si>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</si>
  <si>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</si>
  <si>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</si>
  <si>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</si>
  <si>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</si>
  <si>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</si>
  <si>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</si>
  <si>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</si>
  <si>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</si>
  <si>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</si>
  <si>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</si>
  <si>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</si>
  <si>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</si>
  <si>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</si>
  <si>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</si>
  <si>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</si>
  <si>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</si>
  <si>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</si>
  <si>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</si>
  <si>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</si>
  <si>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</si>
  <si>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</si>
  <si>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</si>
  <si>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</si>
  <si>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</si>
  <si>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</si>
  <si>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</si>
  <si>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</si>
  <si>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</si>
  <si>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</si>
  <si>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</si>
  <si>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</si>
  <si>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</si>
  <si>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</si>
  <si>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</si>
  <si>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</si>
  <si>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</si>
  <si>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</si>
  <si>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</si>
  <si>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</si>
  <si>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</si>
  <si>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</si>
  <si>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</si>
  <si>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</si>
  <si>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</si>
  <si>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</si>
  <si>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</si>
  <si>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</si>
  <si>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</si>
  <si>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</si>
  <si>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</si>
  <si>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</si>
  <si>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</si>
  <si>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</si>
  <si>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</si>
  <si>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</si>
  <si>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</si>
  <si>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</si>
  <si>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</si>
  <si>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</si>
  <si>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</si>
  <si>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</si>
  <si>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</si>
  <si>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</si>
  <si>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</si>
  <si>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</si>
  <si>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</si>
  <si>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</si>
  <si>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</si>
  <si>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</si>
  <si>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</si>
  <si>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</si>
  <si>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</si>
  <si>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</si>
  <si>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</si>
  <si>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</si>
  <si>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</si>
  <si>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</si>
  <si>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</si>
  <si>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</si>
  <si>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</si>
  <si>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</si>
  <si>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</si>
  <si>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</si>
  <si>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</si>
  <si>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</si>
  <si>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</si>
  <si>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</si>
  <si>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</si>
  <si>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</si>
  <si>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</si>
  <si>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</si>
  <si>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</si>
  <si>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</si>
  <si>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</si>
  <si>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</si>
  <si>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</si>
  <si>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</si>
  <si>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</si>
  <si>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</si>
  <si>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</si>
  <si>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</si>
  <si>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</si>
  <si>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</si>
  <si>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</si>
  <si>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</si>
  <si>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</si>
  <si>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</si>
  <si>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</si>
  <si>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</si>
  <si>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</si>
  <si>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</si>
  <si>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</si>
  <si>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</si>
  <si>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</si>
  <si>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</si>
  <si>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</si>
  <si>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</si>
  <si>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</si>
  <si>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</si>
  <si>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</si>
  <si>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</si>
  <si>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</si>
  <si>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</si>
  <si>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</si>
  <si>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</si>
  <si>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</si>
  <si>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</si>
  <si>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</si>
  <si>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</si>
  <si>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</si>
  <si>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</si>
  <si>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</si>
  <si>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</si>
  <si>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</si>
  <si>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</si>
  <si>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</si>
  <si>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</si>
  <si>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</si>
  <si>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</si>
  <si>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</si>
  <si>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</si>
  <si>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</si>
  <si>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</si>
  <si>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</si>
  <si>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</si>
  <si>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</si>
  <si>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</si>
  <si>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</si>
  <si>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</si>
  <si>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</si>
  <si>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</si>
  <si>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</si>
  <si>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</si>
  <si>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</si>
  <si>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</si>
  <si>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</si>
  <si>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</si>
  <si>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</si>
  <si>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</si>
  <si>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</si>
  <si>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</si>
  <si>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</si>
  <si>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</si>
  <si>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</si>
  <si>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</si>
  <si>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</si>
  <si>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</si>
  <si>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</si>
  <si>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</si>
  <si>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</si>
  <si>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</si>
  <si>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</si>
  <si>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</si>
  <si>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</si>
  <si>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</si>
  <si>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</si>
  <si>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</si>
  <si>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</si>
  <si>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</si>
  <si>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</si>
  <si>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</si>
  <si>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</si>
  <si>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</si>
  <si>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</si>
  <si>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</si>
  <si>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</si>
  <si>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</si>
  <si>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</si>
  <si>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</si>
  <si>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</si>
  <si>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</si>
  <si>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</si>
  <si>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</si>
  <si>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</si>
  <si>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</si>
  <si>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</si>
  <si>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</si>
  <si>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</si>
  <si>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</si>
  <si>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</si>
  <si>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</si>
  <si>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</si>
  <si>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</si>
  <si>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</si>
  <si>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</si>
  <si>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</si>
  <si>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</si>
  <si>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</si>
  <si>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</si>
  <si>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</si>
  <si>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</si>
  <si>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</si>
  <si>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</si>
  <si>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</si>
  <si>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</si>
  <si>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</si>
  <si>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</si>
  <si>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</si>
  <si>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</si>
  <si>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</si>
  <si>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</si>
  <si>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</si>
  <si>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</si>
  <si>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</si>
  <si>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</si>
  <si>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</si>
  <si>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</si>
  <si>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</si>
  <si>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</si>
  <si>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</si>
  <si>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</si>
  <si>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</si>
  <si>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</si>
  <si>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</si>
  <si>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</si>
  <si>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</si>
  <si>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</si>
  <si>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</si>
  <si>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</si>
  <si>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</si>
  <si>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</si>
  <si>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</si>
  <si>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</si>
  <si>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</si>
  <si>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</si>
  <si>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</si>
  <si>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</si>
  <si>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</si>
  <si>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</si>
  <si>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</si>
  <si>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</si>
  <si>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</si>
  <si>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</si>
  <si>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</si>
  <si>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</si>
  <si>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</si>
  <si>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</si>
  <si>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</si>
  <si>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</si>
  <si>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</si>
  <si>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</si>
  <si>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</si>
  <si>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</si>
  <si>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</si>
  <si>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</si>
  <si>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</si>
  <si>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</si>
  <si>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</si>
  <si>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</si>
  <si>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</si>
  <si>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</si>
  <si>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</si>
  <si>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</si>
  <si>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</si>
  <si>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</si>
  <si>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</si>
  <si>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</si>
  <si>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</si>
  <si>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</si>
  <si>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</si>
  <si>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</si>
  <si>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</si>
  <si>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</si>
  <si>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</si>
  <si>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</si>
  <si>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</si>
  <si>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</si>
  <si>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</si>
  <si>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</si>
  <si>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</si>
  <si>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</si>
  <si>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</si>
  <si>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</si>
  <si>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</si>
  <si>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</si>
  <si>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</si>
  <si>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</si>
  <si>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</si>
  <si>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</si>
  <si>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</si>
  <si>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</si>
  <si>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</si>
  <si>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</si>
  <si>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</si>
  <si>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</si>
  <si>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</si>
  <si>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</si>
  <si>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</si>
  <si>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</si>
  <si>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</si>
  <si>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</si>
  <si>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</si>
  <si>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</si>
  <si>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</si>
  <si>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</si>
  <si>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</si>
  <si>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</si>
  <si>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</si>
  <si>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</si>
  <si>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</si>
  <si>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</si>
  <si>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</si>
  <si>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</si>
  <si>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</si>
  <si>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</si>
  <si>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</si>
  <si>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</si>
  <si>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</si>
  <si>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</si>
  <si>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</si>
  <si>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</si>
  <si>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</si>
  <si>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</si>
  <si>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</si>
  <si>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</si>
  <si>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</si>
  <si>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</si>
  <si>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</si>
  <si>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</si>
  <si>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</si>
  <si>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</si>
  <si>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</si>
  <si>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</si>
  <si>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</si>
  <si>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</si>
  <si>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</si>
  <si>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</si>
  <si>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</si>
  <si>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</si>
  <si>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</si>
  <si>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</si>
  <si>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</si>
  <si>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</si>
  <si>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</si>
  <si>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</si>
  <si>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</si>
  <si>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</si>
  <si>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</si>
  <si>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</si>
  <si>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</si>
  <si>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</si>
  <si>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</si>
  <si>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</si>
  <si>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</si>
  <si>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</si>
  <si>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</si>
  <si>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</si>
  <si>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</si>
  <si>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</si>
  <si>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</si>
  <si>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</si>
  <si>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</si>
  <si>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</si>
  <si>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</si>
  <si>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</si>
  <si>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</si>
  <si>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</si>
  <si>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</si>
  <si>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</si>
  <si>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</si>
  <si>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</si>
  <si>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</si>
  <si>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</si>
  <si>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</si>
  <si>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</si>
  <si>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</si>
  <si>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</si>
  <si>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</si>
  <si>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</si>
  <si>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</si>
  <si>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</si>
  <si>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</si>
  <si>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</si>
  <si>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</si>
  <si>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</si>
  <si>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</si>
  <si>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</si>
  <si>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</si>
  <si>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</si>
  <si>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</si>
  <si>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</si>
  <si>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</si>
  <si>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</si>
  <si>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</si>
  <si>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</si>
  <si>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</si>
  <si>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</si>
  <si>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</si>
  <si>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</si>
  <si>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</si>
  <si>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</si>
  <si>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</si>
  <si>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</si>
  <si>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</si>
  <si>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</si>
  <si>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</si>
  <si>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</si>
  <si>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</si>
  <si>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</si>
  <si>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</si>
  <si>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</si>
  <si>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</si>
  <si>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</si>
  <si>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</si>
  <si>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</si>
  <si>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</si>
  <si>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</si>
  <si>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</si>
  <si>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</si>
  <si>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</si>
  <si>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</si>
  <si>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</si>
  <si>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</si>
  <si>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</si>
  <si>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</si>
  <si>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</si>
  <si>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</si>
  <si>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</si>
  <si>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</si>
  <si>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</si>
  <si>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</si>
  <si>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</si>
  <si>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</si>
  <si>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</si>
  <si>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</si>
  <si>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</si>
  <si>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</si>
  <si>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</si>
  <si>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</si>
  <si>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</si>
  <si>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</si>
  <si>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</si>
  <si>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</si>
  <si>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</si>
  <si>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</si>
  <si>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</si>
  <si>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</si>
  <si>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</si>
  <si>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</si>
  <si>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</si>
  <si>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</si>
  <si>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</si>
  <si>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</si>
  <si>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</si>
  <si>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</si>
  <si>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</si>
  <si>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</si>
  <si>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</si>
  <si>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</si>
  <si>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</si>
  <si>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</si>
  <si>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</si>
  <si>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</si>
  <si>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</si>
  <si>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</si>
  <si>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</si>
  <si>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</si>
  <si>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</si>
  <si>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</si>
  <si>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</si>
  <si>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</si>
  <si>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</si>
  <si>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</si>
  <si>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</si>
  <si>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</si>
  <si>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</si>
  <si>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</si>
  <si>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</si>
  <si>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</si>
  <si>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</si>
  <si>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</si>
  <si>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</si>
  <si>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</si>
  <si>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</si>
  <si>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</si>
  <si>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</si>
  <si>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</si>
  <si>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</si>
  <si>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</si>
  <si>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</si>
  <si>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</si>
  <si>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</si>
  <si>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</si>
  <si>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</si>
  <si>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</si>
  <si>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</si>
  <si>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</si>
  <si>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</si>
  <si>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</si>
  <si>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</si>
  <si>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</si>
  <si>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</si>
  <si>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</si>
  <si>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</si>
  <si>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</si>
  <si>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</si>
  <si>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</si>
  <si>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</si>
  <si>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</si>
  <si>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</si>
  <si>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</si>
  <si>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</si>
  <si>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</si>
  <si>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</si>
  <si>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</si>
  <si>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</si>
  <si>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</si>
  <si>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</si>
  <si>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</si>
  <si>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</si>
  <si>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</si>
  <si>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</si>
  <si>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</si>
  <si>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</si>
  <si>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</si>
  <si>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</si>
  <si>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</si>
  <si>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</si>
  <si>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</si>
  <si>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</si>
  <si>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</si>
  <si>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</si>
  <si>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</si>
  <si>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</si>
  <si>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</si>
  <si>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</si>
  <si>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</si>
  <si>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</si>
  <si>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</si>
  <si>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</si>
  <si>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</si>
  <si>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</si>
  <si>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</si>
  <si>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</si>
  <si>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</si>
  <si>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</si>
  <si>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</si>
  <si>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</si>
  <si>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</si>
  <si>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</si>
  <si>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</si>
  <si>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</si>
  <si>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</si>
  <si>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</si>
  <si>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</si>
  <si>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</si>
  <si>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</si>
  <si>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</si>
  <si>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</si>
  <si>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</si>
  <si>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</si>
  <si>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</si>
  <si>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</si>
  <si>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</si>
  <si>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</si>
  <si>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</si>
  <si>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</si>
  <si>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</si>
  <si>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</si>
  <si>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</si>
  <si>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</si>
  <si>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</si>
  <si>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</si>
  <si>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</si>
  <si>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</si>
  <si>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</si>
  <si>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</si>
  <si>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</si>
  <si>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</si>
  <si>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</si>
  <si>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</si>
  <si>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</si>
  <si>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</si>
  <si>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</si>
  <si>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</si>
  <si>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</si>
  <si>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</si>
  <si>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</si>
  <si>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</si>
  <si>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</si>
  <si>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</si>
  <si>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</si>
  <si>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</si>
  <si>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</si>
  <si>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</si>
  <si>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</si>
  <si>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</si>
  <si>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</si>
  <si>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</si>
  <si>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</si>
  <si>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</si>
  <si>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</si>
  <si>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</si>
  <si>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</si>
  <si>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</si>
  <si>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</si>
  <si>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</si>
  <si>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</si>
  <si>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</si>
  <si>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</si>
  <si>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</si>
  <si>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</si>
  <si>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</si>
  <si>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</si>
  <si>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</si>
  <si>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</si>
  <si>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</si>
  <si>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</si>
  <si>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</si>
  <si>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</si>
  <si>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</si>
  <si>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</si>
  <si>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</si>
  <si>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</si>
  <si>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</si>
  <si>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</si>
  <si>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</si>
  <si>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</si>
  <si>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</si>
  <si>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</si>
  <si>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</si>
  <si>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</si>
  <si>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</si>
  <si>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</si>
  <si>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</si>
  <si>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</si>
  <si>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</si>
  <si>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</si>
  <si>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</si>
  <si>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</si>
  <si>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</si>
  <si>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</si>
  <si>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</si>
  <si>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</si>
  <si>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</si>
  <si>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</si>
  <si>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</si>
  <si>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</si>
  <si>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</si>
  <si>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</si>
  <si>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</si>
  <si>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</si>
  <si>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</si>
  <si>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</si>
  <si>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</si>
  <si>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</si>
  <si>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</si>
  <si>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</si>
  <si>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</si>
  <si>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</si>
  <si>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</si>
  <si>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</si>
  <si>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</si>
  <si>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</si>
  <si>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</si>
  <si>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</si>
  <si>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</si>
  <si>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</si>
  <si>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</si>
  <si>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</si>
  <si>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</si>
  <si>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</si>
  <si>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</si>
  <si>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</si>
  <si>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</si>
  <si>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</si>
  <si>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</si>
  <si>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</si>
  <si>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</si>
  <si>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</si>
  <si>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</si>
  <si>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</si>
  <si>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</si>
  <si>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</si>
  <si>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</si>
  <si>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</si>
  <si>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</si>
  <si>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</si>
  <si>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</si>
  <si>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</si>
  <si>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</si>
  <si>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</si>
  <si>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</si>
  <si>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</si>
  <si>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</si>
  <si>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</si>
  <si>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</si>
  <si>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</si>
  <si>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</si>
  <si>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</si>
  <si>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</si>
  <si>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</si>
  <si>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</si>
  <si>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</si>
  <si>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</si>
  <si>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</si>
  <si>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</si>
  <si>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</si>
  <si>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</si>
  <si>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</si>
  <si>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</si>
  <si>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</si>
  <si>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</si>
  <si>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</si>
  <si>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</si>
  <si>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</si>
  <si>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</si>
  <si>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</si>
  <si>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</si>
  <si>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</si>
  <si>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</si>
  <si>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</si>
  <si>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</si>
  <si>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</si>
  <si>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</si>
  <si>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</si>
  <si>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</si>
  <si>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</si>
  <si>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</si>
  <si>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</si>
  <si>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</si>
  <si>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</si>
  <si>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</si>
  <si>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</si>
  <si>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</si>
  <si>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</si>
  <si>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</si>
  <si>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</si>
  <si>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</si>
  <si>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</si>
  <si>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</si>
  <si>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</si>
  <si>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</si>
  <si>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</si>
  <si>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</si>
  <si>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</si>
  <si>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</si>
  <si>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</si>
  <si>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</si>
  <si>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</si>
  <si>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</si>
  <si>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</si>
  <si>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</si>
  <si>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</si>
  <si>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</si>
  <si>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</si>
  <si>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</si>
  <si>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</si>
  <si>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</si>
  <si>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</si>
  <si>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</si>
  <si>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</si>
  <si>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</si>
  <si>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</si>
  <si>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</si>
  <si>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</si>
  <si>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</si>
  <si>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</si>
  <si>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</si>
  <si>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</si>
  <si>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</si>
  <si>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</si>
  <si>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</si>
  <si>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</si>
  <si>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</si>
  <si>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</si>
  <si>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</si>
  <si>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</si>
  <si>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</si>
  <si>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</si>
  <si>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</si>
  <si>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</si>
  <si>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</si>
  <si>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</si>
  <si>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</si>
  <si>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</si>
  <si>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</si>
  <si>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</si>
  <si>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</si>
  <si>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</si>
  <si>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</si>
  <si>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</si>
  <si>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</si>
  <si>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</si>
  <si>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</si>
  <si>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</si>
  <si>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</si>
  <si>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</si>
  <si>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</si>
  <si>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</si>
  <si>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</si>
  <si>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</si>
  <si>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</si>
  <si>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</si>
  <si>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</si>
  <si>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</si>
  <si>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</si>
  <si>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</si>
  <si>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</si>
  <si>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</si>
  <si>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</si>
  <si>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</si>
  <si>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</si>
  <si>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</si>
  <si>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</si>
  <si>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</si>
  <si>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</si>
  <si>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</si>
  <si>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</si>
  <si>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</si>
  <si>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</si>
  <si>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</si>
  <si>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</si>
  <si>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</si>
  <si>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</si>
  <si>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</si>
  <si>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</si>
  <si>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</si>
  <si>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</si>
  <si>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</si>
  <si>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</si>
  <si>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</si>
  <si>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</si>
  <si>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</si>
  <si>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</si>
  <si>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</si>
  <si>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</si>
  <si>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</si>
  <si>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</si>
  <si>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</si>
  <si>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</si>
  <si>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</si>
  <si>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</si>
  <si>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</si>
  <si>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</si>
  <si>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</si>
  <si>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</si>
  <si>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</si>
  <si>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</si>
  <si>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</si>
  <si>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</si>
  <si>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</si>
  <si>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</si>
  <si>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</si>
  <si>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</si>
  <si>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</si>
  <si>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</si>
  <si>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</si>
  <si>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</si>
  <si>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</si>
  <si>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</si>
  <si>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</si>
  <si>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</si>
  <si>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</si>
  <si>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</si>
  <si>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</si>
  <si>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</si>
  <si>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</si>
  <si>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</si>
  <si>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</si>
  <si>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</si>
  <si>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</si>
  <si>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</si>
  <si>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</si>
  <si>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</si>
  <si>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</si>
  <si>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</si>
  <si>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</si>
  <si>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</si>
  <si>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</si>
  <si>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</si>
  <si>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</si>
  <si>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</si>
  <si>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</si>
  <si>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</si>
  <si>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</si>
  <si>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</si>
  <si>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</si>
  <si>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</si>
  <si>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</si>
  <si>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</si>
  <si>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</si>
  <si>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</si>
  <si>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</si>
  <si>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</si>
  <si>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</si>
  <si>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</si>
  <si>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</si>
  <si>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</si>
  <si>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</si>
  <si>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</si>
  <si>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</si>
  <si>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</si>
  <si>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</si>
  <si>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</si>
  <si>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</si>
  <si>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</si>
  <si>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</si>
  <si>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</si>
  <si>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</si>
  <si>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</si>
  <si>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</si>
  <si>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</si>
  <si>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</si>
  <si>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</si>
  <si>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</si>
  <si>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</si>
  <si>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</si>
  <si>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</si>
  <si>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</si>
  <si>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</si>
  <si>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</si>
  <si>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</si>
  <si>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</si>
  <si>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</si>
  <si>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</si>
  <si>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</si>
  <si>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</si>
  <si>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</si>
  <si>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</si>
  <si>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</si>
  <si>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</si>
  <si>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</si>
  <si>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</si>
  <si>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</si>
  <si>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</si>
  <si>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</si>
  <si>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</si>
  <si>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</si>
  <si>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</si>
  <si>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</si>
  <si>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</si>
  <si>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</si>
  <si>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</si>
  <si>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</si>
  <si>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</si>
  <si>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</si>
  <si>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</si>
  <si>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</si>
  <si>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</si>
  <si>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</si>
  <si>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</si>
  <si>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</si>
  <si>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</si>
  <si>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</si>
  <si>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</si>
  <si>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</si>
  <si>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</si>
  <si>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</si>
  <si>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</si>
  <si>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</si>
  <si>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</si>
  <si>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</si>
  <si>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</si>
  <si>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</si>
  <si>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</si>
  <si>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</si>
  <si>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</si>
  <si>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</si>
  <si>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</si>
  <si>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</si>
  <si>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</si>
  <si>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</si>
  <si>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</si>
  <si>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</si>
  <si>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</si>
  <si>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</si>
  <si>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</si>
  <si>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</si>
  <si>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</si>
  <si>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</si>
  <si>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</si>
  <si>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</si>
  <si>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</si>
  <si>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</si>
  <si>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</si>
  <si>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</si>
  <si>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</si>
  <si>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</si>
  <si>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</si>
  <si>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</si>
  <si>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</si>
  <si>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</si>
  <si>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</si>
  <si>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</si>
  <si>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</si>
  <si>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</si>
  <si>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</si>
  <si>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</si>
  <si>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</si>
  <si>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</si>
  <si>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</si>
  <si>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</si>
  <si>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</si>
  <si>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</si>
  <si>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</si>
  <si>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</si>
  <si>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</si>
  <si>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</si>
  <si>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</si>
  <si>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</si>
  <si>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</si>
  <si>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</si>
  <si>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</si>
  <si>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</si>
  <si>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</si>
  <si>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</si>
  <si>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</si>
  <si>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</si>
  <si>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</si>
  <si>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</si>
  <si>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</si>
  <si>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</si>
  <si>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</si>
  <si>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</si>
  <si>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</si>
  <si>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</si>
  <si>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</si>
  <si>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</si>
  <si>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</si>
  <si>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</si>
  <si>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</si>
  <si>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</si>
  <si>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</si>
  <si>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</si>
  <si>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</si>
  <si>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</si>
  <si>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</si>
  <si>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</si>
  <si>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</si>
  <si>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</si>
  <si>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</si>
  <si>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</si>
  <si>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</si>
  <si>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</si>
  <si>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</si>
  <si>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</si>
  <si>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</si>
  <si>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</si>
  <si>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</si>
  <si>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</si>
  <si>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</si>
  <si>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</si>
  <si>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</si>
  <si>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</si>
  <si>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</si>
  <si>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</si>
  <si>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</si>
  <si>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</si>
  <si>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</si>
  <si>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</si>
  <si>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</si>
  <si>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</si>
  <si>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</si>
  <si>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</si>
  <si>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</si>
  <si>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</si>
  <si>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</si>
  <si>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</si>
  <si>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</si>
  <si>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</si>
  <si>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</si>
  <si>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</si>
  <si>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</si>
  <si>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</si>
  <si>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</si>
  <si>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</si>
  <si>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</si>
  <si>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</si>
  <si>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</si>
  <si>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</si>
  <si>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</si>
  <si>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</si>
  <si>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</si>
  <si>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</si>
  <si>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</si>
  <si>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</si>
  <si>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</si>
  <si>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</si>
  <si>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</si>
  <si>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</si>
  <si>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</si>
  <si>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</si>
  <si>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</si>
  <si>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</si>
  <si>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</si>
  <si>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</si>
  <si>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</si>
  <si>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</si>
  <si>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</si>
  <si>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</si>
  <si>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</si>
  <si>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</si>
  <si>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</si>
  <si>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</si>
  <si>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</si>
  <si>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</si>
  <si>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</si>
  <si>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</si>
  <si>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</si>
  <si>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</si>
  <si>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</si>
  <si>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</si>
  <si>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</si>
  <si>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</si>
  <si>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</si>
  <si>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</si>
  <si>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</si>
  <si>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</si>
  <si>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</si>
  <si>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</si>
  <si>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</si>
  <si>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</si>
  <si>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</si>
  <si>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</si>
  <si>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</si>
  <si>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</si>
  <si>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</si>
  <si>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</si>
  <si>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</si>
  <si>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</si>
  <si>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</si>
  <si>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</si>
  <si>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</si>
  <si>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</si>
  <si>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</si>
  <si>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</si>
  <si>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</si>
  <si>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</si>
  <si>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</si>
  <si>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</si>
  <si>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</si>
  <si>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</si>
  <si>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</si>
  <si>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</si>
  <si>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</si>
  <si>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</si>
  <si>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</si>
  <si>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</si>
  <si>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</si>
  <si>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</si>
  <si>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</si>
  <si>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</si>
  <si>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</si>
  <si>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</si>
  <si>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</si>
  <si>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</si>
  <si>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</si>
  <si>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</si>
  <si>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</si>
  <si>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</si>
  <si>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</si>
  <si>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</si>
  <si>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</si>
  <si>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</si>
  <si>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</si>
  <si>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</si>
  <si>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</si>
  <si>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</si>
  <si>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</si>
  <si>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</si>
  <si>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</si>
  <si>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</si>
  <si>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</si>
  <si>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</si>
  <si>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</si>
  <si>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</si>
  <si>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</si>
  <si>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</si>
  <si>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</si>
  <si>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</si>
  <si>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</si>
  <si>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</si>
  <si>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</si>
  <si>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</si>
  <si>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</si>
  <si>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</si>
  <si>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</si>
  <si>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</si>
  <si>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</si>
  <si>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</si>
  <si>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</si>
  <si>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</si>
  <si>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</si>
  <si>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</si>
  <si>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</si>
  <si>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</si>
  <si>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</si>
  <si>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</si>
  <si>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</si>
  <si>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</si>
  <si>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</si>
  <si>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</si>
  <si>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</si>
  <si>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</si>
  <si>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</si>
  <si>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</si>
  <si>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</si>
  <si>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</si>
  <si>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</si>
  <si>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</si>
  <si>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</si>
  <si>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</si>
  <si>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</si>
  <si>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</si>
  <si>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</si>
  <si>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</si>
  <si>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</si>
  <si>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</si>
  <si>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</si>
  <si>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</si>
  <si>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</si>
  <si>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</si>
  <si>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</si>
  <si>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</si>
  <si>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</si>
  <si>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</si>
  <si>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</si>
  <si>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</si>
  <si>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</si>
  <si>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</si>
  <si>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</si>
  <si>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</si>
  <si>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</si>
  <si>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</si>
  <si>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</si>
  <si>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</si>
  <si>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</si>
  <si>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</si>
  <si>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</si>
  <si>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</si>
  <si>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</si>
  <si>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</si>
  <si>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</si>
  <si>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</si>
  <si>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</si>
  <si>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</si>
  <si>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</si>
  <si>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</si>
  <si>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</si>
  <si>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</si>
  <si>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</si>
  <si>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</si>
  <si>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</si>
  <si>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</si>
  <si>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</si>
  <si>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</si>
  <si>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</si>
  <si>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</si>
  <si>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</si>
  <si>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</si>
  <si>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</si>
  <si>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</si>
  <si>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</si>
  <si>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</si>
  <si>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</si>
  <si>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</si>
  <si>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</si>
  <si>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</si>
  <si>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</si>
  <si>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</si>
  <si>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</si>
  <si>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</si>
  <si>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</si>
  <si>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</si>
  <si>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</si>
  <si>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</si>
  <si>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</si>
  <si>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</si>
  <si>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</si>
  <si>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</si>
  <si>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</si>
  <si>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</si>
  <si>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</si>
  <si>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</si>
  <si>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</si>
  <si>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</si>
  <si>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</si>
  <si>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</si>
  <si>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</si>
  <si>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</si>
  <si>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</si>
  <si>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</si>
  <si>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</si>
  <si>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</si>
  <si>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</si>
  <si>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</si>
  <si>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</si>
  <si>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</si>
  <si>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</si>
  <si>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</si>
  <si>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</si>
  <si>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</si>
  <si>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</si>
  <si>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</si>
  <si>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</si>
  <si>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</si>
  <si>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</si>
  <si>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</si>
  <si>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</si>
  <si>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</si>
  <si>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</si>
  <si>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</si>
  <si>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</si>
  <si>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</si>
  <si>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</si>
  <si>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</si>
  <si>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</si>
  <si>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</si>
  <si>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</si>
  <si>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</si>
  <si>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</si>
  <si>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</si>
  <si>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</si>
  <si>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</si>
  <si>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</si>
  <si>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</si>
  <si>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</si>
  <si>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</si>
  <si>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</si>
  <si>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</si>
  <si>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</si>
  <si>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</si>
  <si>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</si>
  <si>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</si>
  <si>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</si>
  <si>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</si>
  <si>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</si>
  <si>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</si>
  <si>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</si>
  <si>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</si>
  <si>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</si>
  <si>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</si>
  <si>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</si>
  <si>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</si>
  <si>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</si>
  <si>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</si>
  <si>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</si>
  <si>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</si>
  <si>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</si>
  <si>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</si>
  <si>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</si>
  <si>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</si>
  <si>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</si>
  <si>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</si>
  <si>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</si>
  <si>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</si>
  <si>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</si>
  <si>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</si>
  <si>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</si>
  <si>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</si>
  <si>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</si>
  <si>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</si>
  <si>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</si>
  <si>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</si>
  <si>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</si>
  <si>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</si>
  <si>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</si>
  <si>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</si>
  <si>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</si>
  <si>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</si>
  <si>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</si>
  <si>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</si>
  <si>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</si>
  <si>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</si>
  <si>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</si>
  <si>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</si>
  <si>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</si>
  <si>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</si>
  <si>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</si>
  <si>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</si>
  <si>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</si>
  <si>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</si>
  <si>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</si>
  <si>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</si>
  <si>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</si>
  <si>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</si>
  <si>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</si>
  <si>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</si>
  <si>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</si>
  <si>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</si>
  <si>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</si>
  <si>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</si>
  <si>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</si>
  <si>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</si>
  <si>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</si>
  <si>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</si>
  <si>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</si>
  <si>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</si>
  <si>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</si>
  <si>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</si>
  <si>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</si>
  <si>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</si>
  <si>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</si>
  <si>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</si>
  <si>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</si>
  <si>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</si>
  <si>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</si>
  <si>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</si>
  <si>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</si>
  <si>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</si>
  <si>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</si>
  <si>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</si>
  <si>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</si>
  <si>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</si>
  <si>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</si>
  <si>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</si>
  <si>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</si>
  <si>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</si>
  <si>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</si>
  <si>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</si>
  <si>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</si>
  <si>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</si>
  <si>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</si>
  <si>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</si>
  <si>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</si>
  <si>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</si>
  <si>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</si>
  <si>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</si>
  <si>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</si>
  <si>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</si>
  <si>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</si>
  <si>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</si>
  <si>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</si>
  <si>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</si>
  <si>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</si>
  <si>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</si>
  <si>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</si>
  <si>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</si>
  <si>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</si>
  <si>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</si>
  <si>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</si>
  <si>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</si>
  <si>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</si>
  <si>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</si>
  <si>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</si>
  <si>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</si>
  <si>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</si>
  <si>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</si>
  <si>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</si>
  <si>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</si>
  <si>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</si>
  <si>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</si>
  <si>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</si>
  <si>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</si>
  <si>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</si>
  <si>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</si>
  <si>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</si>
  <si>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</si>
  <si>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</si>
  <si>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</si>
  <si>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</si>
  <si>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</si>
  <si>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</si>
  <si>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</si>
  <si>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</si>
  <si>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</si>
  <si>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</si>
  <si>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</si>
  <si>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</si>
  <si>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</si>
  <si>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</si>
  <si>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</si>
  <si>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</si>
  <si>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</si>
  <si>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</si>
  <si>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</si>
  <si>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</si>
  <si>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</si>
  <si>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</si>
  <si>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</si>
  <si>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</si>
  <si>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</si>
  <si>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</si>
  <si>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</si>
  <si>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</si>
  <si>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</si>
  <si>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</si>
  <si>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</si>
  <si>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</si>
  <si>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</si>
  <si>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</si>
  <si>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</si>
  <si>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</si>
  <si>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</si>
  <si>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</si>
  <si>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</si>
  <si>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</si>
  <si>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</si>
  <si>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</si>
  <si>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</si>
  <si>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</si>
  <si>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</si>
  <si>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</si>
  <si>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</si>
  <si>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</si>
  <si>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</si>
  <si>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</si>
  <si>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</si>
  <si>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</si>
  <si>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</si>
  <si>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</si>
  <si>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</si>
  <si>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</si>
  <si>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</si>
  <si>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</si>
  <si>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</si>
  <si>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</si>
  <si>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</si>
  <si>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</si>
  <si>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</si>
  <si>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</si>
  <si>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</si>
  <si>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</si>
  <si>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</si>
  <si>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</si>
  <si>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</si>
  <si>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</si>
  <si>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</si>
  <si>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</si>
  <si>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</si>
  <si>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</si>
  <si>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</si>
  <si>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</si>
  <si>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</si>
  <si>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</si>
  <si>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</si>
  <si>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</si>
  <si>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</si>
  <si>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</si>
  <si>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</si>
  <si>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</si>
  <si>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</si>
  <si>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</si>
  <si>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</si>
  <si>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</si>
  <si>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</si>
  <si>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</si>
  <si>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</si>
  <si>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</si>
  <si>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</si>
  <si>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</si>
  <si>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</si>
  <si>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</si>
  <si>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</si>
  <si>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</si>
  <si>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</si>
  <si>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</si>
  <si>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</si>
  <si>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</si>
  <si>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</si>
  <si>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</si>
  <si>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</si>
  <si>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</si>
  <si>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</si>
  <si>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</si>
  <si>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</si>
  <si>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</si>
  <si>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</si>
  <si>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</si>
  <si>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</si>
  <si>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</si>
  <si>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</si>
  <si>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</si>
  <si>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</si>
  <si>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</si>
  <si>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</si>
  <si>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</si>
  <si>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</si>
  <si>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</si>
  <si>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</si>
  <si>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</si>
  <si>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</si>
  <si>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</si>
  <si>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</si>
  <si>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</si>
  <si>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</si>
  <si>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</si>
  <si>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</si>
  <si>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</si>
  <si>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</si>
  <si>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</si>
  <si>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</si>
  <si>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</si>
  <si>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</si>
  <si>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</si>
  <si>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</si>
  <si>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</si>
  <si>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</si>
  <si>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</si>
  <si>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</si>
  <si>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</si>
  <si>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</si>
  <si>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</si>
  <si>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</si>
  <si>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</si>
  <si>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</si>
  <si>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</si>
  <si>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</si>
  <si>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</si>
  <si>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</si>
  <si>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</si>
  <si>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</si>
  <si>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</si>
  <si>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</si>
  <si>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</si>
  <si>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</si>
  <si>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</si>
  <si>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</si>
  <si>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</si>
  <si>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</si>
  <si>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</si>
  <si>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</si>
  <si>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</si>
  <si>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</si>
  <si>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</si>
  <si>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</si>
  <si>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</si>
  <si>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</si>
  <si>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</si>
  <si>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</si>
  <si>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</si>
  <si>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</si>
  <si>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</si>
  <si>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</si>
  <si>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</si>
  <si>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</si>
  <si>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</si>
  <si>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</si>
  <si>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</si>
  <si>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</si>
  <si>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</si>
  <si>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</si>
  <si>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</si>
  <si>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</si>
  <si>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</si>
  <si>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</si>
  <si>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</si>
  <si>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</si>
  <si>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</si>
  <si>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</si>
  <si>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</si>
  <si>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</si>
  <si>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</si>
  <si>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</si>
  <si>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</si>
  <si>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</si>
  <si>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</si>
  <si>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</si>
  <si>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</si>
  <si>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</si>
  <si>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</si>
  <si>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</si>
  <si>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</si>
  <si>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</si>
  <si>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</si>
  <si>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</si>
  <si>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</si>
  <si>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</si>
  <si>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</si>
  <si>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</si>
  <si>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</si>
  <si>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</si>
  <si>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</si>
  <si>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</si>
  <si>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</si>
  <si>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</si>
  <si>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</si>
  <si>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</si>
  <si>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</si>
  <si>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</si>
  <si>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</si>
  <si>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</si>
  <si>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</si>
  <si>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</si>
  <si>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</si>
  <si>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</si>
  <si>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</si>
  <si>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</si>
  <si>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</si>
  <si>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</si>
  <si>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</si>
  <si>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</si>
  <si>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</si>
  <si>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</si>
  <si>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</si>
  <si>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</si>
  <si>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</si>
  <si>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</si>
  <si>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</si>
  <si>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</si>
  <si>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</si>
  <si>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</si>
  <si>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</si>
  <si>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</si>
  <si>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</si>
  <si>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</si>
  <si>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</si>
  <si>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</si>
  <si>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</si>
  <si>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</si>
  <si>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</si>
  <si>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</si>
  <si>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</si>
  <si>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</si>
  <si>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</si>
  <si>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</si>
  <si>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</si>
  <si>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</si>
  <si>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</si>
  <si>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</si>
  <si>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</si>
  <si>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</si>
  <si>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</si>
  <si>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</si>
  <si>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</si>
  <si>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</si>
  <si>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</si>
  <si>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</si>
  <si>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</si>
  <si>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</si>
  <si>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昆仑信托有限责任公司</t>
    <phoneticPr fontId="6" type="noConversion"/>
  </si>
  <si>
    <t>北京星华蓝光置业有限公司</t>
    <phoneticPr fontId="6" type="noConversion"/>
  </si>
  <si>
    <t>抵押</t>
  </si>
  <si>
    <t>房地产抵押价值</t>
  </si>
  <si>
    <t>北京市</t>
  </si>
  <si>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</si>
  <si>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</si>
  <si>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</si>
  <si>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</si>
  <si>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年、办公、地下车库</t>
    </r>
    <r>
      <rPr>
        <sz val="12"/>
        <color theme="9" tint="-0.249977111117893"/>
        <rFont val="Arial"/>
        <family val="2"/>
      </rPr>
      <t>45</t>
    </r>
    <r>
      <rPr>
        <sz val="12"/>
        <color theme="9" tint="-0.249977111117893"/>
        <rFont val="宋体"/>
        <family val="3"/>
        <charset val="134"/>
      </rPr>
      <t>年</t>
    </r>
    <phoneticPr fontId="6" type="noConversion"/>
  </si>
  <si>
    <t>否</t>
  </si>
  <si>
    <t>《不动产权证书》</t>
  </si>
  <si>
    <t>复印件</t>
  </si>
  <si>
    <t>办公项目</t>
  </si>
  <si>
    <t>无</t>
  </si>
  <si>
    <t>土地</t>
  </si>
  <si>
    <t>在建</t>
  </si>
  <si>
    <t>现房</t>
  </si>
  <si>
    <t>通路</t>
  </si>
  <si>
    <t>通电</t>
  </si>
  <si>
    <t>通讯</t>
  </si>
  <si>
    <t>通上水</t>
  </si>
  <si>
    <t>通下水</t>
  </si>
  <si>
    <t>通热</t>
  </si>
  <si>
    <t>燃气</t>
  </si>
  <si>
    <t>Ⅶ-房1</t>
  </si>
  <si>
    <r>
      <t>1</t>
    </r>
    <r>
      <rPr>
        <sz val="11"/>
        <color theme="1"/>
        <rFont val="宋体"/>
        <family val="3"/>
        <charset val="134"/>
        <scheme val="minor"/>
      </rPr>
      <t>#</t>
    </r>
    <phoneticPr fontId="143" type="noConversion"/>
  </si>
  <si>
    <t>序号</t>
    <phoneticPr fontId="143" type="noConversion"/>
  </si>
  <si>
    <t>楼号</t>
    <phoneticPr fontId="143" type="noConversion"/>
  </si>
  <si>
    <t>面积</t>
    <phoneticPr fontId="143" type="noConversion"/>
  </si>
  <si>
    <t>用途</t>
    <phoneticPr fontId="143" type="noConversion"/>
  </si>
  <si>
    <t>备注</t>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</si>
  <si>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</si>
  <si>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</si>
  <si>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</si>
  <si>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</si>
  <si>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</si>
  <si>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楼栋合计</t>
    <phoneticPr fontId="143" type="noConversion"/>
  </si>
  <si>
    <t>1层</t>
    <phoneticPr fontId="143" type="noConversion"/>
  </si>
  <si>
    <t>2-1#</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</si>
  <si>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</si>
  <si>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</si>
  <si>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</si>
  <si>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t>商务办公</t>
    <phoneticPr fontId="143" type="noConversion"/>
  </si>
  <si>
    <r>
      <t>3</t>
    </r>
    <r>
      <rPr>
        <sz val="11"/>
        <color theme="1"/>
        <rFont val="宋体"/>
        <family val="3"/>
        <charset val="134"/>
        <scheme val="minor"/>
      </rPr>
      <t>-2#</t>
    </r>
    <phoneticPr fontId="143" type="noConversion"/>
  </si>
  <si>
    <r>
      <t>3</t>
    </r>
    <r>
      <rPr>
        <sz val="11"/>
        <color theme="1"/>
        <rFont val="宋体"/>
        <family val="3"/>
        <charset val="134"/>
        <scheme val="minor"/>
      </rPr>
      <t>-2#</t>
    </r>
    <phoneticPr fontId="143" type="noConversion"/>
  </si>
  <si>
    <r>
      <t>4</t>
    </r>
    <r>
      <rPr>
        <sz val="11"/>
        <color theme="1"/>
        <rFont val="宋体"/>
        <family val="3"/>
        <charset val="134"/>
        <scheme val="minor"/>
      </rPr>
      <t>-1#</t>
    </r>
    <phoneticPr fontId="143" type="noConversion"/>
  </si>
  <si>
    <t>4-1#</t>
    <phoneticPr fontId="143" type="noConversion"/>
  </si>
  <si>
    <r>
      <t>4</t>
    </r>
    <r>
      <rPr>
        <sz val="11"/>
        <color theme="1"/>
        <rFont val="宋体"/>
        <family val="3"/>
        <charset val="134"/>
        <scheme val="minor"/>
      </rPr>
      <t>-2#</t>
    </r>
    <phoneticPr fontId="143" type="noConversion"/>
  </si>
  <si>
    <r>
      <t>4</t>
    </r>
    <r>
      <rPr>
        <sz val="11"/>
        <color theme="1"/>
        <rFont val="宋体"/>
        <family val="3"/>
        <charset val="134"/>
        <scheme val="minor"/>
      </rPr>
      <t>-2#</t>
    </r>
    <phoneticPr fontId="143" type="noConversion"/>
  </si>
  <si>
    <t>商务办公</t>
    <phoneticPr fontId="143" type="noConversion"/>
  </si>
  <si>
    <r>
      <t>5</t>
    </r>
    <r>
      <rPr>
        <sz val="11"/>
        <color theme="1"/>
        <rFont val="宋体"/>
        <family val="3"/>
        <charset val="134"/>
        <scheme val="minor"/>
      </rPr>
      <t>#</t>
    </r>
    <phoneticPr fontId="143" type="noConversion"/>
  </si>
  <si>
    <t>文体娱乐中心</t>
    <phoneticPr fontId="143" type="noConversion"/>
  </si>
  <si>
    <t>商务办公</t>
    <phoneticPr fontId="143" type="noConversion"/>
  </si>
  <si>
    <t>6#</t>
    <phoneticPr fontId="143" type="noConversion"/>
  </si>
  <si>
    <r>
      <t>1</t>
    </r>
    <r>
      <rPr>
        <sz val="11"/>
        <color theme="1"/>
        <rFont val="宋体"/>
        <family val="3"/>
        <charset val="134"/>
        <scheme val="minor"/>
      </rPr>
      <t>-2层</t>
    </r>
    <phoneticPr fontId="143" type="noConversion"/>
  </si>
  <si>
    <t>是</t>
  </si>
  <si>
    <t>地上</t>
  </si>
  <si>
    <t>酒店</t>
  </si>
  <si>
    <t>已售</t>
    <phoneticPr fontId="143" type="noConversion"/>
  </si>
  <si>
    <t>5#底商</t>
    <phoneticPr fontId="143" type="noConversion"/>
  </si>
  <si>
    <t>5#soho</t>
    <phoneticPr fontId="143" type="noConversion"/>
  </si>
  <si>
    <t>6#2单元loft</t>
    <phoneticPr fontId="143" type="noConversion"/>
  </si>
  <si>
    <t>6#1单元空中墅</t>
    <phoneticPr fontId="143" type="noConversion"/>
  </si>
  <si>
    <t>5#空中墅</t>
    <phoneticPr fontId="143" type="noConversion"/>
  </si>
  <si>
    <t>商务金融用地（办公类）</t>
  </si>
  <si>
    <t>不临58条商业街</t>
  </si>
  <si>
    <t>容积率修正</t>
  </si>
  <si>
    <t>六通一平</t>
  </si>
  <si>
    <t>缺少</t>
  </si>
  <si>
    <t>按公示增长率计算</t>
  </si>
  <si>
    <t>收益法</t>
  </si>
  <si>
    <t>钢混</t>
  </si>
  <si>
    <t>非生产用房</t>
  </si>
  <si>
    <t>自定义</t>
  </si>
  <si>
    <t>按租金收入计税</t>
  </si>
  <si>
    <t>未包含在土地购买价格中</t>
  </si>
  <si>
    <t>全部缴纳</t>
  </si>
  <si>
    <t>已包含在土地取得成本中</t>
  </si>
  <si>
    <t>成本法</t>
  </si>
  <si>
    <t>项目局部</t>
  </si>
  <si>
    <t>商务金融用地（商业类）</t>
  </si>
  <si>
    <t>基准地价修正-商业</t>
  </si>
  <si>
    <t>基准地价修正-商业</t>
    <phoneticPr fontId="16" type="noConversion"/>
  </si>
  <si>
    <t>基准地价修正-办公</t>
  </si>
  <si>
    <t>基准地价修正-办公</t>
    <phoneticPr fontId="16" type="noConversion"/>
  </si>
  <si>
    <t>一般</t>
  </si>
  <si>
    <t>较好</t>
  </si>
  <si>
    <t>5-6#</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</si>
  <si>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</si>
  <si>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</si>
  <si>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</si>
  <si>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</si>
  <si>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</si>
  <si>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</si>
  <si>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工程进度</t>
  </si>
  <si>
    <t>工程进度</t>
    <phoneticPr fontId="143" type="noConversion"/>
  </si>
  <si>
    <t>合计</t>
    <phoneticPr fontId="143" type="noConversion"/>
  </si>
  <si>
    <t>位置</t>
    <phoneticPr fontId="143" type="noConversion"/>
  </si>
  <si>
    <t>面积</t>
    <phoneticPr fontId="143" type="noConversion"/>
  </si>
  <si>
    <t>汇总</t>
    <phoneticPr fontId="143" type="noConversion"/>
  </si>
  <si>
    <t>1-4#商业</t>
    <phoneticPr fontId="143" type="noConversion"/>
  </si>
  <si>
    <t>1-4#办公</t>
    <phoneticPr fontId="143" type="noConversion"/>
  </si>
  <si>
    <t>5-6#商业</t>
    <phoneticPr fontId="143" type="noConversion"/>
  </si>
  <si>
    <t>5-6#办公</t>
    <phoneticPr fontId="143" type="noConversion"/>
  </si>
  <si>
    <t>扣减项</t>
    <phoneticPr fontId="143" type="noConversion"/>
  </si>
  <si>
    <t>最终</t>
    <phoneticPr fontId="143" type="noConversion"/>
  </si>
  <si>
    <t>合计</t>
    <phoneticPr fontId="143" type="noConversion"/>
  </si>
  <si>
    <t>回迁商业</t>
  </si>
  <si>
    <t>回迁商业</t>
    <phoneticPr fontId="3" type="noConversion"/>
  </si>
  <si>
    <t>1号楼回迁商业</t>
    <phoneticPr fontId="143" type="noConversion"/>
  </si>
  <si>
    <t>在建（套用方法）</t>
  </si>
  <si>
    <t>3号楼回迁商业</t>
    <phoneticPr fontId="143" type="noConversion"/>
  </si>
  <si>
    <t>工程进度</t>
    <phoneticPr fontId="143" type="noConversion"/>
  </si>
  <si>
    <t>皇冠酒店</t>
  </si>
  <si>
    <t>皇冠酒店</t>
    <phoneticPr fontId="3" type="noConversion"/>
  </si>
  <si>
    <t>假日soho</t>
    <phoneticPr fontId="3" type="noConversion"/>
  </si>
  <si>
    <t>假日loft</t>
    <phoneticPr fontId="3" type="noConversion"/>
  </si>
  <si>
    <t>假日空中墅</t>
    <phoneticPr fontId="3" type="noConversion"/>
  </si>
  <si>
    <t>套房</t>
    <phoneticPr fontId="3" type="noConversion"/>
  </si>
  <si>
    <t>皇冠soho</t>
    <phoneticPr fontId="3" type="noConversion"/>
  </si>
  <si>
    <t>皇冠loft</t>
    <phoneticPr fontId="3" type="noConversion"/>
  </si>
  <si>
    <t>皇冠空中墅</t>
    <phoneticPr fontId="3" type="noConversion"/>
  </si>
  <si>
    <t>收益法-电影院</t>
  </si>
  <si>
    <t>地上楼单</t>
    <phoneticPr fontId="8" type="noConversion"/>
  </si>
  <si>
    <t>面积来源：测绘报告</t>
    <phoneticPr fontId="143" type="noConversion"/>
  </si>
  <si>
    <t>出让合同附件3《建设项目规划条件》，06-23-05 土地面积为49363平方米，地上建筑面积103662平方米，是否需补缴出让金?</t>
    <phoneticPr fontId="143" type="noConversion"/>
  </si>
  <si>
    <t>用地规划许可证</t>
    <phoneticPr fontId="143" type="noConversion"/>
  </si>
  <si>
    <t>土地面积</t>
    <phoneticPr fontId="143" type="noConversion"/>
  </si>
  <si>
    <t>出让合同附件3</t>
    <phoneticPr fontId="143" type="noConversion"/>
  </si>
  <si>
    <t>容积率</t>
    <phoneticPr fontId="143" type="noConversion"/>
  </si>
  <si>
    <t>——</t>
    <phoneticPr fontId="143" type="noConversion"/>
  </si>
  <si>
    <t>地上建筑面积</t>
    <phoneticPr fontId="143" type="noConversion"/>
  </si>
  <si>
    <t>06-23-05地块</t>
    <phoneticPr fontId="143" type="noConversion"/>
  </si>
  <si>
    <t>来源</t>
    <phoneticPr fontId="143" type="noConversion"/>
  </si>
  <si>
    <t>工程规划许可证不齐</t>
    <phoneticPr fontId="143" type="noConversion"/>
  </si>
  <si>
    <t>酒店经营成本是否偏低</t>
    <phoneticPr fontId="143" type="noConversion"/>
  </si>
  <si>
    <t>分摊土地面积</t>
    <phoneticPr fontId="143" type="noConversion"/>
  </si>
  <si>
    <t>成本比率</t>
  </si>
  <si>
    <t>假设开发法</t>
  </si>
  <si>
    <t>分摊土地面积</t>
  </si>
  <si>
    <t>规划建筑面积</t>
  </si>
  <si>
    <t>《房屋面积测算技术报告书》</t>
    <phoneticPr fontId="6" type="noConversion"/>
  </si>
  <si>
    <t>《不动产权证书》[京（2017）房不动产权第0000008号]</t>
    <phoneticPr fontId="6" type="noConversion"/>
  </si>
  <si>
    <t>押二</t>
  </si>
  <si>
    <t>扣减回迁</t>
    <phoneticPr fontId="143" type="noConversion"/>
  </si>
  <si>
    <t>扣减已售</t>
    <phoneticPr fontId="143" type="noConversion"/>
  </si>
  <si>
    <t>简化处理</t>
    <phoneticPr fontId="3" type="noConversion"/>
  </si>
  <si>
    <r>
      <t>1.</t>
    </r>
    <r>
      <rPr>
        <sz val="10"/>
        <color indexed="8"/>
        <rFont val="宋体"/>
        <family val="3"/>
        <charset val="134"/>
      </rPr>
      <t>城建费票据</t>
    </r>
    <phoneticPr fontId="8"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</si>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</sst>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99" fillId="5" borderId="1" xfId="0" applyFont="1" applyFill="1" applyBorder="1" applyAlignment="1">
      <alignment horizontal="center" vertical="center"/>
    </xf>
    <xf numFmtId="49" fontId="99" fillId="5" borderId="1" xfId="0" applyNumberFormat="1"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xf>
    <xf numFmtId="0" fontId="0" fillId="9" borderId="1" xfId="0" applyFill="1" applyBorder="1" applyAlignment="1">
      <alignment horizontal="center" vertical="center"/>
    </xf>
    <xf numFmtId="0" fontId="99" fillId="9"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xf>
    <xf numFmtId="0" fontId="0" fillId="19" borderId="1" xfId="0" applyFill="1" applyBorder="1" applyAlignment="1">
      <alignment horizontal="center" vertical="center"/>
    </xf>
    <xf numFmtId="0" fontId="99" fillId="19" borderId="1" xfId="0" applyFont="1" applyFill="1" applyBorder="1" applyAlignment="1">
      <alignment horizontal="center" vertical="center"/>
    </xf>
    <xf numFmtId="0" fontId="0" fillId="20" borderId="1" xfId="0" applyFill="1" applyBorder="1" applyAlignment="1">
      <alignment horizontal="center" vertical="center"/>
    </xf>
    <xf numFmtId="0" fontId="99" fillId="20" borderId="1" xfId="0" applyFont="1" applyFill="1" applyBorder="1" applyAlignment="1">
      <alignment horizontal="center" vertical="center"/>
    </xf>
    <xf numFmtId="0" fontId="0" fillId="16" borderId="1" xfId="0" applyFill="1" applyBorder="1" applyAlignment="1">
      <alignment horizontal="center" vertical="center"/>
    </xf>
    <xf numFmtId="0" fontId="99" fillId="16" borderId="1" xfId="0" applyFont="1" applyFill="1" applyBorder="1" applyAlignment="1">
      <alignment horizontal="center" vertical="center"/>
    </xf>
    <xf numFmtId="0" fontId="0" fillId="21" borderId="1" xfId="0" applyFill="1" applyBorder="1" applyAlignment="1">
      <alignment horizontal="center" vertical="center"/>
    </xf>
    <xf numFmtId="0" fontId="99" fillId="21" borderId="1" xfId="0" applyFont="1" applyFill="1" applyBorder="1" applyAlignment="1">
      <alignment horizontal="center" vertical="center"/>
    </xf>
    <xf numFmtId="0" fontId="0" fillId="22" borderId="1" xfId="0" applyFill="1" applyBorder="1" applyAlignment="1">
      <alignment horizontal="center" vertical="center"/>
    </xf>
    <xf numFmtId="0" fontId="99" fillId="22" borderId="1" xfId="0" applyFont="1" applyFill="1" applyBorder="1" applyAlignment="1">
      <alignment horizontal="center" vertical="center"/>
    </xf>
    <xf numFmtId="10" fontId="50" fillId="0" borderId="1" xfId="0" applyNumberFormat="1" applyFont="1" applyBorder="1" applyProtection="1">
      <alignment vertical="center"/>
      <protection locked="0"/>
    </xf>
    <xf numFmtId="0" fontId="80" fillId="0" borderId="1" xfId="0" applyFont="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0" fillId="0" borderId="1" xfId="0" applyBorder="1">
      <alignment vertical="center"/>
    </xf>
    <xf numFmtId="0" fontId="99" fillId="0" borderId="1" xfId="0" applyFont="1" applyFill="1" applyBorder="1" applyAlignment="1">
      <alignment horizontal="center" vertical="center"/>
    </xf>
    <xf numFmtId="9" fontId="0" fillId="0" borderId="0" xfId="0" applyNumberFormat="1">
      <alignment vertical="center"/>
    </xf>
    <xf numFmtId="0" fontId="99" fillId="0" borderId="15" xfId="0" applyFont="1" applyFill="1" applyBorder="1" applyAlignment="1">
      <alignment horizontal="center" vertical="center"/>
    </xf>
    <xf numFmtId="2" fontId="0" fillId="0" borderId="1" xfId="0" applyNumberFormat="1" applyBorder="1" applyAlignment="1">
      <alignment horizontal="center" vertical="center"/>
    </xf>
    <xf numFmtId="179"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80" fillId="6" borderId="0" xfId="0" applyFont="1" applyFill="1" applyProtection="1">
      <alignment vertical="center"/>
      <protection locked="0"/>
    </xf>
    <xf numFmtId="1" fontId="50" fillId="6" borderId="0" xfId="0" applyNumberFormat="1" applyFont="1" applyFill="1" applyProtection="1">
      <alignment vertical="center"/>
      <protection locked="0"/>
    </xf>
    <xf numFmtId="0" fontId="80" fillId="2" borderId="2" xfId="0" applyFont="1" applyFill="1" applyBorder="1" applyAlignment="1" applyProtection="1">
      <alignment horizontal="center" vertical="center" wrapText="1"/>
      <protection locked="0"/>
    </xf>
    <xf numFmtId="0" fontId="254" fillId="0" borderId="1" xfId="0" applyFont="1" applyBorder="1" applyAlignment="1">
      <alignment horizontal="left" vertical="center"/>
    </xf>
    <xf numFmtId="0" fontId="19" fillId="23" borderId="1" xfId="0" applyFont="1" applyFill="1" applyBorder="1" applyAlignment="1"/>
    <xf numFmtId="0" fontId="56" fillId="23" borderId="0" xfId="0" applyFont="1" applyFill="1" applyBorder="1" applyAlignment="1" applyProtection="1">
      <alignment horizontal="center" vertical="center"/>
      <protection locked="0"/>
    </xf>
    <xf numFmtId="0" fontId="108" fillId="23" borderId="82" xfId="0" applyFont="1" applyFill="1" applyBorder="1" applyAlignment="1" applyProtection="1">
      <alignment horizontal="center" vertical="center"/>
    </xf>
    <xf numFmtId="0" fontId="171" fillId="6" borderId="13" xfId="12" applyFont="1" applyFill="1" applyBorder="1" applyAlignment="1" applyProtection="1">
      <alignment horizontal="center" vertical="center" wrapText="1"/>
      <protection locked="0"/>
    </xf>
    <xf numFmtId="10" fontId="47" fillId="9" borderId="61"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50" fillId="7" borderId="58" xfId="0" applyFont="1" applyFill="1" applyBorder="1" applyAlignment="1" applyProtection="1">
      <alignment horizontal="left" vertical="center"/>
      <protection locked="0"/>
    </xf>
    <xf numFmtId="0" fontId="56" fillId="9" borderId="32" xfId="0" applyFont="1" applyFill="1" applyBorder="1" applyAlignment="1" applyProtection="1">
      <alignment vertical="center" wrapText="1"/>
      <protection locked="0"/>
    </xf>
    <xf numFmtId="177" fontId="56" fillId="8" borderId="1" xfId="1" applyNumberFormat="1" applyFont="1" applyFill="1" applyBorder="1" applyAlignment="1" applyProtection="1">
      <alignment horizontal="center"/>
    </xf>
    <xf numFmtId="0" fontId="84" fillId="9" borderId="24" xfId="0" applyFont="1" applyFill="1" applyBorder="1" applyAlignment="1">
      <alignment horizontal="center" vertical="center"/>
    </xf>
    <xf numFmtId="177" fontId="145" fillId="0" borderId="24" xfId="0" applyNumberFormat="1" applyFont="1" applyFill="1" applyBorder="1" applyAlignment="1">
      <alignment horizontal="center" vertical="center"/>
    </xf>
    <xf numFmtId="9" fontId="19" fillId="9" borderId="1" xfId="0" applyNumberFormat="1" applyFont="1" applyFill="1" applyBorder="1" applyAlignment="1"/>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50" fillId="9" borderId="23" xfId="0" applyFont="1" applyFill="1" applyBorder="1" applyProtection="1">
      <alignment vertical="center"/>
      <protection locked="0"/>
    </xf>
    <xf numFmtId="9" fontId="19" fillId="9" borderId="1" xfId="0" applyNumberFormat="1" applyFont="1" applyFill="1" applyBorder="1" applyAlignment="1">
      <alignment horizontal="center" vertical="center"/>
    </xf>
    <xf numFmtId="9" fontId="50" fillId="9" borderId="5"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23" borderId="5" xfId="0" applyFont="1" applyFill="1" applyBorder="1" applyAlignment="1">
      <alignment horizontal="left" vertical="center"/>
    </xf>
    <xf numFmtId="0" fontId="0" fillId="23" borderId="54" xfId="0" applyFill="1" applyBorder="1" applyAlignment="1">
      <alignment horizontal="left" vertical="center"/>
    </xf>
    <xf numFmtId="0" fontId="0" fillId="23" borderId="3" xfId="0" applyFill="1" applyBorder="1" applyAlignment="1">
      <alignment horizontal="left"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254" fillId="0" borderId="13" xfId="0" applyFont="1" applyBorder="1" applyAlignment="1">
      <alignment horizontal="center" vertical="center"/>
    </xf>
    <xf numFmtId="0" fontId="254" fillId="0" borderId="2"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177" fontId="144" fillId="6" borderId="1" xfId="0" applyNumberFormat="1" applyFont="1" applyFill="1" applyBorder="1" applyAlignment="1">
      <alignment horizontal="center"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3</xdr:row>
      <xdr:rowOff>9525</xdr:rowOff>
    </xdr:from>
    <xdr:to>
      <xdr:col>21</xdr:col>
      <xdr:colOff>56800</xdr:colOff>
      <xdr:row>21</xdr:row>
      <xdr:rowOff>171044</xdr:rowOff>
    </xdr:to>
    <xdr:pic>
      <xdr:nvPicPr>
        <xdr:cNvPr id="4" name="图片 3"/>
        <xdr:cNvPicPr>
          <a:picLocks noChangeAspect="1"/>
        </xdr:cNvPicPr>
      </xdr:nvPicPr>
      <xdr:blipFill>
        <a:blip xmlns:r="http://schemas.openxmlformats.org/officeDocument/2006/relationships" r:embed="rId1"/>
        <a:stretch>
          <a:fillRect/>
        </a:stretch>
      </xdr:blipFill>
      <xdr:spPr>
        <a:xfrm>
          <a:off x="12020550" y="352425"/>
          <a:ext cx="2800000" cy="3247619"/>
        </a:xfrm>
        <a:prstGeom prst="rect">
          <a:avLst/>
        </a:prstGeom>
      </xdr:spPr>
    </xdr:pic>
    <xdr:clientData/>
  </xdr:twoCellAnchor>
  <xdr:twoCellAnchor editAs="oneCell">
    <xdr:from>
      <xdr:col>17</xdr:col>
      <xdr:colOff>142875</xdr:colOff>
      <xdr:row>1</xdr:row>
      <xdr:rowOff>0</xdr:rowOff>
    </xdr:from>
    <xdr:to>
      <xdr:col>20</xdr:col>
      <xdr:colOff>609285</xdr:colOff>
      <xdr:row>2</xdr:row>
      <xdr:rowOff>161883</xdr:rowOff>
    </xdr:to>
    <xdr:pic>
      <xdr:nvPicPr>
        <xdr:cNvPr id="5" name="图片 4"/>
        <xdr:cNvPicPr>
          <a:picLocks noChangeAspect="1"/>
        </xdr:cNvPicPr>
      </xdr:nvPicPr>
      <xdr:blipFill>
        <a:blip xmlns:r="http://schemas.openxmlformats.org/officeDocument/2006/relationships" r:embed="rId2"/>
        <a:stretch>
          <a:fillRect/>
        </a:stretch>
      </xdr:blipFill>
      <xdr:spPr>
        <a:xfrm>
          <a:off x="12163425" y="0"/>
          <a:ext cx="2523810"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xdr:colOff>
      <xdr:row>40</xdr:row>
      <xdr:rowOff>0</xdr:rowOff>
    </xdr:from>
    <xdr:to>
      <xdr:col>14</xdr:col>
      <xdr:colOff>409575</xdr:colOff>
      <xdr:row>61</xdr:row>
      <xdr:rowOff>165981</xdr:rowOff>
    </xdr:to>
    <xdr:pic>
      <xdr:nvPicPr>
        <xdr:cNvPr id="4" name="图片 3"/>
        <xdr:cNvPicPr>
          <a:picLocks noChangeAspect="1"/>
        </xdr:cNvPicPr>
      </xdr:nvPicPr>
      <xdr:blipFill>
        <a:blip xmlns:r="http://schemas.openxmlformats.org/officeDocument/2006/relationships" r:embed="rId1"/>
        <a:stretch>
          <a:fillRect/>
        </a:stretch>
      </xdr:blipFill>
      <xdr:spPr>
        <a:xfrm>
          <a:off x="7248526" y="5857875"/>
          <a:ext cx="3152774" cy="3766431"/>
        </a:xfrm>
        <a:prstGeom prst="rect">
          <a:avLst/>
        </a:prstGeom>
      </xdr:spPr>
    </xdr:pic>
    <xdr:clientData/>
  </xdr:twoCellAnchor>
  <xdr:twoCellAnchor editAs="oneCell">
    <xdr:from>
      <xdr:col>15</xdr:col>
      <xdr:colOff>0</xdr:colOff>
      <xdr:row>39</xdr:row>
      <xdr:rowOff>142876</xdr:rowOff>
    </xdr:from>
    <xdr:to>
      <xdr:col>19</xdr:col>
      <xdr:colOff>561975</xdr:colOff>
      <xdr:row>63</xdr:row>
      <xdr:rowOff>34490</xdr:rowOff>
    </xdr:to>
    <xdr:pic>
      <xdr:nvPicPr>
        <xdr:cNvPr id="5" name="图片 4"/>
        <xdr:cNvPicPr>
          <a:picLocks noChangeAspect="1"/>
        </xdr:cNvPicPr>
      </xdr:nvPicPr>
      <xdr:blipFill>
        <a:blip xmlns:r="http://schemas.openxmlformats.org/officeDocument/2006/relationships" r:embed="rId2"/>
        <a:stretch>
          <a:fillRect/>
        </a:stretch>
      </xdr:blipFill>
      <xdr:spPr>
        <a:xfrm>
          <a:off x="10677525" y="5829301"/>
          <a:ext cx="3305175" cy="4006414"/>
        </a:xfrm>
        <a:prstGeom prst="rect">
          <a:avLst/>
        </a:prstGeom>
      </xdr:spPr>
    </xdr:pic>
    <xdr:clientData/>
  </xdr:twoCellAnchor>
  <xdr:twoCellAnchor editAs="oneCell">
    <xdr:from>
      <xdr:col>0</xdr:col>
      <xdr:colOff>0</xdr:colOff>
      <xdr:row>40</xdr:row>
      <xdr:rowOff>142876</xdr:rowOff>
    </xdr:from>
    <xdr:to>
      <xdr:col>4</xdr:col>
      <xdr:colOff>208454</xdr:colOff>
      <xdr:row>60</xdr:row>
      <xdr:rowOff>47626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172201"/>
          <a:ext cx="3342179" cy="3333750"/>
        </a:xfrm>
        <a:prstGeom prst="rect">
          <a:avLst/>
        </a:prstGeom>
      </xdr:spPr>
    </xdr:pic>
    <xdr:clientData/>
  </xdr:twoCellAnchor>
  <xdr:twoCellAnchor editAs="oneCell">
    <xdr:from>
      <xdr:col>4</xdr:col>
      <xdr:colOff>200025</xdr:colOff>
      <xdr:row>40</xdr:row>
      <xdr:rowOff>85725</xdr:rowOff>
    </xdr:from>
    <xdr:to>
      <xdr:col>9</xdr:col>
      <xdr:colOff>161925</xdr:colOff>
      <xdr:row>59</xdr:row>
      <xdr:rowOff>58503</xdr:rowOff>
    </xdr:to>
    <xdr:pic>
      <xdr:nvPicPr>
        <xdr:cNvPr id="7" name="图片 6"/>
        <xdr:cNvPicPr>
          <a:picLocks noChangeAspect="1"/>
        </xdr:cNvPicPr>
      </xdr:nvPicPr>
      <xdr:blipFill>
        <a:blip xmlns:r="http://schemas.openxmlformats.org/officeDocument/2006/relationships" r:embed="rId4"/>
        <a:stretch>
          <a:fillRect/>
        </a:stretch>
      </xdr:blipFill>
      <xdr:spPr>
        <a:xfrm>
          <a:off x="3333750" y="6115050"/>
          <a:ext cx="3390900" cy="32303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8" zoomScale="80" zoomScaleNormal="80" workbookViewId="0">
      <selection activeCell="B88" sqref="B88"/>
    </sheetView>
  </sheetViews>
  <sheetFormatPr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北京市房山区西潞街道良乡组团06街区06-23-01、06-23-05地块出让国有建设用地使用权及在建建筑物房地产抵押价值预评估</v>
      </c>
    </row>
    <row r="3" spans="1:2" s="1591" customFormat="1">
      <c r="A3" s="1589" t="s">
        <v>1215</v>
      </c>
      <c r="B3" s="1590" t="str">
        <f>'预评函-封皮'!B40</f>
        <v>北京星华蓝光置业有限公司</v>
      </c>
    </row>
    <row r="4" spans="1:2" s="1591" customFormat="1">
      <c r="A4" s="1589" t="s">
        <v>1216</v>
      </c>
      <c r="B4" s="1590" t="str">
        <f ca="1">'预评函-封皮'!B46</f>
        <v>王鹏（注册号：1120050019)、郑燚（注册号：1120070131)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受贵公司委托，我公司对北京市房山区西潞街道良乡组团06街区06-23-01、06-23-05地块出让国有建设用地使用权及在建建筑物房地产抵押价值进行了预评估。</v>
      </c>
    </row>
    <row r="7" spans="1:2" s="1591" customFormat="1">
      <c r="A7" s="1589" t="s">
        <v>1258</v>
      </c>
      <c r="B7" s="1590"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35985.59平方米，建筑面积为96535.67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35985.59平方米，规划建筑面积为96535.67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为估价委托人在向昆仑信托有限责任公司办理贷款手续过程中，确定房地产抵押贷款额度提供参考依据而评估房地产抵押价值。</v>
      </c>
    </row>
    <row r="12" spans="1:2" s="1591" customFormat="1">
      <c r="A12" s="1589" t="s">
        <v>1220</v>
      </c>
      <c r="B12" s="1590" t="str">
        <f>'预评函-1'!A15</f>
        <v>2018年8月6日（评估专业人员实地查勘之日）</v>
      </c>
    </row>
    <row r="13" spans="1:2" s="1591" customFormat="1">
      <c r="A13" s="1589" t="s">
        <v>1221</v>
      </c>
      <c r="B13" s="1590" t="str">
        <f>'预评函-1'!A18</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4" spans="1:2" s="1591" customFormat="1">
      <c r="A14" s="1589" t="s">
        <v>1222</v>
      </c>
      <c r="B14" s="1590" t="str">
        <f>'预评函-1'!A19</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
      </c>
    </row>
    <row r="18" spans="1:2" s="1585" customFormat="1" ht="15" thickBot="1">
      <c r="A18" s="1592" t="s">
        <v>1226</v>
      </c>
      <c r="B18" s="1593" t="str">
        <f>'预评函-1'!A24</f>
        <v>本次评估采用的主估价方法为成本法和假设开发法。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102110</v>
      </c>
    </row>
    <row r="21" spans="1:2" s="1591" customFormat="1">
      <c r="A21" s="1589" t="s">
        <v>1229</v>
      </c>
      <c r="B21" s="1590">
        <f ca="1">'预评函-2'!D7</f>
        <v>10577</v>
      </c>
    </row>
    <row r="22" spans="1:2" s="1591" customFormat="1">
      <c r="A22" s="1589" t="s">
        <v>1230</v>
      </c>
      <c r="B22" s="1590" t="str">
        <f ca="1">'预评函-2'!D6</f>
        <v>壹拾亿贰仟壹佰壹拾万元整</v>
      </c>
    </row>
    <row r="23" spans="1:2" s="1591" customFormat="1">
      <c r="A23" s="1589" t="s">
        <v>1281</v>
      </c>
      <c r="B23" s="1590" t="str">
        <f>'预评函-2'!B8</f>
        <v>2.估价师知悉的法定优先受偿款</v>
      </c>
    </row>
    <row r="24" spans="1:2" s="1591" customFormat="1">
      <c r="A24" s="1589" t="s">
        <v>1287</v>
      </c>
      <c r="B24" s="1590">
        <f>'预评函-2'!D8</f>
        <v>1628</v>
      </c>
    </row>
    <row r="25" spans="1:2" s="1591" customFormat="1">
      <c r="A25" s="1589" t="s">
        <v>1231</v>
      </c>
      <c r="B25" s="1590" t="str">
        <f>'预评函-2'!D9</f>
        <v>壹仟陆佰贰拾捌万元整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1628</v>
      </c>
    </row>
    <row r="29" spans="1:2" s="1591" customFormat="1">
      <c r="A29" s="1589" t="s">
        <v>1285</v>
      </c>
      <c r="B29" s="1590" t="str">
        <f>'预评函-2'!B13</f>
        <v>3.房地产抵押价值</v>
      </c>
    </row>
    <row r="30" spans="1:2" s="1591" customFormat="1">
      <c r="A30" s="1589" t="s">
        <v>1286</v>
      </c>
      <c r="B30" s="1590">
        <f ca="1">'预评函-2'!D13</f>
        <v>100482</v>
      </c>
    </row>
    <row r="31" spans="1:2" s="1591" customFormat="1">
      <c r="A31" s="1589" t="s">
        <v>1268</v>
      </c>
      <c r="B31" s="1590">
        <f ca="1">'预评函-2'!D15</f>
        <v>10409</v>
      </c>
    </row>
    <row r="32" spans="1:2" s="1591" customFormat="1">
      <c r="A32" s="1589" t="s">
        <v>1235</v>
      </c>
      <c r="B32" s="1590" t="str">
        <f ca="1">'预评函-2'!D14</f>
        <v>壹拾亿零肆佰捌拾贰万元整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北京市房山区西潞街道良乡组团06街区06-23-01、06-23-05地块出让国有建设用地使用权及在建建筑物房地产</v>
      </c>
    </row>
    <row r="42" spans="1:2" s="1591" customFormat="1">
      <c r="A42" s="1589" t="s">
        <v>1282</v>
      </c>
      <c r="B42" s="1590" t="str">
        <f>'预评函-3'!B2</f>
        <v>建筑面积</v>
      </c>
    </row>
    <row r="43" spans="1:2" s="1591" customFormat="1">
      <c r="A43" s="1589" t="s">
        <v>1283</v>
      </c>
      <c r="B43" s="1590">
        <f>'预评函-3'!B4</f>
        <v>96535.67</v>
      </c>
    </row>
    <row r="44" spans="1:2" s="1591" customFormat="1">
      <c r="A44" s="1589" t="s">
        <v>1267</v>
      </c>
      <c r="B44" s="1590" t="str">
        <f>'预评函-3'!C2</f>
        <v>(分摊)土地面积</v>
      </c>
    </row>
    <row r="45" spans="1:2" s="1591" customFormat="1">
      <c r="A45" s="1589" t="s">
        <v>1239</v>
      </c>
      <c r="B45" s="1590">
        <f>'预评函-3'!C4</f>
        <v>35985.589999999997</v>
      </c>
    </row>
    <row r="46" spans="1:2" s="1591" customFormat="1">
      <c r="A46" s="1589" t="s">
        <v>1265</v>
      </c>
      <c r="B46" s="1590" t="str">
        <f>'预评函-3'!D2</f>
        <v>出让国有建设用地使用权价值</v>
      </c>
    </row>
    <row r="47" spans="1:2" s="1591" customFormat="1">
      <c r="A47" s="1589" t="s">
        <v>1240</v>
      </c>
      <c r="B47" s="1590">
        <f ca="1">'预评函-3'!D4</f>
        <v>76276</v>
      </c>
    </row>
    <row r="48" spans="1:2" s="1591" customFormat="1">
      <c r="A48" s="1589" t="s">
        <v>1241</v>
      </c>
      <c r="B48" s="1590">
        <f ca="1">'预评函-3'!E4</f>
        <v>7901</v>
      </c>
    </row>
    <row r="49" spans="1:2" s="1591" customFormat="1">
      <c r="A49" s="1589" t="s">
        <v>1242</v>
      </c>
      <c r="B49" s="1590" t="str">
        <f ca="1">'预评函-3'!D5</f>
        <v>柒亿陆仟贰佰柒拾陆万元整</v>
      </c>
    </row>
    <row r="50" spans="1:2" s="1591" customFormat="1">
      <c r="A50" s="1589" t="s">
        <v>1266</v>
      </c>
      <c r="B50" s="1590" t="str">
        <f>'预评函-3'!F2</f>
        <v>在建建筑物价值</v>
      </c>
    </row>
    <row r="51" spans="1:2" s="1591" customFormat="1">
      <c r="A51" s="1589" t="s">
        <v>1243</v>
      </c>
      <c r="B51" s="1590">
        <f ca="1">'预评函-3'!F4</f>
        <v>25834</v>
      </c>
    </row>
    <row r="52" spans="1:2" s="1591" customFormat="1">
      <c r="A52" s="1589" t="s">
        <v>1244</v>
      </c>
      <c r="B52" s="1590">
        <f ca="1">'预评函-3'!G4</f>
        <v>2676</v>
      </c>
    </row>
    <row r="53" spans="1:2" s="1591" customFormat="1">
      <c r="A53" s="1589" t="s">
        <v>1272</v>
      </c>
      <c r="B53" s="1590" t="str">
        <f ca="1">'预评函-3'!F5</f>
        <v>贰亿伍仟捌佰叁拾肆万元整</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（1）根据估价对象《不动产权证书》复印件、，截至价值时点，估价对象抵押权未见登记。</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故，本次评估估价师知悉的法定优先受偿款为人民币1628万元整。</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1263</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王鹏</v>
      </c>
    </row>
    <row r="71" spans="1:2">
      <c r="A71" s="1589" t="s">
        <v>1255</v>
      </c>
      <c r="B71" s="1590">
        <f ca="1">'预评函-4'!B4</f>
        <v>1120050019</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3109</v>
      </c>
      <c r="C17" s="2013"/>
    </row>
    <row r="18" spans="1:3">
      <c r="A18" s="2012" t="s">
        <v>1761</v>
      </c>
      <c r="B18" s="2012" t="s">
        <v>3111</v>
      </c>
      <c r="C18" s="2013"/>
    </row>
    <row r="19" spans="1:3">
      <c r="A19" s="2012" t="s">
        <v>1762</v>
      </c>
      <c r="B19" s="2012" t="s">
        <v>3149</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05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20" t="s">
        <v>864</v>
      </c>
      <c r="C54" s="2017" t="s">
        <v>1275</v>
      </c>
    </row>
    <row r="55" spans="1:4">
      <c r="A55" s="3052"/>
      <c r="B55" s="2020" t="s">
        <v>865</v>
      </c>
      <c r="C55" s="2017" t="s">
        <v>1276</v>
      </c>
    </row>
    <row r="56" spans="1:4">
      <c r="A56" s="3052"/>
      <c r="B56" s="2020" t="s">
        <v>866</v>
      </c>
      <c r="C56" s="2017" t="s">
        <v>1280</v>
      </c>
    </row>
    <row r="57" spans="1:4">
      <c r="A57" s="3052"/>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J21" sqref="J21"/>
    </sheetView>
  </sheetViews>
  <sheetFormatPr defaultColWidth="10" defaultRowHeight="18" customHeight="1"/>
  <cols>
    <col min="1" max="1" width="14.875" style="2030" customWidth="1"/>
    <col min="2" max="2" width="10" style="2030" customWidth="1"/>
    <col min="3" max="3" width="11.5" style="2030" customWidth="1"/>
    <col min="4" max="4" width="10" style="2030" customWidth="1"/>
    <col min="5" max="5" width="15.375" style="2030" customWidth="1"/>
    <col min="6" max="6" width="15" style="2030" customWidth="1"/>
    <col min="7" max="7" width="16.25" style="2030" bestFit="1" customWidth="1"/>
    <col min="8" max="8" width="7.125" style="2030" bestFit="1" customWidth="1"/>
    <col min="9" max="9" width="9" style="2154" bestFit="1"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61"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062"/>
      <c r="D1" s="3062"/>
      <c r="E1" s="3062"/>
      <c r="F1" s="3062"/>
      <c r="G1" s="3062"/>
      <c r="H1" s="3062"/>
      <c r="I1" s="306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2024" t="s">
        <v>1771</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2033" t="s">
        <v>1772</v>
      </c>
      <c r="B3" s="2034">
        <v>43318</v>
      </c>
      <c r="C3" s="2035" t="s">
        <v>1773</v>
      </c>
      <c r="D3" s="2034">
        <v>43318</v>
      </c>
      <c r="E3" s="2024"/>
      <c r="F3" s="2024"/>
      <c r="G3" s="2024"/>
      <c r="H3" s="2024"/>
      <c r="I3" s="2024"/>
      <c r="J3" s="2024"/>
      <c r="K3" s="2025"/>
      <c r="L3" s="2026"/>
      <c r="M3" s="2026"/>
      <c r="N3" s="2027"/>
      <c r="O3" s="2028"/>
      <c r="P3" s="2027"/>
      <c r="Q3" s="2027"/>
      <c r="R3" s="2027"/>
      <c r="S3" s="2029"/>
    </row>
    <row r="4" spans="1:19" ht="18" customHeight="1" thickBot="1">
      <c r="A4" s="2036" t="s">
        <v>1774</v>
      </c>
      <c r="B4" s="2037" t="s">
        <v>3024</v>
      </c>
      <c r="C4" s="1035">
        <f ca="1">SUMIF(注册房地产估价师,B4,估价师及机构信息!B3:B24)</f>
        <v>1120050019</v>
      </c>
      <c r="D4" s="2037" t="s">
        <v>3025</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40" t="s">
        <v>3027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40"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0" t="s">
        <v>3027</v>
      </c>
      <c r="C7" s="2046"/>
      <c r="D7" s="2047"/>
      <c r="E7" s="2032"/>
      <c r="F7" s="2040"/>
      <c r="G7" s="2040"/>
      <c r="H7" s="2040"/>
      <c r="I7" s="2040"/>
      <c r="J7" s="2040"/>
      <c r="K7" s="2049"/>
      <c r="L7" s="2026"/>
      <c r="M7" s="2026"/>
      <c r="N7" s="2027"/>
      <c r="O7" s="2028"/>
      <c r="P7" s="2027"/>
      <c r="Q7" s="2027"/>
      <c r="R7" s="2027"/>
    </row>
    <row r="8" spans="1:19" ht="18" customHeight="1">
      <c r="A8" s="2045" t="s">
        <v>1778</v>
      </c>
      <c r="B8" s="2050" t="s">
        <v>3028</v>
      </c>
      <c r="C8" s="2051"/>
      <c r="D8" s="3064" t="s">
        <v>1779</v>
      </c>
      <c r="E8" s="2052" t="s">
        <v>3029</v>
      </c>
      <c r="F8" s="2053"/>
      <c r="G8" s="2024"/>
      <c r="H8" s="2024"/>
      <c r="I8" s="2024"/>
      <c r="J8" s="2040"/>
      <c r="K8" s="2041"/>
      <c r="L8" s="2026"/>
      <c r="M8" s="2026"/>
      <c r="N8" s="2027"/>
      <c r="O8" s="2028"/>
      <c r="P8" s="2027"/>
      <c r="Q8" s="2027"/>
      <c r="R8" s="2027"/>
    </row>
    <row r="9" spans="1:19" ht="18" customHeight="1" thickBot="1">
      <c r="A9" s="2038" t="s">
        <v>1780</v>
      </c>
      <c r="B9" s="2054" t="s">
        <v>3029</v>
      </c>
      <c r="C9" s="2055"/>
      <c r="D9" s="3065"/>
      <c r="E9" s="2054" t="s">
        <v>70</v>
      </c>
      <c r="F9" s="2056"/>
      <c r="G9" s="2057"/>
      <c r="H9" s="2057"/>
      <c r="I9" s="2057"/>
      <c r="J9" s="2040"/>
      <c r="K9" s="2049"/>
      <c r="L9" s="2026"/>
      <c r="M9" s="2026"/>
      <c r="N9" s="2027"/>
      <c r="O9" s="2028"/>
      <c r="P9" s="2027"/>
      <c r="Q9" s="2027"/>
      <c r="R9" s="2027"/>
    </row>
    <row r="10" spans="1:19" ht="18" customHeight="1" thickTop="1">
      <c r="A10" s="2058" t="s">
        <v>1781</v>
      </c>
      <c r="B10" s="2059" t="s">
        <v>3030</v>
      </c>
      <c r="C10" s="2060"/>
      <c r="D10" s="2044"/>
      <c r="E10" s="2061" t="s">
        <v>1782</v>
      </c>
      <c r="F10" s="2062" t="s">
        <v>3031</v>
      </c>
      <c r="G10" s="2063"/>
      <c r="H10" s="2064"/>
      <c r="I10" s="2044"/>
      <c r="J10" s="2040"/>
      <c r="K10" s="2049"/>
      <c r="L10" s="2026"/>
      <c r="M10" s="2026"/>
      <c r="N10" s="2027"/>
      <c r="O10" s="2028"/>
      <c r="P10" s="2027"/>
      <c r="Q10" s="2027"/>
      <c r="R10" s="2027"/>
    </row>
    <row r="11" spans="1:19" ht="18" customHeight="1">
      <c r="A11" s="2065" t="s">
        <v>1783</v>
      </c>
      <c r="B11" s="2066" t="s">
        <v>3032</v>
      </c>
      <c r="C11" s="2940" t="s">
        <v>3027</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3033</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56139</v>
      </c>
      <c r="F13" s="2074">
        <v>59791</v>
      </c>
      <c r="G13" s="2074">
        <v>59791</v>
      </c>
      <c r="H13" s="2074"/>
      <c r="I13" s="1045"/>
      <c r="J13" s="2040"/>
      <c r="K13" s="2049"/>
      <c r="L13" s="2026"/>
      <c r="M13" s="2026"/>
      <c r="N13" s="2027"/>
      <c r="O13" s="2028"/>
      <c r="P13" s="2027"/>
      <c r="Q13" s="2027"/>
      <c r="R13" s="2027"/>
    </row>
    <row r="14" spans="1:19" ht="18" customHeight="1">
      <c r="A14" s="2071"/>
      <c r="B14" s="2072"/>
      <c r="C14" s="2073" t="s">
        <v>1793</v>
      </c>
      <c r="D14" s="1048"/>
      <c r="E14" s="1048">
        <v>40</v>
      </c>
      <c r="F14" s="1048">
        <v>50</v>
      </c>
      <c r="G14" s="1048">
        <v>50</v>
      </c>
      <c r="H14" s="1048"/>
      <c r="I14" s="1048"/>
      <c r="J14" s="2040"/>
      <c r="K14" s="2075"/>
      <c r="L14" s="2026"/>
      <c r="M14" s="2026"/>
      <c r="N14" s="2027"/>
      <c r="O14" s="2028"/>
      <c r="P14" s="2027"/>
      <c r="Q14" s="2027"/>
      <c r="R14" s="2027"/>
    </row>
    <row r="15" spans="1:19" ht="18" customHeight="1">
      <c r="A15" s="2058"/>
      <c r="B15" s="2076"/>
      <c r="C15" s="2073" t="s">
        <v>1794</v>
      </c>
      <c r="D15" s="1047" t="str">
        <f>IF(B12="出让",IF(D13="","",ROUNDDOWN(MIN((D13-$D$3)/365,D14),2)),D14)</f>
        <v/>
      </c>
      <c r="E15" s="1047">
        <f>IF(B12="出让",IF(E13="","",ROUNDDOWN(MIN((E13-$D$3)/365,E14),2)),E14)</f>
        <v>35.119999999999997</v>
      </c>
      <c r="F15" s="1047">
        <f>IF(B12="出让",IF(F13="","",ROUNDDOWN(MIN((F13-$D$3)/365,F14),2)),F14)</f>
        <v>45.13</v>
      </c>
      <c r="G15" s="1047">
        <f>IF(B12="出让",IF(G13="","",ROUNDDOWN(MIN((G13-$D$3)/365,G14),2)),G14)</f>
        <v>45.13</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1795</v>
      </c>
      <c r="B16" s="3071" t="s">
        <v>3034</v>
      </c>
      <c r="C16" s="3072"/>
      <c r="D16" s="3073"/>
      <c r="E16" s="2080" t="s">
        <v>1796</v>
      </c>
      <c r="F16" s="3074" t="s">
        <v>3035</v>
      </c>
      <c r="G16" s="3075"/>
      <c r="H16" s="3075"/>
      <c r="I16" s="3076"/>
      <c r="J16" s="2027"/>
      <c r="K16" s="2077"/>
      <c r="L16" s="2078"/>
      <c r="M16" s="2078"/>
      <c r="N16" s="2079"/>
      <c r="O16" s="2078"/>
      <c r="P16" s="2079"/>
      <c r="Q16" s="2027"/>
      <c r="R16" s="2027"/>
    </row>
    <row r="17" spans="1:22" ht="18" customHeight="1">
      <c r="A17" s="2081" t="s">
        <v>1797</v>
      </c>
      <c r="B17" s="2033" t="s">
        <v>1798</v>
      </c>
      <c r="C17" s="1052">
        <f>'数据-汇总表'!E3</f>
        <v>96535.67</v>
      </c>
      <c r="D17" s="2082" t="s">
        <v>1799</v>
      </c>
      <c r="E17" s="3077" t="s">
        <v>3168</v>
      </c>
      <c r="F17" s="3078"/>
      <c r="G17" s="3078"/>
      <c r="H17" s="3078"/>
      <c r="I17" s="3079"/>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2">
        <f>'数据-汇总表'!D3</f>
        <v>35985.589999999997</v>
      </c>
      <c r="D18" s="2085" t="s">
        <v>1799</v>
      </c>
      <c r="E18" s="3080" t="s">
        <v>3169</v>
      </c>
      <c r="F18" s="3081"/>
      <c r="G18" s="3081"/>
      <c r="H18" s="3081"/>
      <c r="I18" s="3082"/>
      <c r="J18" s="2027"/>
      <c r="K18" s="2083"/>
      <c r="L18" s="2078"/>
      <c r="M18" s="2078"/>
      <c r="N18" s="2079"/>
      <c r="O18" s="2078"/>
      <c r="P18" s="2079"/>
      <c r="Q18" s="2027"/>
      <c r="R18" s="2027"/>
      <c r="S18" s="2027"/>
      <c r="T18" s="2027"/>
      <c r="U18" s="2027"/>
      <c r="V18" s="2027"/>
    </row>
    <row r="19" spans="1:22" ht="37.5" customHeight="1" thickTop="1" thickBot="1">
      <c r="A19" s="368" t="s">
        <v>1802</v>
      </c>
      <c r="B19" s="347" t="s">
        <v>1803</v>
      </c>
      <c r="C19" s="2086" t="s">
        <v>3036</v>
      </c>
      <c r="D19" s="2087" t="s">
        <v>1804</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1805</v>
      </c>
      <c r="B20" s="3067" t="s">
        <v>1806</v>
      </c>
      <c r="C20" s="3068"/>
      <c r="D20" s="3069" t="s">
        <v>1807</v>
      </c>
      <c r="E20" s="3070"/>
      <c r="F20" s="2092" t="s">
        <v>1808</v>
      </c>
      <c r="G20" s="2040"/>
      <c r="H20" s="2040"/>
      <c r="I20" s="2040"/>
      <c r="J20" s="2040"/>
      <c r="K20" s="3066" t="s">
        <v>1809</v>
      </c>
      <c r="L20" s="74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9"/>
      <c r="O20" s="2078"/>
      <c r="P20" s="2079"/>
      <c r="Q20" s="2027"/>
      <c r="R20" s="2027"/>
      <c r="S20" s="2027"/>
      <c r="T20" s="2027"/>
      <c r="U20" s="2027"/>
      <c r="V20" s="2027"/>
    </row>
    <row r="21" spans="1:22" ht="24.75" customHeight="1">
      <c r="A21" s="2091"/>
      <c r="B21" s="2093" t="s">
        <v>3037</v>
      </c>
      <c r="C21" s="2094" t="s">
        <v>3038</v>
      </c>
      <c r="D21" s="2095"/>
      <c r="E21" s="2096"/>
      <c r="F21" s="2097"/>
      <c r="G21" s="2040"/>
      <c r="H21" s="2040"/>
      <c r="I21" s="2040"/>
      <c r="J21" s="2040"/>
      <c r="K21" s="306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c r="C22" s="2094"/>
      <c r="D22" s="2024"/>
      <c r="E22" s="2024"/>
      <c r="F22" s="2099"/>
      <c r="G22" s="2040"/>
      <c r="H22" s="2040"/>
      <c r="I22" s="2040"/>
      <c r="J22" s="2040"/>
      <c r="K22" s="306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1810</v>
      </c>
      <c r="B23" s="178" t="s">
        <v>1811</v>
      </c>
      <c r="C23" s="2101"/>
      <c r="D23" s="2102" t="s">
        <v>1811</v>
      </c>
      <c r="E23" s="2103"/>
      <c r="F23" s="2099"/>
      <c r="G23" s="2040"/>
      <c r="H23" s="2040"/>
      <c r="I23" s="2040"/>
      <c r="J23" s="2040"/>
      <c r="K23" s="2104"/>
      <c r="L23" s="743"/>
      <c r="M23" s="2026"/>
      <c r="N23" s="2079"/>
      <c r="O23" s="2078"/>
      <c r="P23" s="2079"/>
      <c r="Q23" s="2027"/>
      <c r="R23" s="2027"/>
      <c r="S23" s="2027"/>
      <c r="T23" s="2027"/>
      <c r="U23" s="2027"/>
      <c r="V23" s="2027"/>
    </row>
    <row r="24" spans="1:22" ht="18" customHeight="1">
      <c r="A24" s="2105"/>
      <c r="B24" s="178" t="s">
        <v>1812</v>
      </c>
      <c r="C24" s="2106"/>
      <c r="D24" s="2100" t="s">
        <v>1812</v>
      </c>
      <c r="E24" s="2107"/>
      <c r="F24" s="2099"/>
      <c r="G24" s="2040"/>
      <c r="H24" s="2040"/>
      <c r="I24" s="2040"/>
      <c r="J24" s="2040"/>
      <c r="K24" s="2104"/>
      <c r="L24" s="743"/>
      <c r="M24" s="2026"/>
      <c r="N24" s="2079"/>
      <c r="O24" s="2078"/>
      <c r="P24" s="2079"/>
      <c r="Q24" s="2027"/>
      <c r="R24" s="2027"/>
      <c r="S24" s="2027"/>
      <c r="T24" s="2027"/>
      <c r="U24" s="2027"/>
      <c r="V24" s="2027"/>
    </row>
    <row r="25" spans="1:22" ht="18" customHeight="1">
      <c r="A25" s="2105"/>
      <c r="B25" s="178" t="s">
        <v>1813</v>
      </c>
      <c r="C25" s="2106"/>
      <c r="D25" s="2100" t="s">
        <v>1813</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1814</v>
      </c>
      <c r="C26" s="2110"/>
      <c r="D26" s="2111" t="s">
        <v>1815</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54" t="s">
        <v>1816</v>
      </c>
      <c r="B27" s="2058" t="s">
        <v>1817</v>
      </c>
      <c r="C27" s="2114" t="s">
        <v>3039</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54"/>
      <c r="B28" s="2033" t="s">
        <v>1818</v>
      </c>
      <c r="C28" s="2116" t="s">
        <v>3040</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54"/>
      <c r="B29" s="2033" t="s">
        <v>1819</v>
      </c>
      <c r="C29" s="2119" t="s">
        <v>3036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55"/>
      <c r="B30" s="2033" t="s">
        <v>1820</v>
      </c>
      <c r="C30" s="3056"/>
      <c r="D30" s="3057"/>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8" t="s">
        <v>1821</v>
      </c>
      <c r="B31" s="2121" t="s">
        <v>3041</v>
      </c>
      <c r="C31" s="2122" t="str">
        <f>IF(B31="现房","成新及维护状况正常否",IF(B31="在建","工程状态是否正常",IF(B31="土地","是否闲置","-")))</f>
        <v>是否闲置</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59"/>
      <c r="B32" s="2121" t="s">
        <v>3042</v>
      </c>
      <c r="C32" s="2122" t="str">
        <f>IF(B32="现房","成新及维护状况是否正常",IF(B32="在建","工程状态是否正常",IF(B32="土地","是否闲置","-")))</f>
        <v>工程状态是否正常</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59"/>
      <c r="B33" s="2125" t="s">
        <v>3043</v>
      </c>
      <c r="C33" s="2065" t="str">
        <f>IF(B33="现房","成新及维护状况是否正常",IF(B33="在建","工程状态是否正常",IF(B33="土地","是否闲置","-")))</f>
        <v>成新及维护状况是否正常</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8" t="s">
        <v>3044</v>
      </c>
      <c r="C34" s="2128" t="s">
        <v>3045</v>
      </c>
      <c r="D34" s="2128" t="s">
        <v>3046</v>
      </c>
      <c r="E34" s="2128" t="s">
        <v>3047</v>
      </c>
      <c r="F34" s="2128" t="s">
        <v>3048</v>
      </c>
      <c r="G34" s="2128" t="s">
        <v>3049</v>
      </c>
      <c r="H34" s="2128" t="s">
        <v>70</v>
      </c>
      <c r="I34" s="2040"/>
      <c r="J34" s="2040"/>
      <c r="K34" s="1793">
        <f>COUNTIF(B34:H34,"——")</f>
        <v>1</v>
      </c>
      <c r="L34" s="2069" t="s">
        <v>1823</v>
      </c>
      <c r="M34" s="2069" t="s">
        <v>1824</v>
      </c>
      <c r="N34" s="2069" t="s">
        <v>1825</v>
      </c>
      <c r="O34" s="2069" t="s">
        <v>1826</v>
      </c>
      <c r="P34" s="2069" t="s">
        <v>1827</v>
      </c>
      <c r="Q34" s="2069" t="s">
        <v>1828</v>
      </c>
      <c r="R34" s="2069" t="s">
        <v>1829</v>
      </c>
      <c r="S34" s="3053" t="s">
        <v>1830</v>
      </c>
      <c r="T34" s="2129" t="str">
        <f>NUMBERSTRING(7-K34,1)&amp;"通"</f>
        <v>六通</v>
      </c>
      <c r="U34" s="2027"/>
      <c r="V34" s="2027"/>
    </row>
    <row r="35" spans="1:22" ht="18" customHeight="1">
      <c r="A35" s="2130"/>
      <c r="B35" s="3060" t="s">
        <v>1831</v>
      </c>
      <c r="C35" s="3060"/>
      <c r="D35" s="3060"/>
      <c r="E35" s="3060"/>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3"/>
      <c r="T35" s="48" t="str">
        <f>IF(T34="一通",L35,IF(T34="二通",M35,IF(T34="三通",N35,IF(T34="四通",O35,IF(T34="五通",P35,IF(T34="六通",Q35,R35))))))</f>
        <v>通路、通电、通讯、通上水、通下水、通热</v>
      </c>
      <c r="U35" s="2027"/>
      <c r="V35" s="2027"/>
    </row>
    <row r="36" spans="1:22" ht="18" customHeight="1">
      <c r="A36" s="2132"/>
      <c r="B36" s="2131" t="s">
        <v>1832</v>
      </c>
      <c r="C36" s="2131" t="s">
        <v>1833</v>
      </c>
      <c r="D36" s="2131" t="s">
        <v>1834</v>
      </c>
      <c r="E36" s="2131" t="s">
        <v>1835</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1836</v>
      </c>
      <c r="B37" s="2135" t="s">
        <v>526</v>
      </c>
      <c r="C37" s="2135" t="s">
        <v>526</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1837</v>
      </c>
      <c r="B38" s="2137" t="s">
        <v>3051</v>
      </c>
      <c r="C38" s="2137" t="s">
        <v>3051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1838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1"/>
      <c r="L40" s="2078"/>
      <c r="M40" s="2078"/>
      <c r="N40" s="2079"/>
      <c r="O40" s="2078"/>
      <c r="P40" s="2027"/>
      <c r="Q40" s="2027"/>
      <c r="R40" s="2027"/>
      <c r="S40" s="2027"/>
      <c r="T40" s="2027"/>
      <c r="U40" s="2027"/>
      <c r="V40" s="2027"/>
    </row>
    <row r="41" spans="1:22" ht="18" customHeight="1">
      <c r="A41" s="8" t="s">
        <v>1839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1840</v>
      </c>
      <c r="B42" s="1793" t="s">
        <v>1841</v>
      </c>
      <c r="C42" s="1793" t="s">
        <v>1842</v>
      </c>
      <c r="D42" s="1793" t="s">
        <v>1843</v>
      </c>
      <c r="E42" s="1793" t="s">
        <v>1844</v>
      </c>
      <c r="F42" s="1793" t="s">
        <v>1845</v>
      </c>
      <c r="G42" s="1793" t="s">
        <v>1846</v>
      </c>
      <c r="H42" s="1793" t="s">
        <v>1847</v>
      </c>
      <c r="I42" s="1793" t="s">
        <v>1848</v>
      </c>
      <c r="J42" s="2147" t="s">
        <v>1849</v>
      </c>
      <c r="K42" s="2070" t="s">
        <v>1850</v>
      </c>
      <c r="L42" s="2070" t="s">
        <v>1851</v>
      </c>
      <c r="M42" s="2070" t="s">
        <v>1852</v>
      </c>
      <c r="N42" s="1793" t="s">
        <v>1853</v>
      </c>
      <c r="O42" s="1793" t="s">
        <v>1854</v>
      </c>
      <c r="P42" s="1793" t="s">
        <v>1855</v>
      </c>
      <c r="Q42" s="2069" t="s">
        <v>1856</v>
      </c>
      <c r="R42" s="2069" t="s">
        <v>1857</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9" width="9.5" style="2154" hidden="1" customWidth="1"/>
    <col min="40"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1860</v>
      </c>
      <c r="B2" s="11" t="s">
        <v>1861</v>
      </c>
      <c r="C2" s="11" t="s">
        <v>1862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1863</v>
      </c>
      <c r="AZ2" s="1268" t="s">
        <v>1864</v>
      </c>
      <c r="BA2" s="11" t="s">
        <v>1865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49362.58</v>
      </c>
      <c r="B3" s="14">
        <f>IF(C3="否",G5-AT5,G5)</f>
        <v>132421.03999999998</v>
      </c>
      <c r="C3" s="2163" t="s">
        <v>1866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1867</v>
      </c>
      <c r="B5" s="1801"/>
      <c r="C5" s="1801"/>
      <c r="D5" s="1804"/>
      <c r="E5" s="16" t="s">
        <v>1</v>
      </c>
      <c r="F5" s="16">
        <f>SUM(F13:F587)</f>
        <v>0</v>
      </c>
      <c r="G5" s="16">
        <f>SUM(G13:G587)</f>
        <v>132421.03999999998</v>
      </c>
      <c r="H5" s="16">
        <f t="shared" ref="H5:AT5" si="0">SUM(H13:H656)</f>
        <v>127761.18</v>
      </c>
      <c r="I5" s="16">
        <f t="shared" si="0"/>
        <v>103887.25999999998</v>
      </c>
      <c r="J5" s="16">
        <f t="shared" si="0"/>
        <v>0</v>
      </c>
      <c r="K5" s="16">
        <f t="shared" si="0"/>
        <v>23873.919999999998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4659.8599999999997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4659.8599999999997</v>
      </c>
      <c r="AO5" s="16">
        <f t="shared" si="0"/>
        <v>0</v>
      </c>
      <c r="AP5" s="16">
        <f t="shared" si="0"/>
        <v>0</v>
      </c>
      <c r="AQ5" s="16">
        <f t="shared" si="0"/>
        <v>0</v>
      </c>
      <c r="AR5" s="16">
        <f t="shared" si="0"/>
        <v>0</v>
      </c>
      <c r="AS5" s="16">
        <f t="shared" si="0"/>
        <v>0</v>
      </c>
      <c r="AT5" s="16">
        <f t="shared" si="0"/>
        <v>0</v>
      </c>
      <c r="AU5" s="1800"/>
      <c r="AV5" s="15" t="s">
        <v>1867</v>
      </c>
      <c r="AW5" s="1801"/>
      <c r="AX5" s="1801"/>
      <c r="AY5" s="17" t="s">
        <v>3</v>
      </c>
      <c r="AZ5" s="18">
        <f t="shared" ref="AZ5:BT5" si="1">SUM(AZ13:AZ656)</f>
        <v>96535.67</v>
      </c>
      <c r="BA5" s="18">
        <f t="shared" si="1"/>
        <v>91875.81</v>
      </c>
      <c r="BB5" s="18">
        <f t="shared" si="1"/>
        <v>68001.889999999985</v>
      </c>
      <c r="BC5" s="18">
        <f t="shared" si="1"/>
        <v>23873.919999999998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4659.8599999999997</v>
      </c>
      <c r="BM5" s="18">
        <f t="shared" si="1"/>
        <v>0</v>
      </c>
      <c r="BN5" s="18">
        <f t="shared" si="1"/>
        <v>0</v>
      </c>
      <c r="BO5" s="18">
        <f t="shared" si="1"/>
        <v>0</v>
      </c>
      <c r="BP5" s="18">
        <f t="shared" si="1"/>
        <v>0</v>
      </c>
      <c r="BQ5" s="18">
        <f t="shared" si="1"/>
        <v>0</v>
      </c>
      <c r="BR5" s="18">
        <f t="shared" si="1"/>
        <v>4659.8599999999997</v>
      </c>
      <c r="BS5" s="18">
        <f t="shared" si="1"/>
        <v>0</v>
      </c>
      <c r="BT5" s="19">
        <f t="shared" si="1"/>
        <v>0</v>
      </c>
    </row>
    <row r="6" spans="1:72" s="2172" customFormat="1" ht="12.75">
      <c r="A6" s="15" t="s">
        <v>1868</v>
      </c>
      <c r="B6" s="2169"/>
      <c r="C6" s="2169"/>
      <c r="D6" s="2170"/>
      <c r="E6" s="16">
        <f>H6+AC6+AT6</f>
        <v>49362.59</v>
      </c>
      <c r="F6" s="16" t="s">
        <v>1</v>
      </c>
      <c r="G6" s="16" t="s">
        <v>2</v>
      </c>
      <c r="H6" s="20">
        <f>SUMIF(I$12:AB$12,"总值",I6:AB6)</f>
        <v>47625.53</v>
      </c>
      <c r="I6" s="16">
        <f t="shared" ref="I6:AB6" si="2">ROUND($A$3*I5/$B$3,2)</f>
        <v>38726.050000000003</v>
      </c>
      <c r="J6" s="16">
        <f t="shared" si="2"/>
        <v>0</v>
      </c>
      <c r="K6" s="16">
        <f t="shared" si="2"/>
        <v>8899.48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1737.06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1737.06</v>
      </c>
      <c r="AO6" s="16">
        <f t="shared" si="3"/>
        <v>0</v>
      </c>
      <c r="AP6" s="16">
        <f t="shared" si="3"/>
        <v>0</v>
      </c>
      <c r="AQ6" s="16">
        <f t="shared" si="3"/>
        <v>0</v>
      </c>
      <c r="AR6" s="16">
        <f t="shared" si="3"/>
        <v>0</v>
      </c>
      <c r="AS6" s="16">
        <f t="shared" si="3"/>
        <v>0</v>
      </c>
      <c r="AT6" s="20">
        <f>IF(C3="是",ROUND($A$3*AT5/$B$3,2),0)</f>
        <v>0</v>
      </c>
      <c r="AU6" s="2171"/>
      <c r="AV6" s="15" t="s">
        <v>1868</v>
      </c>
      <c r="AW6" s="2169"/>
      <c r="AX6" s="2169"/>
      <c r="AY6" s="21">
        <f>IF(AY3&gt;0,AY3,ROUND($A$3*AZ5/$B$3,2))</f>
        <v>35985.589999999997</v>
      </c>
      <c r="AZ6" s="16" t="s">
        <v>3</v>
      </c>
      <c r="BA6" s="16">
        <f>ROUND($AY$6*BA5/$AZ$5,2)</f>
        <v>34248.53</v>
      </c>
      <c r="BB6" s="16">
        <f>ROUND($AY$6*BB5/$AZ$5,2)</f>
        <v>25349.06</v>
      </c>
      <c r="BC6" s="16">
        <f t="shared" ref="BC6:BH6" si="4">ROUND($AY$6*BC5/$AZ$5,2)</f>
        <v>8899.48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1737.06</v>
      </c>
      <c r="BM6" s="16">
        <f t="shared" si="5"/>
        <v>0</v>
      </c>
      <c r="BN6" s="16">
        <f t="shared" si="5"/>
        <v>0</v>
      </c>
      <c r="BO6" s="16">
        <f t="shared" si="5"/>
        <v>0</v>
      </c>
      <c r="BP6" s="16">
        <f t="shared" si="5"/>
        <v>0</v>
      </c>
      <c r="BQ6" s="16">
        <f t="shared" si="5"/>
        <v>0</v>
      </c>
      <c r="BR6" s="16">
        <f t="shared" si="5"/>
        <v>1737.06</v>
      </c>
      <c r="BS6" s="16">
        <f t="shared" si="5"/>
        <v>0</v>
      </c>
      <c r="BT6" s="22">
        <f t="shared" si="5"/>
        <v>0</v>
      </c>
    </row>
    <row r="7" spans="1:72" s="2162" customFormat="1" ht="24.75">
      <c r="A7" s="2104" t="s">
        <v>1869</v>
      </c>
      <c r="B7" s="2104" t="s">
        <v>1870</v>
      </c>
      <c r="C7" s="2104" t="s">
        <v>1871</v>
      </c>
      <c r="D7" s="2104" t="s">
        <v>1872</v>
      </c>
      <c r="E7" s="2104" t="s">
        <v>1873</v>
      </c>
      <c r="F7" s="2104" t="s">
        <v>1874</v>
      </c>
      <c r="G7" s="2173" t="s">
        <v>1875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1876</v>
      </c>
      <c r="AV7" s="23" t="s">
        <v>1877</v>
      </c>
      <c r="AW7" s="2161" t="s">
        <v>1878</v>
      </c>
      <c r="AX7" s="23" t="s">
        <v>1871</v>
      </c>
      <c r="AY7" s="1801" t="s">
        <v>1879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1880</v>
      </c>
      <c r="H8" s="2179" t="s">
        <v>1881</v>
      </c>
      <c r="I8" s="2180"/>
      <c r="J8" s="1816"/>
      <c r="K8" s="1816"/>
      <c r="L8" s="1816"/>
      <c r="M8" s="1816"/>
      <c r="N8" s="1816"/>
      <c r="O8" s="1816"/>
      <c r="P8" s="1816"/>
      <c r="Q8" s="1816"/>
      <c r="R8" s="1816"/>
      <c r="S8" s="1816"/>
      <c r="T8" s="1816"/>
      <c r="U8" s="1816"/>
      <c r="V8" s="2181"/>
      <c r="W8" s="1816"/>
      <c r="X8" s="1816"/>
      <c r="Y8" s="1816"/>
      <c r="Z8" s="1816"/>
      <c r="AA8" s="2181"/>
      <c r="AB8" s="2182"/>
      <c r="AC8" s="979" t="s">
        <v>1882</v>
      </c>
      <c r="AD8" s="2183"/>
      <c r="AE8" s="2175"/>
      <c r="AF8" s="1816"/>
      <c r="AG8" s="1816"/>
      <c r="AH8" s="1816"/>
      <c r="AI8" s="1816"/>
      <c r="AJ8" s="1816"/>
      <c r="AK8" s="1816"/>
      <c r="AL8" s="1816"/>
      <c r="AM8" s="1816"/>
      <c r="AN8" s="1816"/>
      <c r="AO8" s="1816"/>
      <c r="AP8" s="1816"/>
      <c r="AQ8" s="1816"/>
      <c r="AR8" s="1816"/>
      <c r="AS8" s="1816"/>
      <c r="AT8" s="1290" t="s">
        <v>1883</v>
      </c>
      <c r="AU8" s="2177" t="s">
        <v>1884</v>
      </c>
      <c r="AV8" s="1290"/>
      <c r="AW8" s="2160"/>
      <c r="AX8" s="1290"/>
      <c r="AY8" s="2161" t="s">
        <v>1885</v>
      </c>
      <c r="AZ8" s="1815" t="s">
        <v>1886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1887</v>
      </c>
      <c r="I9" s="2186" t="s">
        <v>3083</v>
      </c>
      <c r="J9" s="979"/>
      <c r="K9" s="2186" t="s">
        <v>3115</v>
      </c>
      <c r="L9" s="979"/>
      <c r="M9" s="2186"/>
      <c r="N9" s="979"/>
      <c r="O9" s="2186"/>
      <c r="P9" s="979"/>
      <c r="Q9" s="2186"/>
      <c r="R9" s="979"/>
      <c r="S9" s="2186"/>
      <c r="T9" s="979"/>
      <c r="U9" s="2186"/>
      <c r="V9" s="979"/>
      <c r="W9" s="2186"/>
      <c r="X9" s="2187"/>
      <c r="Y9" s="2186"/>
      <c r="Z9" s="979"/>
      <c r="AA9" s="2186"/>
      <c r="AB9" s="979"/>
      <c r="AC9" s="2178" t="s">
        <v>1887</v>
      </c>
      <c r="AD9" s="15" t="s">
        <v>1888</v>
      </c>
      <c r="AE9" s="1296"/>
      <c r="AF9" s="15" t="s">
        <v>1889</v>
      </c>
      <c r="AG9" s="1296"/>
      <c r="AH9" s="15" t="s">
        <v>1888</v>
      </c>
      <c r="AI9" s="1296"/>
      <c r="AJ9" s="15" t="s">
        <v>1889</v>
      </c>
      <c r="AK9" s="1296"/>
      <c r="AL9" s="15" t="s">
        <v>1888</v>
      </c>
      <c r="AM9" s="1296"/>
      <c r="AN9" s="15" t="s">
        <v>1889</v>
      </c>
      <c r="AO9" s="1296"/>
      <c r="AP9" s="15" t="s">
        <v>1888</v>
      </c>
      <c r="AQ9" s="1296"/>
      <c r="AR9" s="15" t="s">
        <v>1889</v>
      </c>
      <c r="AS9" s="2188"/>
      <c r="AT9" s="2177"/>
      <c r="AU9" s="2177" t="s">
        <v>1890</v>
      </c>
      <c r="AV9" s="1290"/>
      <c r="AW9" s="2160"/>
      <c r="AX9" s="1290"/>
      <c r="AY9" s="28"/>
      <c r="AZ9" s="28" t="s">
        <v>1880</v>
      </c>
      <c r="BA9" s="2189" t="s">
        <v>1891</v>
      </c>
      <c r="BB9" s="2190"/>
      <c r="BC9" s="1336"/>
      <c r="BD9" s="1336"/>
      <c r="BE9" s="1336"/>
      <c r="BF9" s="1336"/>
      <c r="BG9" s="1336"/>
      <c r="BH9" s="1336"/>
      <c r="BI9" s="1336"/>
      <c r="BJ9" s="1336"/>
      <c r="BK9" s="2191"/>
      <c r="BL9" s="15" t="s">
        <v>1892</v>
      </c>
      <c r="BM9" s="1816"/>
      <c r="BN9" s="2180"/>
      <c r="BO9" s="1816"/>
      <c r="BP9" s="1816"/>
      <c r="BQ9" s="1816"/>
      <c r="BR9" s="1816"/>
      <c r="BS9" s="1816"/>
      <c r="BT9" s="26"/>
    </row>
    <row r="10" spans="1:72" s="2184" customFormat="1" ht="12.75">
      <c r="A10" s="2177"/>
      <c r="B10" s="2177"/>
      <c r="C10" s="2177"/>
      <c r="D10" s="2177"/>
      <c r="E10" s="2177"/>
      <c r="F10" s="2177"/>
      <c r="G10" s="1290"/>
      <c r="H10" s="28"/>
      <c r="I10" s="2186" t="s">
        <v>1371</v>
      </c>
      <c r="J10" s="979"/>
      <c r="K10" s="2192" t="s">
        <v>1371</v>
      </c>
      <c r="L10" s="979"/>
      <c r="M10" s="2192"/>
      <c r="N10" s="979"/>
      <c r="O10" s="2192"/>
      <c r="P10" s="979"/>
      <c r="Q10" s="2192"/>
      <c r="R10" s="979"/>
      <c r="S10" s="2192"/>
      <c r="T10" s="979"/>
      <c r="U10" s="2192"/>
      <c r="V10" s="979"/>
      <c r="W10" s="2192"/>
      <c r="X10" s="979"/>
      <c r="Y10" s="2192"/>
      <c r="Z10" s="979"/>
      <c r="AA10" s="2192"/>
      <c r="AB10" s="979"/>
      <c r="AC10" s="1290"/>
      <c r="AD10" s="15" t="s">
        <v>1893</v>
      </c>
      <c r="AE10" s="2193"/>
      <c r="AF10" s="15" t="s">
        <v>1893</v>
      </c>
      <c r="AG10" s="2193"/>
      <c r="AH10" s="15" t="s">
        <v>1894</v>
      </c>
      <c r="AI10" s="2193"/>
      <c r="AJ10" s="15" t="s">
        <v>1894</v>
      </c>
      <c r="AK10" s="2193"/>
      <c r="AL10" s="15" t="s">
        <v>1895</v>
      </c>
      <c r="AM10" s="1296"/>
      <c r="AN10" s="15" t="s">
        <v>1895</v>
      </c>
      <c r="AO10" s="1296"/>
      <c r="AP10" s="15" t="s">
        <v>1896</v>
      </c>
      <c r="AQ10" s="1296"/>
      <c r="AR10" s="15" t="s">
        <v>1896</v>
      </c>
      <c r="AS10" s="1296"/>
      <c r="AT10" s="2177"/>
      <c r="AU10" s="2177"/>
      <c r="AV10" s="1290"/>
      <c r="AW10" s="2160"/>
      <c r="AX10" s="1290"/>
      <c r="AY10" s="28"/>
      <c r="AZ10" s="28"/>
      <c r="BA10" s="2194" t="s">
        <v>1887</v>
      </c>
      <c r="BB10" s="2195" t="str">
        <f>I9</f>
        <v>地上</v>
      </c>
      <c r="BC10" s="29" t="str">
        <f>K9</f>
        <v>地下</v>
      </c>
      <c r="BD10" s="29">
        <f>M9</f>
        <v>0</v>
      </c>
      <c r="BE10" s="29">
        <f>O9</f>
        <v>0</v>
      </c>
      <c r="BF10" s="29">
        <f>Q9</f>
        <v>0</v>
      </c>
      <c r="BG10" s="29">
        <f>S9</f>
        <v>0</v>
      </c>
      <c r="BH10" s="29">
        <f>U9</f>
        <v>0</v>
      </c>
      <c r="BI10" s="29">
        <f>W9</f>
        <v>0</v>
      </c>
      <c r="BJ10" s="29">
        <f>Y9</f>
        <v>0</v>
      </c>
      <c r="BK10" s="29">
        <f>AA9</f>
        <v>0</v>
      </c>
      <c r="BL10" s="25" t="s">
        <v>1887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3084</v>
      </c>
      <c r="J11" s="2198"/>
      <c r="K11" s="2197" t="s">
        <v>3116</v>
      </c>
      <c r="L11" s="2198"/>
      <c r="M11" s="2197"/>
      <c r="N11" s="2198"/>
      <c r="O11" s="2197"/>
      <c r="P11" s="2198"/>
      <c r="Q11" s="2197"/>
      <c r="R11" s="2198"/>
      <c r="S11" s="2197"/>
      <c r="T11" s="2198"/>
      <c r="U11" s="2197"/>
      <c r="V11" s="2198"/>
      <c r="W11" s="2197"/>
      <c r="X11" s="2198"/>
      <c r="Y11" s="2197"/>
      <c r="Z11" s="2198"/>
      <c r="AA11" s="2197"/>
      <c r="AB11" s="2198"/>
      <c r="AC11" s="1290"/>
      <c r="AD11" s="2199" t="s">
        <v>1897</v>
      </c>
      <c r="AE11" s="1817"/>
      <c r="AF11" s="2199" t="s">
        <v>1897</v>
      </c>
      <c r="AG11" s="1817"/>
      <c r="AH11" s="2199" t="s">
        <v>1898</v>
      </c>
      <c r="AI11" s="2200"/>
      <c r="AJ11" s="2199" t="s">
        <v>1898</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0" t="s">
        <v>1900</v>
      </c>
      <c r="W12" s="11" t="s">
        <v>1899</v>
      </c>
      <c r="X12" s="11" t="s">
        <v>1900</v>
      </c>
      <c r="Y12" s="11" t="s">
        <v>1899</v>
      </c>
      <c r="Z12" s="11" t="s">
        <v>1900</v>
      </c>
      <c r="AA12" s="11" t="s">
        <v>1899</v>
      </c>
      <c r="AB12" s="11" t="s">
        <v>1900</v>
      </c>
      <c r="AC12" s="2204"/>
      <c r="AD12" s="1804"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2" t="s">
        <v>1900</v>
      </c>
      <c r="AT12" s="2205"/>
      <c r="AU12" s="2202"/>
      <c r="AV12" s="31"/>
      <c r="AW12" s="2161"/>
      <c r="AX12" s="31"/>
      <c r="AY12" s="2206"/>
      <c r="AZ12" s="28"/>
      <c r="BA12" s="2194"/>
      <c r="BB12" s="24" t="str">
        <f>I11</f>
        <v>酒店</v>
      </c>
      <c r="BC12" s="2207" t="str">
        <f>K11</f>
        <v>车库</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2964" t="s">
        <v>3141</v>
      </c>
      <c r="D13" s="2208" t="s">
        <v>3082</v>
      </c>
      <c r="E13" s="16">
        <f>IF($C$3="是",ROUND($A$3*G13/$B$3,2),ROUND($A$3*(G13-AT13)/$B$3,2))</f>
        <v>32954.46</v>
      </c>
      <c r="F13" s="32"/>
      <c r="G13" s="33">
        <f>H13+AC13+AT13</f>
        <v>88404.29</v>
      </c>
      <c r="H13" s="20">
        <f>SUMIF(I$12:AB$12,"总值",I13:AB13)</f>
        <v>83744.429999999993</v>
      </c>
      <c r="I13" s="2209">
        <f>面积!M11+面积!M12</f>
        <v>59870.509999999987</v>
      </c>
      <c r="J13" s="2209"/>
      <c r="K13" s="2209">
        <f>面积!D30+面积!D29</f>
        <v>23873.919999999998</v>
      </c>
      <c r="L13" s="2209"/>
      <c r="M13" s="2209"/>
      <c r="N13" s="2209"/>
      <c r="O13" s="2209"/>
      <c r="P13" s="2209"/>
      <c r="Q13" s="2209"/>
      <c r="R13" s="2209"/>
      <c r="S13" s="2209"/>
      <c r="T13" s="2209"/>
      <c r="U13" s="2209"/>
      <c r="V13" s="2209"/>
      <c r="W13" s="2209"/>
      <c r="X13" s="2209"/>
      <c r="Y13" s="2209"/>
      <c r="Z13" s="2209"/>
      <c r="AA13" s="2209"/>
      <c r="AB13" s="2209"/>
      <c r="AC13" s="16">
        <f>SUMIF(AD$12:AS$12,"总值",AD13:AS13)</f>
        <v>4659.8599999999997</v>
      </c>
      <c r="AD13" s="2210"/>
      <c r="AE13" s="2210"/>
      <c r="AF13" s="2210"/>
      <c r="AG13" s="2210"/>
      <c r="AH13" s="2210"/>
      <c r="AI13" s="2210"/>
      <c r="AJ13" s="2210"/>
      <c r="AK13" s="2210"/>
      <c r="AL13" s="2210"/>
      <c r="AM13" s="2210"/>
      <c r="AN13" s="2210">
        <f>面积!D31</f>
        <v>4659.8599999999997</v>
      </c>
      <c r="AO13" s="2210"/>
      <c r="AP13" s="2210"/>
      <c r="AQ13" s="2210"/>
      <c r="AR13" s="2210"/>
      <c r="AS13" s="2210"/>
      <c r="AT13" s="2211"/>
      <c r="AU13" s="2212"/>
      <c r="AV13" s="11">
        <f t="shared" ref="AV13:AX17" si="6">A13</f>
        <v>0</v>
      </c>
      <c r="AW13" s="11">
        <f t="shared" si="6"/>
        <v>0</v>
      </c>
      <c r="AX13" s="11" t="str">
        <f t="shared" si="6"/>
        <v>皇冠酒店</v>
      </c>
      <c r="AY13" s="1804">
        <f>ROUND($AY$6*AZ13/$AZ$5,2)</f>
        <v>32954.46</v>
      </c>
      <c r="AZ13" s="16">
        <f>BA13+BL13</f>
        <v>88404.29</v>
      </c>
      <c r="BA13" s="16">
        <f>SUM(BB13:BK13)</f>
        <v>83744.429999999993</v>
      </c>
      <c r="BB13" s="16">
        <f>IF($D13="是",I13-J13,0)</f>
        <v>59870.509999999987</v>
      </c>
      <c r="BC13" s="16">
        <f>IF($D13="是",K13-L13,0)</f>
        <v>23873.919999999998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4659.8599999999997</v>
      </c>
      <c r="BM13" s="16">
        <f>IF($D13="是",AD13-AE13,0)</f>
        <v>0</v>
      </c>
      <c r="BN13" s="16">
        <f>IF($D13="是",AF13-AG13,0)</f>
        <v>0</v>
      </c>
      <c r="BO13" s="16">
        <f>IF($D13="是",AH13-AI13,0)</f>
        <v>0</v>
      </c>
      <c r="BP13" s="16">
        <f>IF($D13="是",AJ13-AK13,0)</f>
        <v>0</v>
      </c>
      <c r="BQ13" s="16">
        <f>IF($D13="是",AL13-AM13,0)</f>
        <v>0</v>
      </c>
      <c r="BR13" s="16">
        <f>IF($D13="是",AN13-AO13,0)</f>
        <v>4659.8599999999997</v>
      </c>
      <c r="BS13" s="16">
        <f>IF($D13="是",AP13-AQ13,0)</f>
        <v>0</v>
      </c>
      <c r="BT13" s="22">
        <f>IF($D13="是",AR13-AS13,0)</f>
        <v>0</v>
      </c>
    </row>
    <row r="14" spans="1:72" s="2162" customFormat="1" ht="12.75">
      <c r="A14" s="1270"/>
      <c r="B14" s="1270"/>
      <c r="C14" s="2964" t="s">
        <v>3135</v>
      </c>
      <c r="D14" s="2208" t="s">
        <v>3082</v>
      </c>
      <c r="E14" s="16">
        <f>IF($C$3="是",ROUND($A$3*G14/$B$3,2),ROUND($A$3*(G14-AT14)/$B$3,2))</f>
        <v>3031.13</v>
      </c>
      <c r="F14" s="32"/>
      <c r="G14" s="33">
        <f>H14+AC14+AT14</f>
        <v>8131.38</v>
      </c>
      <c r="H14" s="20">
        <f>SUMIF(I$12:AB$12,"总值",I14:AB14)</f>
        <v>8131.38</v>
      </c>
      <c r="I14" s="2209">
        <f>面积!L11</f>
        <v>8131.38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回迁商业</v>
      </c>
      <c r="AY14" s="1804">
        <f>ROUND($AY$6*AZ14/$AZ$5,2)</f>
        <v>3031.13</v>
      </c>
      <c r="AZ14" s="16">
        <f>BA14+BL14</f>
        <v>8131.38</v>
      </c>
      <c r="BA14" s="16">
        <f>SUM(BB14:BK14)</f>
        <v>8131.38</v>
      </c>
      <c r="BB14" s="16">
        <f>IF($D14="是",I14-J14,0)</f>
        <v>8131.38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964" t="s">
        <v>3114</v>
      </c>
      <c r="D15" s="2986" t="s">
        <v>3036</v>
      </c>
      <c r="E15" s="16">
        <f>IF($C$3="是",ROUND($A$3*G15/$B$3,2),ROUND($A$3*(G15-AT15)/$B$3,2))</f>
        <v>13376.99</v>
      </c>
      <c r="F15" s="32"/>
      <c r="G15" s="33">
        <f>H15+AC15+AT15</f>
        <v>35885.369999999995</v>
      </c>
      <c r="H15" s="20">
        <f>SUMIF(I$12:AB$12,"总值",I15:AB15)</f>
        <v>35885.369999999995</v>
      </c>
      <c r="I15" s="2209">
        <f>面积!K13+面积!K14</f>
        <v>35885.369999999995</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5-6#</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974"/>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election activeCell="H27" sqref="H27"/>
    </sheetView>
  </sheetViews>
  <sheetFormatPr defaultRowHeight="13.5"/>
  <cols>
    <col min="1" max="1" width="5.25" bestFit="1" customWidth="1"/>
    <col min="2" max="2" width="5.5" bestFit="1" customWidth="1"/>
    <col min="3" max="3" width="13" bestFit="1" customWidth="1"/>
    <col min="4" max="4" width="9.5" bestFit="1" customWidth="1"/>
    <col min="5" max="5" width="6.375" bestFit="1" customWidth="1"/>
    <col min="6" max="6" width="10.5" bestFit="1" customWidth="1"/>
    <col min="9" max="9" width="5.25" bestFit="1" customWidth="1"/>
    <col min="10" max="10" width="14.25" bestFit="1" customWidth="1"/>
    <col min="11" max="11" width="10.5" bestFit="1" customWidth="1"/>
    <col min="12" max="12" width="8.5" bestFit="1" customWidth="1"/>
    <col min="13" max="13" width="10.5" bestFit="1" customWidth="1"/>
    <col min="15" max="16" width="14.25" bestFit="1" customWidth="1"/>
  </cols>
  <sheetData>
    <row r="1" spans="1:14">
      <c r="A1" s="3085" t="s">
        <v>3151</v>
      </c>
      <c r="B1" s="3086"/>
      <c r="C1" s="3086"/>
      <c r="D1" s="3086"/>
      <c r="E1" s="3086"/>
      <c r="F1" s="3087"/>
    </row>
    <row r="2" spans="1:14">
      <c r="A2" s="2942" t="s">
        <v>3053</v>
      </c>
      <c r="B2" s="2942" t="s">
        <v>3054</v>
      </c>
      <c r="C2" s="2942" t="s">
        <v>3056</v>
      </c>
      <c r="D2" s="2942" t="s">
        <v>3055</v>
      </c>
      <c r="E2" s="2942" t="s">
        <v>3057</v>
      </c>
      <c r="F2" s="2942" t="s">
        <v>3063</v>
      </c>
      <c r="G2" s="2980" t="s">
        <v>3122</v>
      </c>
      <c r="I2" s="2941" t="s">
        <v>3085</v>
      </c>
      <c r="J2" s="2978" t="s">
        <v>3124</v>
      </c>
      <c r="K2" s="2978" t="s">
        <v>3125</v>
      </c>
      <c r="L2" s="2975"/>
      <c r="M2" s="2975"/>
    </row>
    <row r="3" spans="1:14">
      <c r="A3" s="2944">
        <v>1</v>
      </c>
      <c r="B3" s="2945" t="s">
        <v>3052</v>
      </c>
      <c r="C3" s="2945" t="s">
        <v>3058</v>
      </c>
      <c r="D3" s="2944">
        <v>7685.44</v>
      </c>
      <c r="E3" s="2946" t="s">
        <v>3059</v>
      </c>
      <c r="F3" s="2944"/>
      <c r="I3" s="2941"/>
      <c r="J3" s="2942" t="s">
        <v>3086</v>
      </c>
      <c r="K3" s="2943">
        <v>230.64</v>
      </c>
    </row>
    <row r="4" spans="1:14">
      <c r="A4" s="2944">
        <v>2</v>
      </c>
      <c r="B4" s="2945" t="s">
        <v>3052</v>
      </c>
      <c r="C4" s="2945" t="s">
        <v>3060</v>
      </c>
      <c r="D4" s="2944">
        <v>14219.94</v>
      </c>
      <c r="E4" s="2944"/>
      <c r="F4" s="2944"/>
      <c r="J4" s="2942" t="s">
        <v>3087</v>
      </c>
      <c r="K4" s="2943">
        <v>44.96</v>
      </c>
    </row>
    <row r="5" spans="1:14">
      <c r="A5" s="2944">
        <v>3</v>
      </c>
      <c r="B5" s="2945" t="s">
        <v>3061</v>
      </c>
      <c r="C5" s="2945" t="s">
        <v>3062</v>
      </c>
      <c r="D5" s="2944">
        <f>34.42+22.75</f>
        <v>57.17</v>
      </c>
      <c r="E5" s="2944"/>
      <c r="F5" s="2944">
        <f>SUM(D3:D5)</f>
        <v>21962.55</v>
      </c>
      <c r="G5" s="2979">
        <v>0.05</v>
      </c>
      <c r="J5" s="2942" t="s">
        <v>3090</v>
      </c>
      <c r="K5" s="2943">
        <v>245.25</v>
      </c>
    </row>
    <row r="6" spans="1:14">
      <c r="A6" s="2949">
        <v>4</v>
      </c>
      <c r="B6" s="2950" t="s">
        <v>3065</v>
      </c>
      <c r="C6" s="2950" t="s">
        <v>3058</v>
      </c>
      <c r="D6" s="2949">
        <f>1004.42+112.45</f>
        <v>1116.8699999999999</v>
      </c>
      <c r="E6" s="2950" t="s">
        <v>3064</v>
      </c>
      <c r="F6" s="2949"/>
      <c r="J6" s="2942" t="s">
        <v>3088</v>
      </c>
      <c r="K6" s="2943">
        <v>1132.45</v>
      </c>
    </row>
    <row r="7" spans="1:14">
      <c r="A7" s="2949">
        <v>5</v>
      </c>
      <c r="B7" s="2950" t="s">
        <v>3065</v>
      </c>
      <c r="C7" s="2950" t="s">
        <v>3060</v>
      </c>
      <c r="D7" s="2949">
        <v>8554.09</v>
      </c>
      <c r="E7" s="2949"/>
      <c r="F7" s="2949"/>
      <c r="J7" s="2942" t="s">
        <v>3089</v>
      </c>
      <c r="K7" s="2943">
        <v>210.88</v>
      </c>
    </row>
    <row r="8" spans="1:14">
      <c r="A8" s="2949">
        <v>6</v>
      </c>
      <c r="B8" s="2950" t="s">
        <v>3065</v>
      </c>
      <c r="C8" s="2950" t="s">
        <v>3062</v>
      </c>
      <c r="D8" s="2949">
        <v>43.67</v>
      </c>
      <c r="E8" s="2949"/>
      <c r="F8" s="2949">
        <f>SUM(D6:D8)</f>
        <v>9714.6299999999992</v>
      </c>
      <c r="G8" s="2979">
        <v>0.6</v>
      </c>
      <c r="J8" s="2941"/>
    </row>
    <row r="9" spans="1:14">
      <c r="A9" s="2951">
        <v>7</v>
      </c>
      <c r="B9" s="2952" t="s">
        <v>3066</v>
      </c>
      <c r="C9" s="2952" t="s">
        <v>3060</v>
      </c>
      <c r="D9" s="2951">
        <v>4565.72</v>
      </c>
      <c r="E9" s="2951"/>
      <c r="F9" s="2951"/>
    </row>
    <row r="10" spans="1:14">
      <c r="A10" s="2951">
        <v>8</v>
      </c>
      <c r="B10" s="2952" t="s">
        <v>3066</v>
      </c>
      <c r="C10" s="2952" t="s">
        <v>3058</v>
      </c>
      <c r="D10" s="2951">
        <v>901.89</v>
      </c>
      <c r="E10" s="2952" t="s">
        <v>3064</v>
      </c>
      <c r="F10" s="2951">
        <f>SUM(D9:D10)</f>
        <v>5467.6100000000006</v>
      </c>
      <c r="G10" s="2979">
        <v>0.6</v>
      </c>
      <c r="I10" s="2942" t="s">
        <v>3126</v>
      </c>
      <c r="J10" s="2978" t="s">
        <v>3124</v>
      </c>
      <c r="K10" s="2942" t="s">
        <v>3125</v>
      </c>
      <c r="L10" s="2978" t="s">
        <v>3131</v>
      </c>
      <c r="M10" s="2978" t="s">
        <v>3132</v>
      </c>
    </row>
    <row r="11" spans="1:14">
      <c r="A11" s="2953">
        <v>9</v>
      </c>
      <c r="B11" s="2954" t="s">
        <v>3067</v>
      </c>
      <c r="C11" s="2954" t="s">
        <v>3058</v>
      </c>
      <c r="D11" s="2953">
        <f>112.31+1108.76</f>
        <v>1221.07</v>
      </c>
      <c r="E11" s="2954" t="s">
        <v>3064</v>
      </c>
      <c r="F11" s="2953"/>
      <c r="I11" s="2943"/>
      <c r="J11" s="2978" t="s">
        <v>3127</v>
      </c>
      <c r="K11" s="2943">
        <f>SUMIF($C$3:$C$20,"商业",$D$3:$D$20)</f>
        <v>14169.46</v>
      </c>
      <c r="L11" s="2981">
        <v>8131.38</v>
      </c>
      <c r="M11" s="2982">
        <f>K11-L11</f>
        <v>6038.079999999999</v>
      </c>
      <c r="N11" s="2941" t="s">
        <v>3171</v>
      </c>
    </row>
    <row r="12" spans="1:14">
      <c r="A12" s="2953">
        <v>10</v>
      </c>
      <c r="B12" s="2954" t="s">
        <v>3068</v>
      </c>
      <c r="C12" s="2954" t="s">
        <v>3069</v>
      </c>
      <c r="D12" s="2953">
        <v>9007.59</v>
      </c>
      <c r="E12" s="2953"/>
      <c r="F12" s="2953"/>
      <c r="I12" s="2943"/>
      <c r="J12" s="2978" t="s">
        <v>3128</v>
      </c>
      <c r="K12" s="2943">
        <f>SUMIF($C$3:$C$20,"商务办公",$D$3:$D$20)+SUMIF($C$3:$C$20,"其他",$D$3:$D$20)</f>
        <v>53832.429999999986</v>
      </c>
      <c r="L12" s="2943">
        <v>0</v>
      </c>
      <c r="M12" s="2982">
        <f t="shared" ref="M12:M13" si="0">K12-L12</f>
        <v>53832.429999999986</v>
      </c>
    </row>
    <row r="13" spans="1:14">
      <c r="A13" s="2953">
        <v>11</v>
      </c>
      <c r="B13" s="2954" t="s">
        <v>3068</v>
      </c>
      <c r="C13" s="2954" t="s">
        <v>3062</v>
      </c>
      <c r="D13" s="2953">
        <v>43.32</v>
      </c>
      <c r="E13" s="2953"/>
      <c r="F13" s="2953">
        <f>SUM(D11:D13)</f>
        <v>10271.98</v>
      </c>
      <c r="G13" s="2979">
        <v>0.6</v>
      </c>
      <c r="I13" s="2943"/>
      <c r="J13" s="2978" t="s">
        <v>3129</v>
      </c>
      <c r="K13" s="2943">
        <f>SUMIF($C$21:$C$27,"商业",$D$21:$D$27)+SUMIF($C$21:$C$27,"文体娱乐中心",$D$21:$D$27)</f>
        <v>8807.15</v>
      </c>
      <c r="L13" s="2943">
        <f>K3</f>
        <v>230.64</v>
      </c>
      <c r="M13" s="2982">
        <f t="shared" si="0"/>
        <v>8576.51</v>
      </c>
      <c r="N13" s="2941" t="s">
        <v>3172</v>
      </c>
    </row>
    <row r="14" spans="1:14">
      <c r="A14" s="2961">
        <v>12</v>
      </c>
      <c r="B14" s="2962" t="s">
        <v>3070</v>
      </c>
      <c r="C14" s="2962" t="s">
        <v>3058</v>
      </c>
      <c r="D14" s="2961">
        <v>891.71</v>
      </c>
      <c r="E14" s="2962" t="s">
        <v>3064</v>
      </c>
      <c r="F14" s="2961"/>
      <c r="I14" s="2943"/>
      <c r="J14" s="2978" t="s">
        <v>3130</v>
      </c>
      <c r="K14" s="2943">
        <f>SUMIF($C$21:$C$27,"商务办公",$D$21:$D$27)+SUMIF($C$21:$C$27,"其他",$D$21:$D$27)</f>
        <v>27078.219999999998</v>
      </c>
      <c r="L14" s="2943">
        <f>SUM(K4:K7)</f>
        <v>1633.54</v>
      </c>
      <c r="M14" s="2982">
        <f>K14-L14</f>
        <v>25444.679999999997</v>
      </c>
      <c r="N14" s="2941" t="s">
        <v>3172</v>
      </c>
    </row>
    <row r="15" spans="1:14">
      <c r="A15" s="2961">
        <v>13</v>
      </c>
      <c r="B15" s="2962" t="s">
        <v>3071</v>
      </c>
      <c r="C15" s="2962" t="s">
        <v>3060</v>
      </c>
      <c r="D15" s="2961">
        <v>4541.24</v>
      </c>
      <c r="E15" s="2961"/>
      <c r="F15" s="2961">
        <f>SUM(D14:D15)</f>
        <v>5432.95</v>
      </c>
      <c r="G15" s="2979">
        <v>0.6</v>
      </c>
      <c r="I15" s="2943"/>
      <c r="J15" s="2978" t="s">
        <v>3133</v>
      </c>
      <c r="K15" s="2943">
        <f>SUM(K11:K14)</f>
        <v>103887.25999999998</v>
      </c>
      <c r="L15" s="2981">
        <f>SUM(L11:L14)</f>
        <v>9995.5600000000013</v>
      </c>
      <c r="M15" s="2982">
        <f>SUM(M11:M14)</f>
        <v>93891.699999999983</v>
      </c>
    </row>
    <row r="16" spans="1:14">
      <c r="A16" s="2959">
        <v>14</v>
      </c>
      <c r="B16" s="2960" t="s">
        <v>3072</v>
      </c>
      <c r="C16" s="2960" t="s">
        <v>3060</v>
      </c>
      <c r="D16" s="2959">
        <v>8183.63</v>
      </c>
      <c r="E16" s="2959"/>
      <c r="F16" s="2959"/>
    </row>
    <row r="17" spans="1:12">
      <c r="A17" s="2959">
        <v>15</v>
      </c>
      <c r="B17" s="2960" t="s">
        <v>3072</v>
      </c>
      <c r="C17" s="2960" t="s">
        <v>3058</v>
      </c>
      <c r="D17" s="2959">
        <f>1348.65+112.17</f>
        <v>1460.8200000000002</v>
      </c>
      <c r="E17" s="2960" t="s">
        <v>3064</v>
      </c>
      <c r="F17" s="2959"/>
    </row>
    <row r="18" spans="1:12">
      <c r="A18" s="2959">
        <v>16</v>
      </c>
      <c r="B18" s="2960" t="s">
        <v>3073</v>
      </c>
      <c r="C18" s="2960" t="s">
        <v>3062</v>
      </c>
      <c r="D18" s="2959">
        <v>43.97</v>
      </c>
      <c r="E18" s="2959"/>
      <c r="F18" s="2959">
        <f>SUM(D16:D18)</f>
        <v>9688.42</v>
      </c>
      <c r="G18" s="2979">
        <v>0.6</v>
      </c>
    </row>
    <row r="19" spans="1:12">
      <c r="A19" s="2957">
        <v>17</v>
      </c>
      <c r="B19" s="2958" t="s">
        <v>3074</v>
      </c>
      <c r="C19" s="2958" t="s">
        <v>3076</v>
      </c>
      <c r="D19" s="2957">
        <v>4572.09</v>
      </c>
      <c r="E19" s="2957"/>
      <c r="F19" s="2957"/>
    </row>
    <row r="20" spans="1:12">
      <c r="A20" s="2957">
        <v>18</v>
      </c>
      <c r="B20" s="2958" t="s">
        <v>3075</v>
      </c>
      <c r="C20" s="2958" t="s">
        <v>3058</v>
      </c>
      <c r="D20" s="2957">
        <v>891.66</v>
      </c>
      <c r="E20" s="2958" t="s">
        <v>3064</v>
      </c>
      <c r="F20" s="2957">
        <f>SUM(D19:D20)</f>
        <v>5463.75</v>
      </c>
      <c r="G20" s="2979">
        <v>0.6</v>
      </c>
    </row>
    <row r="21" spans="1:12">
      <c r="A21" s="2947">
        <v>19</v>
      </c>
      <c r="B21" s="2948" t="s">
        <v>3077</v>
      </c>
      <c r="C21" s="2948" t="s">
        <v>3058</v>
      </c>
      <c r="D21" s="2947">
        <v>748.86</v>
      </c>
      <c r="E21" s="2948" t="s">
        <v>3064</v>
      </c>
      <c r="F21" s="2947"/>
      <c r="G21" s="2979">
        <f>ROUND((F5*G5+F8*G8+F10*G10+F13*G13+F15*G15+F18*G18+F20*G20)/H21,2)</f>
        <v>0.42</v>
      </c>
      <c r="H21">
        <f>SUM(F5:F20)</f>
        <v>68001.89</v>
      </c>
    </row>
    <row r="22" spans="1:12">
      <c r="A22" s="2947">
        <v>20</v>
      </c>
      <c r="B22" s="2948" t="s">
        <v>3077</v>
      </c>
      <c r="C22" s="2948" t="s">
        <v>3078</v>
      </c>
      <c r="D22" s="2947">
        <v>4153.03</v>
      </c>
      <c r="E22" s="2948" t="s">
        <v>3081</v>
      </c>
      <c r="F22" s="2947"/>
      <c r="J22" s="2943"/>
      <c r="K22" s="2942" t="s">
        <v>3125</v>
      </c>
      <c r="L22" s="2942" t="s">
        <v>3139</v>
      </c>
    </row>
    <row r="23" spans="1:12">
      <c r="A23" s="2947">
        <v>21</v>
      </c>
      <c r="B23" s="2948" t="s">
        <v>3077</v>
      </c>
      <c r="C23" s="2948" t="s">
        <v>3079</v>
      </c>
      <c r="D23" s="2947">
        <v>16041.38</v>
      </c>
      <c r="E23" s="2947"/>
      <c r="F23" s="2947"/>
      <c r="J23" s="2942" t="s">
        <v>3136</v>
      </c>
      <c r="K23" s="2943">
        <v>6000</v>
      </c>
      <c r="L23" s="2983">
        <v>0</v>
      </c>
    </row>
    <row r="24" spans="1:12">
      <c r="A24" s="2947">
        <v>22</v>
      </c>
      <c r="B24" s="2948" t="s">
        <v>3077</v>
      </c>
      <c r="C24" s="2948" t="s">
        <v>3062</v>
      </c>
      <c r="D24" s="2947">
        <f>28.18+26.52</f>
        <v>54.7</v>
      </c>
      <c r="E24" s="2947"/>
      <c r="F24" s="2947">
        <f>SUM(D21:D24)</f>
        <v>20997.969999999998</v>
      </c>
      <c r="J24" s="2942" t="s">
        <v>3138</v>
      </c>
      <c r="K24" s="2943">
        <f>L11-K23</f>
        <v>2131.38</v>
      </c>
      <c r="L24" s="2983">
        <f>G8</f>
        <v>0.6</v>
      </c>
    </row>
    <row r="25" spans="1:12">
      <c r="A25" s="2955">
        <v>23</v>
      </c>
      <c r="B25" s="2956" t="s">
        <v>3080</v>
      </c>
      <c r="C25" s="2956" t="s">
        <v>3078</v>
      </c>
      <c r="D25" s="2955">
        <v>3905.26</v>
      </c>
      <c r="E25" s="2956" t="s">
        <v>3081</v>
      </c>
      <c r="F25" s="2955"/>
      <c r="J25" s="2977"/>
      <c r="K25" s="2943">
        <f>SUM(K23:K24)</f>
        <v>8131.38</v>
      </c>
      <c r="L25" s="2983">
        <f>ROUND((K23*L23+K24*L24)/K25,2)</f>
        <v>0.16</v>
      </c>
    </row>
    <row r="26" spans="1:12">
      <c r="A26" s="2955">
        <v>24</v>
      </c>
      <c r="B26" s="2956" t="s">
        <v>3080</v>
      </c>
      <c r="C26" s="2956" t="s">
        <v>3060</v>
      </c>
      <c r="D26" s="2955">
        <v>10948.61</v>
      </c>
      <c r="E26" s="2955"/>
      <c r="F26" s="2955"/>
    </row>
    <row r="27" spans="1:12">
      <c r="A27" s="2955">
        <v>25</v>
      </c>
      <c r="B27" s="2956" t="s">
        <v>3080</v>
      </c>
      <c r="C27" s="2956" t="s">
        <v>3062</v>
      </c>
      <c r="D27" s="2956">
        <f>11.27+22.26</f>
        <v>33.53</v>
      </c>
      <c r="E27" s="2955"/>
      <c r="F27" s="2955">
        <f>SUM(D25:D27)</f>
        <v>14887.400000000001</v>
      </c>
      <c r="G27" s="2941"/>
    </row>
    <row r="28" spans="1:12">
      <c r="A28" s="3088" t="s">
        <v>3123</v>
      </c>
      <c r="B28" s="3089"/>
      <c r="C28" s="3090"/>
      <c r="D28" s="2943">
        <f>SUM(D3:D27)</f>
        <v>103887.26</v>
      </c>
      <c r="E28" s="2943"/>
      <c r="F28" s="2943">
        <f>SUM(F5:F27)</f>
        <v>103887.26000000001</v>
      </c>
    </row>
    <row r="29" spans="1:12">
      <c r="A29" s="2943">
        <v>1</v>
      </c>
      <c r="B29" s="2942" t="s">
        <v>3117</v>
      </c>
      <c r="C29" s="2942" t="s">
        <v>3118</v>
      </c>
      <c r="D29" s="2943">
        <v>4959.53</v>
      </c>
    </row>
    <row r="30" spans="1:12">
      <c r="A30" s="2943">
        <v>2</v>
      </c>
      <c r="B30" s="2942" t="s">
        <v>3117</v>
      </c>
      <c r="C30" s="2942" t="s">
        <v>3119</v>
      </c>
      <c r="D30" s="2943">
        <v>18914.39</v>
      </c>
    </row>
    <row r="31" spans="1:12">
      <c r="A31" s="2943">
        <v>3</v>
      </c>
      <c r="B31" s="2978" t="s">
        <v>3117</v>
      </c>
      <c r="C31" s="2978" t="s">
        <v>3120</v>
      </c>
      <c r="D31" s="2943">
        <f>81.2+4578.66</f>
        <v>4659.8599999999997</v>
      </c>
    </row>
    <row r="32" spans="1:12">
      <c r="A32" s="3088" t="s">
        <v>3123</v>
      </c>
      <c r="B32" s="3089"/>
      <c r="C32" s="3090"/>
      <c r="D32" s="2977">
        <f>SUM(D29:D31)</f>
        <v>28533.78</v>
      </c>
    </row>
    <row r="35" spans="3:3">
      <c r="C35">
        <f>167*D30/10000</f>
        <v>315.87031300000001</v>
      </c>
    </row>
    <row r="36" spans="3:3">
      <c r="C36">
        <f>2242*D29/10000</f>
        <v>1111.9266259999999</v>
      </c>
    </row>
  </sheetData>
  <mergeCells count="3">
    <mergeCell ref="A1:F1"/>
    <mergeCell ref="A32:C32"/>
    <mergeCell ref="A28:C28"/>
  </mergeCells>
  <phoneticPr fontId="143" type="noConversion"/>
  <pageMargins left="0.7" right="0.7" top="0.75" bottom="0.75" header="0.3" footer="0.3"/>
  <pageSetup paperSize="9" orientation="portrait" verticalDpi="0" r:id="rId1"/>
  <ignoredErrors>
    <ignoredError sqref="F15 F1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1"/>
  <sheetViews>
    <sheetView workbookViewId="0">
      <selection activeCell="H10" sqref="H10"/>
    </sheetView>
  </sheetViews>
  <sheetFormatPr defaultRowHeight="13.5"/>
  <cols>
    <col min="2" max="2" width="12.875" customWidth="1"/>
    <col min="3" max="3" width="15.125" bestFit="1" customWidth="1"/>
    <col min="6" max="6" width="12.25" customWidth="1"/>
  </cols>
  <sheetData>
    <row r="3" spans="1:8">
      <c r="A3">
        <v>1</v>
      </c>
      <c r="B3" s="2941" t="s">
        <v>3152</v>
      </c>
    </row>
    <row r="4" spans="1:8">
      <c r="A4">
        <v>2</v>
      </c>
      <c r="B4" s="2941" t="s">
        <v>3161</v>
      </c>
    </row>
    <row r="5" spans="1:8">
      <c r="A5">
        <v>3</v>
      </c>
      <c r="B5" s="2941" t="s">
        <v>3162</v>
      </c>
    </row>
    <row r="6" spans="1:8">
      <c r="A6">
        <v>4</v>
      </c>
      <c r="B6" s="2941" t="s">
        <v>3163</v>
      </c>
    </row>
    <row r="9" spans="1:8" ht="15.75">
      <c r="B9" s="2987"/>
      <c r="C9" s="2987" t="s">
        <v>3160</v>
      </c>
      <c r="D9" s="2987" t="s">
        <v>3154</v>
      </c>
      <c r="E9" s="2987" t="s">
        <v>3156</v>
      </c>
      <c r="F9" s="2987" t="s">
        <v>3158</v>
      </c>
    </row>
    <row r="10" spans="1:8" ht="15.75">
      <c r="B10" s="3091" t="s">
        <v>3159</v>
      </c>
      <c r="C10" s="2987" t="s">
        <v>3155</v>
      </c>
      <c r="D10" s="2987">
        <v>49363</v>
      </c>
      <c r="E10" s="2987">
        <v>2.1</v>
      </c>
      <c r="F10" s="2987">
        <v>103662</v>
      </c>
      <c r="G10">
        <f>面积!F28</f>
        <v>103887.26000000001</v>
      </c>
      <c r="H10">
        <f>G10-F10</f>
        <v>225.26000000000931</v>
      </c>
    </row>
    <row r="11" spans="1:8" ht="15.75">
      <c r="B11" s="3092"/>
      <c r="C11" s="2987" t="s">
        <v>3153</v>
      </c>
      <c r="D11" s="2987">
        <v>49362.58</v>
      </c>
      <c r="E11" s="2987" t="s">
        <v>3157</v>
      </c>
      <c r="F11" s="2987" t="s">
        <v>3157</v>
      </c>
    </row>
  </sheetData>
  <mergeCells count="1">
    <mergeCell ref="B10:B11"/>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1926</v>
      </c>
      <c r="B1" s="1390"/>
      <c r="C1" s="1390"/>
      <c r="D1" s="1390"/>
      <c r="E1" s="1390"/>
      <c r="F1" s="1390"/>
      <c r="G1" s="1390"/>
      <c r="H1" s="1390"/>
      <c r="I1" s="1390"/>
      <c r="J1" s="1390"/>
      <c r="K1" s="1390"/>
      <c r="L1" s="1390"/>
      <c r="M1" s="1390"/>
      <c r="N1" s="1390"/>
      <c r="O1" s="1390"/>
      <c r="P1" s="1390"/>
    </row>
    <row r="2" spans="1:16" ht="15">
      <c r="A2" s="3102" t="s">
        <v>1927</v>
      </c>
      <c r="B2" s="3102"/>
      <c r="C2" s="3102"/>
      <c r="D2" s="965" t="s">
        <v>1903</v>
      </c>
      <c r="E2" s="2222" t="s">
        <v>1904</v>
      </c>
      <c r="F2" s="1390"/>
      <c r="G2" s="2223"/>
      <c r="H2" s="2224"/>
      <c r="I2" s="2225" t="s">
        <v>1928</v>
      </c>
      <c r="J2" s="1390"/>
      <c r="K2" s="1390"/>
      <c r="L2" s="1390"/>
      <c r="M2" s="1390"/>
      <c r="N2" s="1425"/>
      <c r="O2" s="1390"/>
      <c r="P2" s="1390"/>
    </row>
    <row r="3" spans="1:16" ht="15.75" thickBot="1">
      <c r="A3" s="3103" t="s">
        <v>1901</v>
      </c>
      <c r="B3" s="3103"/>
      <c r="C3" s="3103"/>
      <c r="D3" s="46">
        <f>'数据-基础表'!AY6</f>
        <v>35985.589999999997</v>
      </c>
      <c r="E3" s="46">
        <f>'数据-基础表'!AZ5</f>
        <v>96535.67</v>
      </c>
      <c r="F3" s="1390"/>
      <c r="G3" s="1397"/>
      <c r="H3" s="1245" t="s">
        <v>1902</v>
      </c>
      <c r="I3" s="55">
        <f>ROUND('数据-基础表'!B3/'数据-基础表'!A3,2)</f>
        <v>2.68</v>
      </c>
      <c r="J3" s="1390"/>
      <c r="K3" s="1390"/>
      <c r="L3" s="1390"/>
      <c r="M3" s="1390"/>
      <c r="N3" s="1425"/>
      <c r="O3" s="1390"/>
      <c r="P3" s="1390"/>
    </row>
    <row r="4" spans="1:16" ht="15">
      <c r="A4" s="3104"/>
      <c r="B4" s="3105"/>
      <c r="C4" s="3106"/>
      <c r="D4" s="2226" t="s">
        <v>1903</v>
      </c>
      <c r="E4" s="2227" t="s">
        <v>1904</v>
      </c>
      <c r="F4" s="1390"/>
      <c r="G4" s="2228" t="s">
        <v>1929</v>
      </c>
      <c r="H4" s="1245" t="s">
        <v>1909</v>
      </c>
      <c r="I4" s="55">
        <f>ROUND(SUMIF('数据-基础表'!I9:AS9,"地上",'数据-基础表'!I5:AS5)/'数据-基础表'!A3,2)</f>
        <v>2.1</v>
      </c>
      <c r="J4" s="1390"/>
      <c r="K4" s="1390"/>
      <c r="L4" s="1390"/>
      <c r="M4" s="1390"/>
      <c r="N4" s="1425"/>
      <c r="O4" s="1390"/>
      <c r="P4" s="1390"/>
    </row>
    <row r="5" spans="1:16">
      <c r="A5" s="47" t="s">
        <v>1905</v>
      </c>
      <c r="B5" s="3107" t="s">
        <v>1906</v>
      </c>
      <c r="C5" s="3107"/>
      <c r="D5" s="48">
        <f>ROUND($D$3*E5/$E$3,2)</f>
        <v>0</v>
      </c>
      <c r="E5" s="49">
        <f>SUMIF('数据-基础表'!$11:$11,"住宅",'数据-基础表'!$5:$5)</f>
        <v>0</v>
      </c>
      <c r="F5" s="1390"/>
      <c r="G5" s="1397"/>
      <c r="H5" s="1245" t="s">
        <v>1902</v>
      </c>
      <c r="I5" s="55">
        <f>ROUND(E31/D31,2)</f>
        <v>2.68</v>
      </c>
      <c r="J5" s="1390"/>
      <c r="K5" s="1390"/>
      <c r="L5" s="1390"/>
      <c r="M5" s="1390"/>
      <c r="N5" s="1390"/>
      <c r="O5" s="1390"/>
      <c r="P5" s="1390"/>
    </row>
    <row r="6" spans="1:16" ht="15" thickBot="1">
      <c r="A6" s="2229"/>
      <c r="B6" s="3107" t="s">
        <v>1907</v>
      </c>
      <c r="C6" s="3107"/>
      <c r="D6" s="48">
        <f>ROUND($D$3*E6/$E$3,2)</f>
        <v>35985.589999999997</v>
      </c>
      <c r="E6" s="49">
        <f>E3-E5</f>
        <v>96535.67</v>
      </c>
      <c r="F6" s="1390"/>
      <c r="G6" s="2230" t="s">
        <v>1908</v>
      </c>
      <c r="H6" s="1397" t="s">
        <v>1909</v>
      </c>
      <c r="I6" s="937">
        <f>ROUND(F31/D31,2)</f>
        <v>1.89</v>
      </c>
      <c r="J6" s="1390"/>
      <c r="K6" s="1390"/>
      <c r="L6" s="1390"/>
      <c r="M6" s="1390"/>
      <c r="N6" s="1390"/>
      <c r="O6" s="1390"/>
      <c r="P6" s="1390"/>
    </row>
    <row r="7" spans="1:16" ht="15">
      <c r="A7" s="3099"/>
      <c r="B7" s="3100"/>
      <c r="C7" s="3101"/>
      <c r="D7" s="2226" t="s">
        <v>1903</v>
      </c>
      <c r="E7" s="2231" t="s">
        <v>1910</v>
      </c>
      <c r="F7" s="1390"/>
      <c r="G7" s="2223" t="s">
        <v>1911</v>
      </c>
      <c r="H7" s="64"/>
      <c r="I7" s="415"/>
      <c r="J7" s="1390"/>
      <c r="K7" s="1390"/>
      <c r="L7" s="1390"/>
      <c r="M7" s="1390"/>
      <c r="N7" s="1390"/>
      <c r="O7" s="1390"/>
      <c r="P7" s="1390"/>
    </row>
    <row r="8" spans="1:16">
      <c r="A8" s="47" t="s">
        <v>1912</v>
      </c>
      <c r="B8" s="50" t="s">
        <v>1913</v>
      </c>
      <c r="C8" s="48" t="s">
        <v>1914</v>
      </c>
      <c r="D8" s="48">
        <f t="shared" ref="D8:D15" si="0">ROUND($D$3*E8/$E$3,2)</f>
        <v>25349.06</v>
      </c>
      <c r="E8" s="51">
        <f>SUMIF('数据-基础表'!BB10:BK10,"地上",'数据-基础表'!BB5:BK5)</f>
        <v>68001.889999999985</v>
      </c>
      <c r="F8" s="1390"/>
      <c r="G8" s="2232"/>
      <c r="H8" s="2232"/>
      <c r="I8" s="1390"/>
      <c r="J8" s="1390"/>
      <c r="K8" s="1390"/>
      <c r="L8" s="1390"/>
      <c r="M8" s="1390"/>
      <c r="N8" s="1390"/>
      <c r="O8" s="1390"/>
      <c r="P8" s="1390"/>
    </row>
    <row r="9" spans="1:16">
      <c r="A9" s="2233"/>
      <c r="B9" s="2234"/>
      <c r="C9" s="48" t="s">
        <v>1915</v>
      </c>
      <c r="D9" s="48">
        <f t="shared" si="0"/>
        <v>0</v>
      </c>
      <c r="E9" s="52">
        <v>0</v>
      </c>
      <c r="F9" s="1390"/>
      <c r="G9" s="2232"/>
      <c r="H9" s="2232"/>
      <c r="I9" s="1390"/>
      <c r="J9" s="1390"/>
      <c r="K9" s="1390"/>
      <c r="L9" s="1390"/>
      <c r="M9" s="1390"/>
      <c r="N9" s="1390"/>
      <c r="O9" s="1390"/>
      <c r="P9" s="1390"/>
    </row>
    <row r="10" spans="1:16">
      <c r="A10" s="2233"/>
      <c r="B10" s="2234"/>
      <c r="C10" s="48" t="s">
        <v>1924</v>
      </c>
      <c r="D10" s="48">
        <f t="shared" si="0"/>
        <v>8899.48</v>
      </c>
      <c r="E10" s="51">
        <f>SUMPRODUCT(('数据-基础表'!BB10:BK10="地下")*('数据-基础表'!BB11:BK11="商业")*('数据-基础表'!BB5:BK5))</f>
        <v>23873.919999999998</v>
      </c>
      <c r="F10" s="1390"/>
      <c r="G10" s="2232"/>
      <c r="H10" s="2232"/>
      <c r="I10" s="1390"/>
      <c r="J10" s="1390"/>
      <c r="K10" s="1390"/>
      <c r="L10" s="1390"/>
      <c r="M10" s="1390"/>
      <c r="N10" s="1390"/>
      <c r="O10" s="1390"/>
      <c r="P10" s="1390"/>
    </row>
    <row r="11" spans="1:16">
      <c r="A11" s="2233"/>
      <c r="B11" s="2234"/>
      <c r="C11" s="48" t="s">
        <v>1916</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1917</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1918</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1930</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1925</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1919</v>
      </c>
      <c r="D16" s="50">
        <f>SUM(D8:D15)</f>
        <v>34248.54</v>
      </c>
      <c r="E16" s="53">
        <f>SUM(E8:E15)</f>
        <v>91875.809999999983</v>
      </c>
      <c r="F16" s="1390"/>
      <c r="G16" s="2232"/>
      <c r="H16" s="2235" t="s">
        <v>1931</v>
      </c>
      <c r="I16" s="2236"/>
      <c r="J16" s="1390"/>
      <c r="K16" s="3096" t="s">
        <v>1931</v>
      </c>
      <c r="L16" s="3097"/>
      <c r="M16" s="3097"/>
      <c r="N16" s="3097"/>
      <c r="O16" s="3097"/>
      <c r="P16" s="3098"/>
    </row>
    <row r="17" spans="1:19" ht="15">
      <c r="A17" s="2237" t="s">
        <v>1932</v>
      </c>
      <c r="B17" s="2238" t="s">
        <v>1933</v>
      </c>
      <c r="C17" s="2239" t="s">
        <v>1934</v>
      </c>
      <c r="D17" s="2240" t="s">
        <v>1922</v>
      </c>
      <c r="E17" s="2241" t="s">
        <v>1923</v>
      </c>
      <c r="F17" s="2242"/>
      <c r="G17" s="2243"/>
      <c r="H17" s="2244" t="s">
        <v>1935</v>
      </c>
      <c r="I17" s="2245" t="s">
        <v>1920</v>
      </c>
      <c r="J17" s="1390"/>
      <c r="K17" s="3093" t="s">
        <v>1936</v>
      </c>
      <c r="L17" s="3094"/>
      <c r="M17" s="3095"/>
      <c r="N17" s="3093" t="s">
        <v>1937</v>
      </c>
      <c r="O17" s="3094"/>
      <c r="P17" s="3095"/>
      <c r="R17" s="2223" t="s">
        <v>1938</v>
      </c>
      <c r="S17" s="64"/>
    </row>
    <row r="18" spans="1:19" ht="15">
      <c r="A18" s="2233"/>
      <c r="B18" s="2246"/>
      <c r="C18" s="2247"/>
      <c r="D18" s="2248"/>
      <c r="E18" s="2249" t="s">
        <v>1939</v>
      </c>
      <c r="F18" s="2250" t="s">
        <v>1940</v>
      </c>
      <c r="G18" s="2251" t="s">
        <v>1941</v>
      </c>
      <c r="H18" s="1260" t="s">
        <v>1942</v>
      </c>
      <c r="I18" s="2252" t="s">
        <v>1943</v>
      </c>
      <c r="J18" s="1390"/>
      <c r="K18" s="1260" t="s">
        <v>1944</v>
      </c>
      <c r="L18" s="2253" t="s">
        <v>1945</v>
      </c>
      <c r="M18" s="1044" t="s">
        <v>1946</v>
      </c>
      <c r="N18" s="1260" t="s">
        <v>1944</v>
      </c>
      <c r="O18" s="2253" t="s">
        <v>1945</v>
      </c>
      <c r="P18" s="1044" t="s">
        <v>1946</v>
      </c>
      <c r="R18" s="1245" t="s">
        <v>1947</v>
      </c>
      <c r="S18" s="1245" t="s">
        <v>1948</v>
      </c>
    </row>
    <row r="19" spans="1:19">
      <c r="A19" s="2254"/>
      <c r="B19" s="50" t="s">
        <v>1921</v>
      </c>
      <c r="C19" s="2255" t="str">
        <f>'数据-基础表'!C13</f>
        <v>皇冠酒店</v>
      </c>
      <c r="D19" s="48">
        <f>ROUND($D$3*E19/$E$3,2)</f>
        <v>31217.4</v>
      </c>
      <c r="E19" s="56">
        <f t="shared" ref="E19:E26" si="1">SUM(F19:G19)</f>
        <v>83744.429999999993</v>
      </c>
      <c r="F19" s="57">
        <f>'数据-基础表'!I13</f>
        <v>59870.509999999987</v>
      </c>
      <c r="G19" s="58">
        <f>'数据-基础表'!K13</f>
        <v>23873.919999999998</v>
      </c>
      <c r="H19" s="718">
        <f>ROUND($D$3*I19/$E$3,2)</f>
        <v>1583.32</v>
      </c>
      <c r="I19" s="51">
        <f t="shared" ref="I19:I26" si="2">IF($I$17="自定义",P19,M19)</f>
        <v>4247.4399999999996</v>
      </c>
      <c r="J19" s="1390"/>
      <c r="K19" s="1389">
        <f t="shared" ref="K19:K26" si="3">ROUND(E$28*E19/E$27,2)</f>
        <v>4247.4399999999996</v>
      </c>
      <c r="L19" s="1245">
        <f t="shared" ref="L19:L26" si="4">ROUND(IF(COUNTIF(C19,"*住宅*")&gt;0,E$29*E19/E$32,0),2)</f>
        <v>0</v>
      </c>
      <c r="M19" s="1401">
        <f>K19+L19</f>
        <v>4247.4399999999996</v>
      </c>
      <c r="N19" s="2256"/>
      <c r="O19" s="2257"/>
      <c r="P19" s="1401">
        <f>N19+O19</f>
        <v>0</v>
      </c>
      <c r="R19" s="1245">
        <f t="shared" ref="R19:S26" si="5">D19+H19</f>
        <v>32800.720000000001</v>
      </c>
      <c r="S19" s="1246">
        <f t="shared" si="5"/>
        <v>87991.87</v>
      </c>
    </row>
    <row r="20" spans="1:19">
      <c r="A20" s="2258"/>
      <c r="B20" s="50" t="s">
        <v>1949</v>
      </c>
      <c r="C20" s="2255" t="str">
        <f>'数据-基础表'!C14</f>
        <v>回迁商业</v>
      </c>
      <c r="D20" s="48">
        <f t="shared" ref="D20:D26" si="6">ROUND($D$3*E20/$E$3,2)</f>
        <v>3031.13</v>
      </c>
      <c r="E20" s="56">
        <f t="shared" si="1"/>
        <v>8131.38</v>
      </c>
      <c r="F20" s="57">
        <f>'数据-基础表'!I14</f>
        <v>8131.38</v>
      </c>
      <c r="G20" s="58"/>
      <c r="H20" s="718">
        <f t="shared" ref="H20:H26" si="7">ROUND($D$3*I20/$E$3,2)</f>
        <v>153.74</v>
      </c>
      <c r="I20" s="51">
        <f t="shared" si="2"/>
        <v>412.42</v>
      </c>
      <c r="J20" s="1390"/>
      <c r="K20" s="1389">
        <f t="shared" si="3"/>
        <v>412.42</v>
      </c>
      <c r="L20" s="1245">
        <f t="shared" si="4"/>
        <v>0</v>
      </c>
      <c r="M20" s="1401">
        <f t="shared" ref="M20:M26" si="8">K20+L20</f>
        <v>412.42</v>
      </c>
      <c r="N20" s="2256"/>
      <c r="O20" s="2257"/>
      <c r="P20" s="1401">
        <f t="shared" ref="P20:P26" si="9">N20+O20</f>
        <v>0</v>
      </c>
      <c r="R20" s="1245">
        <f t="shared" si="5"/>
        <v>3184.87</v>
      </c>
      <c r="S20" s="1246">
        <f t="shared" si="5"/>
        <v>8543.7999999999993</v>
      </c>
    </row>
    <row r="21" spans="1:19">
      <c r="A21" s="2258"/>
      <c r="B21" s="50" t="s">
        <v>1949</v>
      </c>
      <c r="C21" s="2255"/>
      <c r="D21" s="48">
        <f t="shared" si="6"/>
        <v>0</v>
      </c>
      <c r="E21" s="56">
        <f t="shared" si="1"/>
        <v>0</v>
      </c>
      <c r="F21" s="57"/>
      <c r="G21" s="58"/>
      <c r="H21" s="718">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1949</v>
      </c>
      <c r="C22" s="60"/>
      <c r="D22" s="48">
        <f t="shared" si="6"/>
        <v>0</v>
      </c>
      <c r="E22" s="56">
        <f t="shared" si="1"/>
        <v>0</v>
      </c>
      <c r="F22" s="61"/>
      <c r="G22" s="62"/>
      <c r="H22" s="718">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1949</v>
      </c>
      <c r="C23" s="60"/>
      <c r="D23" s="48">
        <f>ROUND($D$3*E23/$E$3,2)</f>
        <v>0</v>
      </c>
      <c r="E23" s="56">
        <f>SUM(F23:G23)</f>
        <v>0</v>
      </c>
      <c r="F23" s="61"/>
      <c r="G23" s="62"/>
      <c r="H23" s="718">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1949</v>
      </c>
      <c r="C24" s="60"/>
      <c r="D24" s="48">
        <f>ROUND($D$3*E24/$E$3,2)</f>
        <v>0</v>
      </c>
      <c r="E24" s="56">
        <f>SUM(F24:G24)</f>
        <v>0</v>
      </c>
      <c r="F24" s="61"/>
      <c r="G24" s="62"/>
      <c r="H24" s="718">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1949</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1949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1950</v>
      </c>
      <c r="D27" s="1391">
        <f>SUM(D19:D26)</f>
        <v>34248.53</v>
      </c>
      <c r="E27" s="1392">
        <f>IF(SUM(E19:E26)='数据-基础表'!BA5,SUM(E19:E26),IF(F27="地上面积有误","面积有误","地下面积有误"))</f>
        <v>91875.81</v>
      </c>
      <c r="F27" s="1391">
        <f>IF(SUM(F19:F26)=E8,SUM(F19:F26),"地上面积有误")</f>
        <v>68001.889999999985</v>
      </c>
      <c r="G27" s="1393">
        <f>SUM(G19:G26)</f>
        <v>23873.919999999998</v>
      </c>
      <c r="H27" s="1394">
        <f>SUM(H19:H26)</f>
        <v>1737.06</v>
      </c>
      <c r="I27" s="1395">
        <f>SUM(I19:I26)</f>
        <v>4659.8599999999997</v>
      </c>
      <c r="J27" s="1390"/>
      <c r="K27" s="1398">
        <f>SUM(K19:K26)</f>
        <v>4659.8599999999997</v>
      </c>
      <c r="L27" s="1399">
        <f>SUM(L19:L26)</f>
        <v>0</v>
      </c>
      <c r="M27" s="1402">
        <f>SUM(M19:M26)</f>
        <v>4659.8599999999997</v>
      </c>
      <c r="N27" s="1398">
        <f t="shared" ref="N27:O27" si="10">SUM(N19:N26)</f>
        <v>0</v>
      </c>
      <c r="O27" s="1399">
        <f t="shared" si="10"/>
        <v>0</v>
      </c>
      <c r="P27" s="1400">
        <f>SUM(P19:P26)</f>
        <v>0</v>
      </c>
      <c r="R27" s="1247">
        <f>IF(SUM(R19:R26)=$D$3,SUM(R19:R26),SUM(R19:R26)&amp;"误差"&amp;ROUND(SUM(R19:R26)-$D$3,2))</f>
        <v>35985.590000000004</v>
      </c>
      <c r="S27" s="1245">
        <f>IF(SUM(S19:S26)=$E$3,SUM(S19:S26),SUM(S19:S26)&amp;"误差"&amp;ROUND(SUM(S19:S26)-E3,2))</f>
        <v>96535.67</v>
      </c>
    </row>
    <row r="28" spans="1:19">
      <c r="A28" s="2258"/>
      <c r="B28" s="50" t="s">
        <v>1951</v>
      </c>
      <c r="C28" s="1257" t="s">
        <v>1952</v>
      </c>
      <c r="D28" s="48">
        <f>ROUND($D$3*E28/$E$3,2)</f>
        <v>1737.06</v>
      </c>
      <c r="E28" s="56">
        <f>SUM(F28:G28)</f>
        <v>4659.8599999999997</v>
      </c>
      <c r="F28" s="64">
        <f>'数据-基础表'!BQ5+'数据-基础表'!BS5</f>
        <v>0</v>
      </c>
      <c r="G28" s="65">
        <f>'数据-基础表'!BR5+'数据-基础表'!BT5</f>
        <v>4659.8599999999997</v>
      </c>
      <c r="H28" s="1390"/>
      <c r="I28" s="1390"/>
      <c r="J28" s="1390"/>
      <c r="K28" s="1390"/>
      <c r="L28" s="1390"/>
      <c r="M28" s="1390"/>
      <c r="N28" s="1390"/>
      <c r="O28" s="1390"/>
      <c r="P28" s="1390"/>
    </row>
    <row r="29" spans="1:19">
      <c r="A29" s="2258"/>
      <c r="B29" s="50" t="s">
        <v>1951</v>
      </c>
      <c r="C29" s="2262" t="s">
        <v>1953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1950</v>
      </c>
      <c r="D30" s="1391">
        <f>SUM(D28:D29)</f>
        <v>1737.06</v>
      </c>
      <c r="E30" s="1391">
        <f>SUM(E28:E29)</f>
        <v>4659.8599999999997</v>
      </c>
      <c r="F30" s="1391">
        <f>SUM(F28:F29)</f>
        <v>0</v>
      </c>
      <c r="G30" s="1393">
        <f>SUM(G28:G29)</f>
        <v>4659.8599999999997</v>
      </c>
      <c r="H30" s="1390"/>
      <c r="I30" s="1390"/>
      <c r="J30" s="1390"/>
      <c r="K30" s="1390"/>
      <c r="L30" s="1390"/>
      <c r="M30" s="1390"/>
      <c r="N30" s="1390"/>
      <c r="O30" s="1390"/>
      <c r="P30" s="1390"/>
    </row>
    <row r="31" spans="1:19" ht="15.75" thickBot="1">
      <c r="A31" s="2264"/>
      <c r="B31" s="2265"/>
      <c r="C31" s="1005" t="s">
        <v>1954</v>
      </c>
      <c r="D31" s="724">
        <f>D27+D30</f>
        <v>35985.589999999997</v>
      </c>
      <c r="E31" s="724">
        <f>E27+E30</f>
        <v>96535.67</v>
      </c>
      <c r="F31" s="725">
        <f>F27+F30</f>
        <v>68001.889999999985</v>
      </c>
      <c r="G31" s="726">
        <f>G27+G30</f>
        <v>28533.78</v>
      </c>
      <c r="H31" s="1390"/>
      <c r="I31" s="1390"/>
      <c r="J31" s="1390"/>
      <c r="K31" s="1390"/>
      <c r="L31" s="1390"/>
      <c r="M31" s="1390"/>
      <c r="N31" s="1390"/>
      <c r="O31" s="1390"/>
      <c r="P31" s="1390"/>
    </row>
    <row r="32" spans="1:19">
      <c r="A32" s="2228"/>
      <c r="B32" s="2228" t="s">
        <v>1955</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41" sqref="O4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1956</v>
      </c>
      <c r="B1" s="727"/>
      <c r="C1" s="1579"/>
      <c r="D1" s="2268"/>
      <c r="E1" s="1579"/>
      <c r="F1" s="1579"/>
      <c r="G1" s="1579"/>
      <c r="H1" s="1579"/>
      <c r="I1" s="1579"/>
      <c r="J1" s="1579"/>
      <c r="K1" s="163"/>
      <c r="L1" s="163"/>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1957</v>
      </c>
      <c r="B2" s="1264">
        <f>项目基本情况!D3</f>
        <v>43318</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1958</v>
      </c>
      <c r="B4" s="2276"/>
      <c r="C4" s="2277"/>
      <c r="D4" s="2278"/>
      <c r="E4" s="2277" t="s">
        <v>1959</v>
      </c>
      <c r="F4" s="2277"/>
      <c r="G4" s="2277"/>
      <c r="H4" s="2277"/>
      <c r="I4" s="2277"/>
      <c r="J4" s="2279"/>
      <c r="K4" s="2280"/>
      <c r="L4" s="2281"/>
      <c r="M4" s="2277"/>
      <c r="N4" s="2277" t="s">
        <v>1960</v>
      </c>
      <c r="O4" s="2277"/>
      <c r="P4" s="2277"/>
      <c r="Q4" s="2277"/>
      <c r="R4" s="2277"/>
      <c r="S4" s="2279"/>
      <c r="T4" s="2282" t="str">
        <f>'数据-汇总表'!I17</f>
        <v>按面积比例</v>
      </c>
      <c r="U4" s="2276" t="s">
        <v>1961</v>
      </c>
      <c r="V4" s="2277"/>
      <c r="W4" s="2277"/>
      <c r="X4" s="2277"/>
      <c r="Y4" s="2279"/>
      <c r="Z4" s="2239" t="s">
        <v>1962</v>
      </c>
      <c r="AA4" s="2239"/>
      <c r="AB4" s="2239"/>
      <c r="AC4" s="2239"/>
      <c r="AD4" s="2239"/>
      <c r="AE4" s="2237" t="s">
        <v>1963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1964</v>
      </c>
      <c r="B5" s="2285" t="s">
        <v>1965</v>
      </c>
      <c r="C5" s="2286" t="s">
        <v>1966</v>
      </c>
      <c r="D5" s="2287" t="s">
        <v>1967</v>
      </c>
      <c r="E5" s="1266" t="s">
        <v>1968</v>
      </c>
      <c r="F5" s="2288" t="s">
        <v>1969</v>
      </c>
      <c r="G5" s="1266" t="s">
        <v>1970</v>
      </c>
      <c r="H5" s="1266" t="s">
        <v>1971</v>
      </c>
      <c r="I5" s="1266" t="s">
        <v>1972</v>
      </c>
      <c r="J5" s="2289" t="s">
        <v>1973</v>
      </c>
      <c r="K5" s="2290" t="s">
        <v>1974</v>
      </c>
      <c r="L5" s="2291" t="s">
        <v>1975</v>
      </c>
      <c r="M5" s="2292" t="s">
        <v>1976</v>
      </c>
      <c r="N5" s="2293" t="s">
        <v>3121</v>
      </c>
      <c r="O5" s="2291" t="s">
        <v>1977</v>
      </c>
      <c r="P5" s="2294" t="s">
        <v>1978</v>
      </c>
      <c r="Q5" s="69" t="s">
        <v>1979</v>
      </c>
      <c r="R5" s="2295" t="s">
        <v>1980</v>
      </c>
      <c r="S5" s="2296" t="s">
        <v>1981</v>
      </c>
      <c r="T5" s="2297" t="s">
        <v>1982</v>
      </c>
      <c r="U5" s="1265" t="s">
        <v>1983</v>
      </c>
      <c r="V5" s="1266" t="s">
        <v>1984</v>
      </c>
      <c r="W5" s="1266" t="s">
        <v>1985</v>
      </c>
      <c r="X5" s="71"/>
      <c r="Y5" s="70" t="s">
        <v>1986</v>
      </c>
      <c r="Z5" s="2298" t="s">
        <v>1983</v>
      </c>
      <c r="AA5" s="1266" t="s">
        <v>1984</v>
      </c>
      <c r="AB5" s="1266" t="s">
        <v>1985</v>
      </c>
      <c r="AC5" s="71"/>
      <c r="AD5" s="71" t="s">
        <v>1986</v>
      </c>
      <c r="AE5" s="1265" t="s">
        <v>1987</v>
      </c>
      <c r="AF5" s="1266" t="s">
        <v>1988</v>
      </c>
      <c r="AG5" s="70" t="s">
        <v>1989</v>
      </c>
      <c r="AH5" s="1265" t="s">
        <v>1990</v>
      </c>
      <c r="AI5" s="2298" t="s">
        <v>1991</v>
      </c>
      <c r="AJ5" s="2298" t="s">
        <v>1992</v>
      </c>
      <c r="AK5" s="1266" t="s">
        <v>1993</v>
      </c>
      <c r="AL5" s="1266" t="s">
        <v>1994</v>
      </c>
      <c r="AM5" s="70" t="s">
        <v>1995</v>
      </c>
      <c r="AN5" s="2299" t="s">
        <v>1996</v>
      </c>
      <c r="AO5" s="2069" t="s">
        <v>1997</v>
      </c>
      <c r="AP5" s="1247" t="s">
        <v>1998</v>
      </c>
      <c r="AQ5" s="2300" t="s">
        <v>1999</v>
      </c>
      <c r="AR5" s="2300" t="s">
        <v>2000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皇冠酒店</v>
      </c>
      <c r="B6" s="2302" t="str">
        <f>IF(A6=0,"","经营性")</f>
        <v>经营性</v>
      </c>
      <c r="C6" s="2303" t="s">
        <v>1371</v>
      </c>
      <c r="D6" s="1049">
        <f>SUMIF(项目基本情况!D$12:I$12,C6,项目基本情况!D$14:I$14)</f>
        <v>40</v>
      </c>
      <c r="E6" s="1046">
        <f>IF(B6="","",SUMIF(项目基本情况!D$12:I$12,C6,项目基本情况!D$13:I$13))</f>
        <v>56139</v>
      </c>
      <c r="F6" s="72">
        <f>SUMIF(项目基本情况!D$12:I$12,C6,项目基本情况!D$15:I$15)</f>
        <v>35.119999999999997</v>
      </c>
      <c r="G6" s="73">
        <f>IF(ISERROR(ROUND(POWER(1+H6,D6-F6)*(POWER(1+H6,F6)-1)/(POWER(1+H6,D6)-1),3)),0,ROUND(POWER(1+H6,D6-F6)*(POWER(1+H6,F6)-1)/(POWER(1+H6,D6)-1),3))</f>
        <v>0.95499999999999996</v>
      </c>
      <c r="H6" s="797">
        <v>0.05</v>
      </c>
      <c r="I6" s="797">
        <v>5.5E-2</v>
      </c>
      <c r="J6" s="74">
        <v>8.5000000000000006E-2</v>
      </c>
      <c r="K6" s="1249">
        <f>SUMIF('数据-汇总表'!C$19:C$33,A6,'数据-汇总表'!E$19:E$33)</f>
        <v>83744.429999999993</v>
      </c>
      <c r="L6" s="798">
        <v>6500</v>
      </c>
      <c r="M6" s="75">
        <f t="shared" ref="M6:M14" si="0">ROUND(K6*L6/10000,0)</f>
        <v>54434</v>
      </c>
      <c r="N6" s="796">
        <f>面积!G21</f>
        <v>0.42</v>
      </c>
      <c r="O6" s="75">
        <f>IF($N$5="成新度","——",ROUND(M6*N6,0))</f>
        <v>22862</v>
      </c>
      <c r="P6" s="76">
        <f>IF($N$5="成新度","——",M6-O6)</f>
        <v>31572</v>
      </c>
      <c r="Q6" s="3007">
        <v>0.15</v>
      </c>
      <c r="R6" s="77">
        <f ca="1">SUMIF('数据-汇总表'!C$19:C$33,A6,'数据-汇总表'!R$19:R$27)</f>
        <v>32800.720000000001</v>
      </c>
      <c r="S6" s="54">
        <f>IF('数据-汇总表'!$I$17="按面积比例",SUMIF('数据-汇总表'!C$19:C$33,A6,'数据-汇总表'!K$19:K$33),SUMIF('数据-汇总表'!C$19:C$33,A6,'数据-汇总表'!N$19:N$33))</f>
        <v>4247.4399999999996</v>
      </c>
      <c r="T6" s="1441">
        <f>ROUND($L$14*S6/10000,0)</f>
        <v>1062</v>
      </c>
      <c r="U6" s="78">
        <f>酒店收入计算!E27</f>
        <v>10105.200000000001</v>
      </c>
      <c r="V6" s="79">
        <v>3.5000000000000003E-2</v>
      </c>
      <c r="W6" s="79">
        <v>0</v>
      </c>
      <c r="X6" s="1259"/>
      <c r="Y6" s="80">
        <v>1</v>
      </c>
      <c r="Z6" s="81"/>
      <c r="AA6" s="74"/>
      <c r="AB6" s="74"/>
      <c r="AC6" s="1259"/>
      <c r="AD6" s="82"/>
      <c r="AE6" s="1260">
        <f ca="1">IF(AN6="",0,SUMIF(INDIRECT("'"&amp;AN6&amp;"'"&amp;"!E:E"),$AE$5,INDIRECT("'"&amp;AN6&amp;"'"&amp;"!F:F")))</f>
        <v>33.919999999999995</v>
      </c>
      <c r="AF6" s="1802"/>
      <c r="AG6" s="144">
        <f>IF(AF6="",0,AE6-AF6)</f>
        <v>0</v>
      </c>
      <c r="AH6" s="83">
        <v>10000</v>
      </c>
      <c r="AI6" s="85">
        <v>1</v>
      </c>
      <c r="AJ6" s="86"/>
      <c r="AK6" s="3001">
        <v>2.5000000000000001E-2</v>
      </c>
      <c r="AL6" s="3002">
        <v>3.0000000000000001E-3</v>
      </c>
      <c r="AM6" s="3003">
        <v>0.03</v>
      </c>
      <c r="AN6" s="2304" t="s">
        <v>3097</v>
      </c>
      <c r="AO6" s="55">
        <f ca="1">SUMIF(INDIRECT("'"&amp;AN6&amp;"'"&amp;"!A:A"),"总价",INDIRECT("'"&amp;AN6&amp;"'"&amp;"!B:B"))</f>
        <v>152598</v>
      </c>
      <c r="AP6" s="2305">
        <f>IF(C6="住宅",K6*L6,0)</f>
        <v>0</v>
      </c>
      <c r="AQ6" s="55">
        <f>ROUND($L$14*$N$14*S6/10000,0)</f>
        <v>446</v>
      </c>
      <c r="AR6" s="55">
        <f>ROUND($L$14*(1-$N$14)*S6/10000,0)</f>
        <v>616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回迁商业</v>
      </c>
      <c r="B7" s="2302" t="str">
        <f t="shared" ref="B7:B13" si="1">IF(A7=0,"","经营性")</f>
        <v>经营性</v>
      </c>
      <c r="C7" s="2303" t="s">
        <v>1371</v>
      </c>
      <c r="D7" s="1049">
        <f>SUMIF(项目基本情况!D$12:I$12,C7,项目基本情况!D$14:I$14)</f>
        <v>40</v>
      </c>
      <c r="E7" s="1046">
        <f>IF(B7="","",SUMIF(项目基本情况!D$12:I$12,C7,项目基本情况!D$13:I$13))</f>
        <v>56139</v>
      </c>
      <c r="F7" s="72">
        <f>SUMIF(项目基本情况!D$12:I$12,C7,项目基本情况!D$15:I$15)</f>
        <v>35.119999999999997</v>
      </c>
      <c r="G7" s="73">
        <f t="shared" ref="G7:G11" si="2">IF(ISERROR(ROUND(POWER(1+H7,D7-F7)*(POWER(1+H7,F7)-1)/(POWER(1+H7,D7)-1),3)),0,ROUND(POWER(1+H7,D7-F7)*(POWER(1+H7,F7)-1)/(POWER(1+H7,D7)-1),3))</f>
        <v>0.95499999999999996</v>
      </c>
      <c r="H7" s="797">
        <v>0.05</v>
      </c>
      <c r="I7" s="797">
        <v>5.5E-2</v>
      </c>
      <c r="J7" s="74">
        <v>8.5000000000000006E-2</v>
      </c>
      <c r="K7" s="1249">
        <f>SUMIF('数据-汇总表'!C$19:C$33,A7,'数据-汇总表'!E$19:E$33)</f>
        <v>8131.38</v>
      </c>
      <c r="L7" s="798">
        <v>2800</v>
      </c>
      <c r="M7" s="75">
        <f t="shared" si="0"/>
        <v>2277</v>
      </c>
      <c r="N7" s="2993">
        <f>面积!L25</f>
        <v>0.16</v>
      </c>
      <c r="O7" s="75">
        <f t="shared" ref="O7:O14" si="3">IF($N$5="成新度","——",ROUND(M7*N7,0))</f>
        <v>364</v>
      </c>
      <c r="P7" s="76">
        <f t="shared" ref="P7:P14" si="4">IF($N$5="成新度","——",M7-O7)</f>
        <v>1913</v>
      </c>
      <c r="Q7" s="799">
        <v>0</v>
      </c>
      <c r="R7" s="77">
        <f ca="1">SUMIF('数据-汇总表'!C$19:C$33,A7,'数据-汇总表'!R$19:R$27)</f>
        <v>3184.87</v>
      </c>
      <c r="S7" s="54">
        <f>IF('数据-汇总表'!$I$17="按面积比例",SUMIF('数据-汇总表'!C$19:C$33,A7,'数据-汇总表'!K$19:K$33),SUMIF('数据-汇总表'!C$19:C$33,A7,'数据-汇总表'!N$19:N$33))</f>
        <v>412.42</v>
      </c>
      <c r="T7" s="1441">
        <f t="shared" ref="T7:T13" si="5">ROUND($L$14*S7/10000,0)</f>
        <v>103</v>
      </c>
      <c r="U7" s="78"/>
      <c r="V7" s="79"/>
      <c r="W7" s="79"/>
      <c r="X7" s="1259"/>
      <c r="Y7" s="80"/>
      <c r="Z7" s="81"/>
      <c r="AA7" s="74"/>
      <c r="AB7" s="74"/>
      <c r="AC7" s="1259"/>
      <c r="AD7" s="82"/>
      <c r="AE7" s="1260">
        <f t="shared" ref="AE7:AE13" ca="1" si="6">IF(AN7="",0,SUMIF(INDIRECT("'"&amp;AN7&amp;"'"&amp;"!E:E"),$AE$5,INDIRECT("'"&amp;AN7&amp;"'"&amp;"!F:F")))</f>
        <v>0</v>
      </c>
      <c r="AF7" s="1802"/>
      <c r="AG7" s="144">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43</v>
      </c>
      <c r="AR7" s="55">
        <f t="shared" ref="AR7:AR13" si="11">ROUND($L$14*(1-$N$14)*S7/10000,0)</f>
        <v>60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hidden="1">
      <c r="A8" s="2301">
        <f>'数据-汇总表'!C21</f>
        <v>0</v>
      </c>
      <c r="B8" s="2302" t="str">
        <f t="shared" si="1"/>
        <v/>
      </c>
      <c r="C8" s="2303" t="s">
        <v>27</v>
      </c>
      <c r="D8" s="1049">
        <f>SUMIF(项目基本情况!D$12:I$12,C8,项目基本情况!D$14:I$14)</f>
        <v>50</v>
      </c>
      <c r="E8" s="1046" t="str">
        <f>IF(B8="","",SUMIF(项目基本情况!D$12:I$12,C8,项目基本情况!D$13:I$13))</f>
        <v/>
      </c>
      <c r="F8" s="72">
        <f>SUMIF(项目基本情况!D$12:I$12,C8,项目基本情况!D$15:I$15)</f>
        <v>45.13</v>
      </c>
      <c r="G8" s="73">
        <f t="shared" si="2"/>
        <v>0.97</v>
      </c>
      <c r="H8" s="797">
        <v>4.4999999999999998E-2</v>
      </c>
      <c r="I8" s="797">
        <v>0.05</v>
      </c>
      <c r="J8" s="74">
        <v>8.5000000000000006E-2</v>
      </c>
      <c r="K8" s="1249">
        <f>SUMIF('数据-汇总表'!C$19:C$33,A8,'数据-汇总表'!E$19:E$33)</f>
        <v>0</v>
      </c>
      <c r="L8" s="798"/>
      <c r="M8" s="75">
        <f>ROUND(K8*L8/10000,0)</f>
        <v>0</v>
      </c>
      <c r="N8" s="796"/>
      <c r="O8" s="75">
        <f t="shared" si="3"/>
        <v>0</v>
      </c>
      <c r="P8" s="76">
        <f t="shared" si="4"/>
        <v>0</v>
      </c>
      <c r="Q8" s="799"/>
      <c r="R8" s="77">
        <f ca="1">SUMIF('数据-汇总表'!C$19:C$33,A8,'数据-汇总表'!R$19:R$27)</f>
        <v>0</v>
      </c>
      <c r="S8" s="54">
        <f>IF('数据-汇总表'!$I$17="按面积比例",SUMIF('数据-汇总表'!C$19:C$33,A8,'数据-汇总表'!K$19:K$33),SUMIF('数据-汇总表'!C$19:C$33,A8,'数据-汇总表'!N$19:N$33))</f>
        <v>0</v>
      </c>
      <c r="T8" s="1441">
        <f t="shared" si="5"/>
        <v>0</v>
      </c>
      <c r="U8" s="800"/>
      <c r="V8" s="801"/>
      <c r="W8" s="801"/>
      <c r="X8" s="1259"/>
      <c r="Y8" s="802"/>
      <c r="Z8" s="81"/>
      <c r="AA8" s="74"/>
      <c r="AB8" s="74"/>
      <c r="AC8" s="1259"/>
      <c r="AD8" s="82"/>
      <c r="AE8" s="1260">
        <f t="shared" ca="1" si="6"/>
        <v>0</v>
      </c>
      <c r="AF8" s="1802"/>
      <c r="AG8" s="144">
        <f t="shared" si="7"/>
        <v>0</v>
      </c>
      <c r="AH8" s="803"/>
      <c r="AI8" s="85"/>
      <c r="AJ8" s="86"/>
      <c r="AK8" s="804"/>
      <c r="AL8" s="805"/>
      <c r="AM8" s="806"/>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8"/>
      <c r="M9" s="75">
        <f t="shared" si="0"/>
        <v>0</v>
      </c>
      <c r="N9" s="796">
        <f>面积!G24</f>
        <v>0</v>
      </c>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4">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8"/>
      <c r="M10" s="75">
        <f t="shared" si="0"/>
        <v>0</v>
      </c>
      <c r="N10" s="796">
        <f>面积!G25</f>
        <v>0</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4">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798"/>
      <c r="M11" s="75">
        <f t="shared" si="0"/>
        <v>0</v>
      </c>
      <c r="N11" s="796">
        <f>面积!G26</f>
        <v>0</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1"/>
      <c r="AA11" s="74"/>
      <c r="AB11" s="74"/>
      <c r="AC11" s="1259"/>
      <c r="AD11" s="82"/>
      <c r="AE11" s="1260">
        <f t="shared" ca="1" si="6"/>
        <v>0</v>
      </c>
      <c r="AF11" s="1802"/>
      <c r="AG11" s="144">
        <f t="shared" si="7"/>
        <v>0</v>
      </c>
      <c r="AH11" s="83"/>
      <c r="AI11" s="85"/>
      <c r="AJ11" s="86"/>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798"/>
      <c r="M12" s="75">
        <f>ROUND(K12*L12/10000,0)</f>
        <v>0</v>
      </c>
      <c r="N12" s="796">
        <f>面积!G27</f>
        <v>0</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1"/>
      <c r="AA12" s="74"/>
      <c r="AB12" s="74"/>
      <c r="AC12" s="1259"/>
      <c r="AD12" s="82"/>
      <c r="AE12" s="1260">
        <f t="shared" ca="1" si="6"/>
        <v>0</v>
      </c>
      <c r="AF12" s="1802"/>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798"/>
      <c r="M13" s="75">
        <f>ROUND(K13*L13/10000,0)</f>
        <v>0</v>
      </c>
      <c r="N13" s="796">
        <f>面积!G28</f>
        <v>0</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2001</v>
      </c>
      <c r="B14" s="2302" t="s">
        <v>2002</v>
      </c>
      <c r="C14" s="2307" t="s">
        <v>2001</v>
      </c>
      <c r="D14" s="1049"/>
      <c r="E14" s="1046"/>
      <c r="F14" s="72"/>
      <c r="G14" s="73"/>
      <c r="H14" s="1248"/>
      <c r="I14" s="1248"/>
      <c r="J14" s="1248"/>
      <c r="K14" s="1249">
        <f>SUMIF('数据-汇总表'!C$19:C$33,A14,'数据-汇总表'!E$19:E$33)</f>
        <v>4659.8599999999997</v>
      </c>
      <c r="L14" s="798">
        <v>2500</v>
      </c>
      <c r="M14" s="75">
        <f t="shared" si="0"/>
        <v>1165</v>
      </c>
      <c r="N14" s="2993">
        <f>面积!G21</f>
        <v>0.42</v>
      </c>
      <c r="O14" s="75">
        <f t="shared" si="3"/>
        <v>489</v>
      </c>
      <c r="P14" s="76">
        <f t="shared" si="4"/>
        <v>676</v>
      </c>
      <c r="Q14" s="1252"/>
      <c r="R14" s="77"/>
      <c r="S14" s="54"/>
      <c r="T14" s="1441"/>
      <c r="U14" s="718"/>
      <c r="V14" s="1254"/>
      <c r="W14" s="1254"/>
      <c r="X14" s="1255"/>
      <c r="Y14" s="1256"/>
      <c r="Z14" s="1257"/>
      <c r="AA14" s="1258"/>
      <c r="AB14" s="1258"/>
      <c r="AC14" s="1259"/>
      <c r="AD14" s="1255"/>
      <c r="AE14" s="1260"/>
      <c r="AF14" s="55"/>
      <c r="AG14" s="144"/>
      <c r="AH14" s="1260"/>
      <c r="AI14" s="1813"/>
      <c r="AJ14" s="768"/>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2003</v>
      </c>
      <c r="B15" s="2302" t="s">
        <v>2002</v>
      </c>
      <c r="C15" s="2307" t="s">
        <v>2004</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8"/>
      <c r="V15" s="1254"/>
      <c r="W15" s="1254"/>
      <c r="X15" s="1255"/>
      <c r="Y15" s="1256"/>
      <c r="Z15" s="1257"/>
      <c r="AA15" s="1258"/>
      <c r="AB15" s="1258"/>
      <c r="AC15" s="1259"/>
      <c r="AD15" s="1255"/>
      <c r="AE15" s="1260"/>
      <c r="AF15" s="55"/>
      <c r="AG15" s="144"/>
      <c r="AH15" s="1260"/>
      <c r="AI15" s="1813"/>
      <c r="AJ15" s="768"/>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2005</v>
      </c>
      <c r="B16" s="95"/>
      <c r="C16" s="1003"/>
      <c r="D16" s="2309"/>
      <c r="E16" s="95"/>
      <c r="F16" s="95"/>
      <c r="G16" s="96">
        <f>ROUND(SUMPRODUCT(G6:G13,K6:K13)/SUMPRODUCT((G6:G13&gt;0)*(K6:K13)),3)</f>
        <v>0.95499999999999996</v>
      </c>
      <c r="H16" s="97">
        <f>ROUND(SUMPRODUCT(H6:H13,K6:K13)/SUMPRODUCT((H6:H13&gt;0)*(K6:K13)),3)</f>
        <v>0.05</v>
      </c>
      <c r="I16" s="98"/>
      <c r="J16" s="98"/>
      <c r="K16" s="99">
        <f>SUM(K6:K15)</f>
        <v>96535.67</v>
      </c>
      <c r="L16" s="100">
        <f>ROUND(M16*10000/SUM(K6:K14),0)</f>
        <v>5995</v>
      </c>
      <c r="M16" s="100">
        <f>SUM(M6:M14)</f>
        <v>57876</v>
      </c>
      <c r="N16" s="101">
        <f>ROUND(SUMPRODUCT(M6:M14,N6:N14)/M16,3)</f>
        <v>0.41</v>
      </c>
      <c r="O16" s="100">
        <f>SUM(O6:O14)</f>
        <v>23715</v>
      </c>
      <c r="P16" s="100">
        <f>SUM(P6:P14)</f>
        <v>34161</v>
      </c>
      <c r="Q16" s="102">
        <f>ROUND(SUMPRODUCT(Q6:Q13,K6:K13)/SUMPRODUCT((Q6:Q13&gt;0)*(K6:K13)),2)</f>
        <v>0.15</v>
      </c>
      <c r="R16" s="1253">
        <f ca="1">SUM(R6:R13)</f>
        <v>35985.590000000004</v>
      </c>
      <c r="S16" s="103">
        <f>SUM(S6:S13)</f>
        <v>4659.8599999999997</v>
      </c>
      <c r="T16" s="104">
        <f>IF(SUMIF(T6:T13,"&lt;9E307")=M14,SUMIF(T6:T13,"&lt;9E307"),"有误，请检查")</f>
        <v>1165</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9"/>
      <c r="D17" s="2268"/>
      <c r="E17" s="2268"/>
      <c r="F17" s="1579"/>
      <c r="G17" s="1579"/>
      <c r="H17" s="1579"/>
      <c r="I17" s="1579"/>
      <c r="J17" s="1579"/>
      <c r="K17" s="163"/>
      <c r="L17" s="163"/>
      <c r="M17" s="1579"/>
      <c r="N17" s="2994" t="s">
        <v>3173</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2006</v>
      </c>
      <c r="B18" s="2275"/>
      <c r="C18" s="2272"/>
      <c r="D18" s="2273"/>
      <c r="E18" s="2272"/>
      <c r="F18" s="2272"/>
      <c r="G18" s="2272"/>
      <c r="H18" s="2272"/>
      <c r="I18" s="2272"/>
      <c r="J18" s="2272"/>
      <c r="K18" s="163"/>
      <c r="L18" s="163"/>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2007</v>
      </c>
      <c r="B19" s="110">
        <v>0</v>
      </c>
      <c r="C19" s="2272" t="s">
        <v>2008</v>
      </c>
      <c r="D19" s="2273"/>
      <c r="E19" s="2272"/>
      <c r="F19" s="2272"/>
      <c r="G19" s="2272"/>
      <c r="H19" s="2272"/>
      <c r="I19" s="2272"/>
      <c r="J19" s="2272"/>
      <c r="K19" s="163"/>
      <c r="L19" s="163"/>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2009</v>
      </c>
      <c r="B20" s="111">
        <v>2</v>
      </c>
      <c r="C20" s="2272" t="s">
        <v>2010</v>
      </c>
      <c r="D20" s="2273"/>
      <c r="E20" s="2272"/>
      <c r="F20" s="2272"/>
      <c r="G20" s="2272"/>
      <c r="H20" s="2272"/>
      <c r="I20" s="2272"/>
      <c r="J20" s="2272"/>
      <c r="K20" s="163"/>
      <c r="L20" s="163"/>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2011</v>
      </c>
      <c r="B21" s="111">
        <v>0.8</v>
      </c>
      <c r="C21" s="2272">
        <f>B21/B20</f>
        <v>0.4</v>
      </c>
      <c r="D21" s="2273"/>
      <c r="E21" s="2272"/>
      <c r="F21" s="2272"/>
      <c r="G21" s="2272"/>
      <c r="H21" s="2272"/>
      <c r="I21" s="2272"/>
      <c r="J21" s="2272"/>
      <c r="K21" s="163"/>
      <c r="L21" s="163"/>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2012</v>
      </c>
      <c r="B22" s="112">
        <f>B19+B20</f>
        <v>2</v>
      </c>
      <c r="C22" s="2272"/>
      <c r="D22" s="2273"/>
      <c r="E22" s="2272"/>
      <c r="F22" s="2272"/>
      <c r="G22" s="2272"/>
      <c r="H22" s="2272"/>
      <c r="I22" s="2272"/>
      <c r="J22" s="2272"/>
      <c r="K22" s="163"/>
      <c r="L22" s="163"/>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2013</v>
      </c>
      <c r="B23" s="112">
        <f>B19+B21</f>
        <v>0.8</v>
      </c>
      <c r="C23" s="2272"/>
      <c r="D23" s="2273"/>
      <c r="E23" s="2272"/>
      <c r="F23" s="2272"/>
      <c r="G23" s="2272"/>
      <c r="H23" s="2272"/>
      <c r="I23" s="2272"/>
      <c r="J23" s="2272"/>
      <c r="K23" s="163"/>
      <c r="L23" s="163"/>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2014</v>
      </c>
      <c r="B24" s="113">
        <f>B20-B21</f>
        <v>1.2</v>
      </c>
      <c r="C24" s="2272"/>
      <c r="D24" s="2273"/>
      <c r="E24" s="2272"/>
      <c r="F24" s="2272"/>
      <c r="G24" s="2272"/>
      <c r="H24" s="2272"/>
      <c r="I24" s="2272"/>
      <c r="J24" s="2272"/>
      <c r="K24" s="163"/>
      <c r="L24" s="163"/>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3"/>
      <c r="L25" s="163"/>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2015</v>
      </c>
      <c r="B26" s="2315" t="s">
        <v>2016</v>
      </c>
      <c r="C26" s="2316" t="s">
        <v>2017</v>
      </c>
      <c r="D26" s="2273"/>
      <c r="E26" s="2272"/>
      <c r="F26" s="2272"/>
      <c r="G26" s="2272"/>
      <c r="H26" s="2272"/>
      <c r="I26" s="2272"/>
      <c r="J26" s="2272"/>
      <c r="K26" s="163"/>
      <c r="L26" s="163"/>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2018</v>
      </c>
      <c r="B27" s="114">
        <v>160</v>
      </c>
      <c r="C27" s="1762" t="s">
        <v>2019</v>
      </c>
      <c r="D27" s="2318"/>
      <c r="E27" s="1425"/>
      <c r="F27" s="1425"/>
      <c r="G27" s="2272"/>
      <c r="H27" s="2272"/>
      <c r="I27" s="2272"/>
      <c r="J27" s="2272"/>
      <c r="K27" s="163"/>
      <c r="L27" s="163"/>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2020</v>
      </c>
      <c r="B28" s="117">
        <v>200</v>
      </c>
      <c r="C28" s="2321"/>
      <c r="D28" s="2318"/>
      <c r="E28" s="1425"/>
      <c r="F28" s="1425"/>
      <c r="G28" s="2272"/>
      <c r="H28" s="2272"/>
      <c r="I28" s="2272"/>
      <c r="J28" s="2272"/>
      <c r="K28" s="163"/>
      <c r="L28" s="163"/>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2021</v>
      </c>
      <c r="B29" s="119">
        <f ca="1">成本法!C10</f>
        <v>1931</v>
      </c>
      <c r="C29" s="1762" t="s">
        <v>2022</v>
      </c>
      <c r="D29" s="2318"/>
      <c r="E29" s="1425"/>
      <c r="F29" s="1425"/>
      <c r="G29" s="2272"/>
      <c r="H29" s="2272"/>
      <c r="I29" s="2272"/>
      <c r="J29" s="2272"/>
      <c r="K29" s="163"/>
      <c r="L29" s="163"/>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2023</v>
      </c>
      <c r="B30" s="719">
        <v>200</v>
      </c>
      <c r="C30" s="2321"/>
      <c r="D30" s="2318"/>
      <c r="E30" s="1425"/>
      <c r="F30" s="1425"/>
      <c r="G30" s="2272"/>
      <c r="H30" s="2272"/>
      <c r="I30" s="2272"/>
      <c r="J30" s="2272"/>
      <c r="K30" s="163"/>
      <c r="L30" s="163"/>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2024</v>
      </c>
      <c r="B31" s="118">
        <f>B30-B32</f>
        <v>200</v>
      </c>
      <c r="C31" s="1762"/>
      <c r="D31" s="2318"/>
      <c r="E31" s="1425"/>
      <c r="F31" s="1425"/>
      <c r="G31" s="2272"/>
      <c r="H31" s="2272"/>
      <c r="I31" s="2272"/>
      <c r="J31" s="2272"/>
      <c r="K31" s="163"/>
      <c r="L31" s="163"/>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2025</v>
      </c>
      <c r="B32" s="720">
        <v>0</v>
      </c>
      <c r="C32" s="2321"/>
      <c r="D32" s="2273"/>
      <c r="E32" s="2272"/>
      <c r="F32" s="2272"/>
      <c r="G32" s="2272"/>
      <c r="H32" s="2272"/>
      <c r="I32" s="2272"/>
      <c r="J32" s="2272"/>
      <c r="K32" s="163"/>
      <c r="L32" s="163"/>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2026</v>
      </c>
      <c r="B33" s="721">
        <v>0.03</v>
      </c>
      <c r="C33" s="1761" t="s">
        <v>2027</v>
      </c>
      <c r="D33" s="2273"/>
      <c r="E33" s="2272"/>
      <c r="F33" s="2272"/>
      <c r="G33" s="2272"/>
      <c r="H33" s="2272"/>
      <c r="I33" s="2272"/>
      <c r="J33" s="2272"/>
      <c r="K33" s="163"/>
      <c r="L33" s="163"/>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2028</v>
      </c>
      <c r="B34" s="120">
        <v>0</v>
      </c>
      <c r="C34" s="1761" t="s">
        <v>2029</v>
      </c>
      <c r="D34" s="2273" t="s">
        <v>2030</v>
      </c>
      <c r="E34" s="727"/>
      <c r="F34" s="2272"/>
      <c r="G34" s="2272"/>
      <c r="H34" s="2272"/>
      <c r="I34" s="2272"/>
      <c r="J34" s="2272"/>
      <c r="K34" s="163"/>
      <c r="L34" s="163"/>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2031</v>
      </c>
      <c r="B35" s="117">
        <v>200</v>
      </c>
      <c r="C35" s="1761" t="s">
        <v>2032</v>
      </c>
      <c r="D35" s="2318"/>
      <c r="E35" s="1425"/>
      <c r="F35" s="1425"/>
      <c r="G35" s="2272"/>
      <c r="H35" s="2272"/>
      <c r="I35" s="2272"/>
      <c r="J35" s="2272"/>
      <c r="K35" s="163"/>
      <c r="L35" s="163"/>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2033</v>
      </c>
      <c r="B36" s="121">
        <v>1.4999999999999999E-2</v>
      </c>
      <c r="C36" s="1761" t="s">
        <v>2034</v>
      </c>
      <c r="D36" s="2273"/>
      <c r="E36" s="2272"/>
      <c r="F36" s="2272"/>
      <c r="G36" s="2272"/>
      <c r="H36" s="2272"/>
      <c r="I36" s="2272"/>
      <c r="J36" s="2272"/>
      <c r="K36" s="163"/>
      <c r="L36" s="163"/>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2035</v>
      </c>
      <c r="B37" s="122">
        <v>0.02</v>
      </c>
      <c r="C37" s="1761" t="s">
        <v>2036</v>
      </c>
      <c r="D37" s="2273"/>
      <c r="E37" s="2272"/>
      <c r="F37" s="2272"/>
      <c r="G37" s="2272"/>
      <c r="H37" s="2272"/>
      <c r="I37" s="2272"/>
      <c r="J37" s="2272"/>
      <c r="K37" s="163"/>
      <c r="L37" s="163"/>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2037</v>
      </c>
      <c r="B38" s="120">
        <v>0.02</v>
      </c>
      <c r="C38" s="1761" t="s">
        <v>2036</v>
      </c>
      <c r="D38" s="2273"/>
      <c r="E38" s="2272"/>
      <c r="F38" s="2272"/>
      <c r="G38" s="2272"/>
      <c r="H38" s="2272"/>
      <c r="I38" s="2272"/>
      <c r="J38" s="2272"/>
      <c r="K38" s="163"/>
      <c r="L38" s="163"/>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2038</v>
      </c>
      <c r="B39" s="357">
        <f ca="1">存贷款利率!I1</f>
        <v>1.4999999999999999E-2</v>
      </c>
      <c r="C39" s="1761"/>
      <c r="D39" s="2273"/>
      <c r="E39" s="2272"/>
      <c r="F39" s="2272"/>
      <c r="G39" s="2272"/>
      <c r="H39" s="2272"/>
      <c r="I39" s="2272"/>
      <c r="J39" s="2272"/>
      <c r="K39" s="163"/>
      <c r="L39" s="163"/>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2039</v>
      </c>
      <c r="B40" s="1298">
        <f ca="1">存贷款利率!G1</f>
        <v>4.7500000000000001E-2</v>
      </c>
      <c r="C40" s="1761" t="s">
        <v>2040</v>
      </c>
      <c r="D40" s="1579"/>
      <c r="E40" s="2273"/>
      <c r="F40" s="2272"/>
      <c r="G40" s="2272"/>
      <c r="H40" s="2272"/>
      <c r="I40" s="2272"/>
      <c r="J40" s="2272"/>
      <c r="K40" s="163"/>
      <c r="L40" s="163"/>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2041</v>
      </c>
      <c r="B41" s="123">
        <f>B42+B43</f>
        <v>5.5000000000000007E-2</v>
      </c>
      <c r="C41" s="1762"/>
      <c r="D41" s="1579"/>
      <c r="E41" s="2273"/>
      <c r="F41" s="2272"/>
      <c r="G41" s="2272"/>
      <c r="H41" s="2272"/>
      <c r="I41" s="2272"/>
      <c r="J41" s="2272"/>
      <c r="K41" s="163"/>
      <c r="L41" s="163"/>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2042</v>
      </c>
      <c r="B42" s="124">
        <v>0.05</v>
      </c>
      <c r="C42" s="2326">
        <f>IF(B2&lt;DATE(2016,5,1),0,B42)</f>
        <v>0.05</v>
      </c>
      <c r="D42" s="2273"/>
      <c r="E42" s="2272"/>
      <c r="F42" s="2272"/>
      <c r="G42" s="2272"/>
      <c r="H42" s="2272"/>
      <c r="I42" s="2272"/>
      <c r="J42" s="2272"/>
      <c r="K42" s="163"/>
      <c r="L42" s="163"/>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2043</v>
      </c>
      <c r="B43" s="125">
        <f>B42*(B44+B45+B46)+B47</f>
        <v>5.000000000000001E-3</v>
      </c>
      <c r="C43" s="1762"/>
      <c r="D43" s="2273"/>
      <c r="E43" s="2272"/>
      <c r="F43" s="2272"/>
      <c r="G43" s="2272"/>
      <c r="H43" s="2272"/>
      <c r="I43" s="2272"/>
      <c r="J43" s="2272"/>
      <c r="K43" s="163"/>
      <c r="L43" s="163"/>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2044</v>
      </c>
      <c r="B44" s="2992">
        <v>0.05</v>
      </c>
      <c r="C44" s="1761" t="s">
        <v>2045</v>
      </c>
      <c r="D44" s="2273"/>
      <c r="E44" s="2272"/>
      <c r="F44" s="2272"/>
      <c r="G44" s="2272"/>
      <c r="H44" s="2272"/>
      <c r="I44" s="2272"/>
      <c r="J44" s="2272"/>
      <c r="K44" s="163"/>
      <c r="L44" s="163"/>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2046</v>
      </c>
      <c r="B45" s="124">
        <v>0.03</v>
      </c>
      <c r="C45" s="1762" t="s">
        <v>2047</v>
      </c>
      <c r="D45" s="2273"/>
      <c r="E45" s="2272"/>
      <c r="F45" s="2272"/>
      <c r="G45" s="2272"/>
      <c r="H45" s="2272"/>
      <c r="I45" s="2272"/>
      <c r="J45" s="2272"/>
      <c r="K45" s="163"/>
      <c r="L45" s="163"/>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2048</v>
      </c>
      <c r="B46" s="124">
        <v>0.02</v>
      </c>
      <c r="C46" s="1762" t="s">
        <v>2049</v>
      </c>
      <c r="D46" s="2273"/>
      <c r="E46" s="2272"/>
      <c r="F46" s="2272"/>
      <c r="G46" s="2272"/>
      <c r="H46" s="2272"/>
      <c r="I46" s="2272"/>
      <c r="J46" s="2272"/>
      <c r="K46" s="163"/>
      <c r="L46" s="163"/>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2050</v>
      </c>
      <c r="B47" s="126">
        <v>0</v>
      </c>
      <c r="C47" s="1762" t="s">
        <v>2051</v>
      </c>
      <c r="D47" s="2273"/>
      <c r="E47" s="2272"/>
      <c r="F47" s="2272"/>
      <c r="G47" s="2272"/>
      <c r="H47" s="2272"/>
      <c r="I47" s="2272"/>
      <c r="J47" s="2272"/>
      <c r="K47" s="163"/>
      <c r="L47" s="163"/>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2052</v>
      </c>
      <c r="B48" s="127">
        <v>0.03</v>
      </c>
      <c r="C48" s="1769" t="s">
        <v>2053</v>
      </c>
      <c r="D48" s="2273"/>
      <c r="E48" s="2272"/>
      <c r="F48" s="2272"/>
      <c r="G48" s="2272"/>
      <c r="H48" s="2272"/>
      <c r="I48" s="2272"/>
      <c r="J48" s="2272"/>
      <c r="K48" s="163"/>
      <c r="L48" s="163"/>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2054</v>
      </c>
      <c r="B49" s="124">
        <v>5.0000000000000001E-4</v>
      </c>
      <c r="C49" s="1769" t="s">
        <v>2055</v>
      </c>
      <c r="D49" s="2273"/>
      <c r="E49" s="2272"/>
      <c r="F49" s="2272"/>
      <c r="G49" s="2272"/>
      <c r="H49" s="2272"/>
      <c r="I49" s="2272"/>
      <c r="J49" s="2272"/>
      <c r="K49" s="163"/>
      <c r="L49" s="163"/>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2056</v>
      </c>
      <c r="B50" s="128">
        <v>1.2E-2</v>
      </c>
      <c r="C50" s="1425"/>
      <c r="D50" s="2273"/>
      <c r="E50" s="2272"/>
      <c r="F50" s="2272"/>
      <c r="G50" s="2272"/>
      <c r="H50" s="2272"/>
      <c r="I50" s="2272"/>
      <c r="J50" s="2272"/>
      <c r="K50" s="163"/>
      <c r="L50" s="163"/>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2057</v>
      </c>
      <c r="B51" s="129">
        <v>0.12</v>
      </c>
      <c r="C51" s="1425"/>
      <c r="D51" s="2273"/>
      <c r="E51" s="2272"/>
      <c r="F51" s="2272"/>
      <c r="G51" s="2272"/>
      <c r="H51" s="2272"/>
      <c r="I51" s="2272"/>
      <c r="J51" s="2272"/>
      <c r="K51" s="163"/>
      <c r="L51" s="163"/>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2058</v>
      </c>
      <c r="B52" s="130">
        <f>SUMIF(A54:A63,B53,B54:B63)</f>
        <v>1.5</v>
      </c>
      <c r="C52" s="1425"/>
      <c r="D52" s="2273"/>
      <c r="E52" s="2272"/>
      <c r="F52" s="2272"/>
      <c r="G52" s="2272"/>
      <c r="H52" s="2272"/>
      <c r="I52" s="2272"/>
      <c r="J52" s="2272"/>
      <c r="K52" s="163"/>
      <c r="L52" s="163"/>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2059</v>
      </c>
      <c r="B53" s="2331" t="s">
        <v>56</v>
      </c>
      <c r="C53" s="1425" t="s">
        <v>2060</v>
      </c>
      <c r="D53" s="2332" t="s">
        <v>2061</v>
      </c>
      <c r="E53" s="2272"/>
      <c r="F53" s="2272"/>
      <c r="G53" s="2272"/>
      <c r="H53" s="2272"/>
      <c r="I53" s="2272"/>
      <c r="J53" s="2272"/>
      <c r="K53" s="163"/>
      <c r="L53" s="163"/>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2062</v>
      </c>
      <c r="B54" s="84">
        <v>30</v>
      </c>
      <c r="C54" s="1425">
        <v>30</v>
      </c>
      <c r="D54" s="2273"/>
      <c r="E54" s="2272"/>
      <c r="F54" s="2272"/>
      <c r="G54" s="2272"/>
      <c r="H54" s="2272"/>
      <c r="I54" s="2272"/>
      <c r="J54" s="2272"/>
      <c r="K54" s="163"/>
      <c r="L54" s="163"/>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2063</v>
      </c>
      <c r="B55" s="84">
        <v>24</v>
      </c>
      <c r="C55" s="1425">
        <v>24</v>
      </c>
      <c r="D55" s="2273"/>
      <c r="E55" s="2272"/>
      <c r="F55" s="2272"/>
      <c r="G55" s="2272"/>
      <c r="H55" s="2272"/>
      <c r="I55" s="2334"/>
      <c r="J55" s="2272"/>
      <c r="K55" s="163"/>
      <c r="L55" s="163"/>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2064</v>
      </c>
      <c r="B56" s="84">
        <v>18</v>
      </c>
      <c r="C56" s="1425">
        <v>18</v>
      </c>
      <c r="D56" s="2273"/>
      <c r="E56" s="2272"/>
      <c r="F56" s="2272"/>
      <c r="G56" s="2272"/>
      <c r="H56" s="2272"/>
      <c r="I56" s="2272"/>
      <c r="J56" s="2272"/>
      <c r="K56" s="163"/>
      <c r="L56" s="163"/>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2065</v>
      </c>
      <c r="B57" s="84">
        <v>12</v>
      </c>
      <c r="C57" s="1425">
        <v>12</v>
      </c>
      <c r="D57" s="2273"/>
      <c r="E57" s="2272"/>
      <c r="F57" s="2272"/>
      <c r="G57" s="2272"/>
      <c r="H57" s="2272"/>
      <c r="I57" s="2272"/>
      <c r="J57" s="2272"/>
      <c r="K57" s="163"/>
      <c r="L57" s="163"/>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2066</v>
      </c>
      <c r="B58" s="84">
        <v>3</v>
      </c>
      <c r="C58" s="1425">
        <v>3</v>
      </c>
      <c r="D58" s="2273"/>
      <c r="E58" s="2272"/>
      <c r="F58" s="2272"/>
      <c r="G58" s="2272"/>
      <c r="H58" s="2272"/>
      <c r="I58" s="2272"/>
      <c r="J58" s="2272"/>
      <c r="K58" s="163"/>
      <c r="L58" s="163"/>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2067</v>
      </c>
      <c r="B59" s="84">
        <v>1.5</v>
      </c>
      <c r="C59" s="1425">
        <v>1.5</v>
      </c>
      <c r="D59" s="2273"/>
      <c r="E59" s="2272"/>
      <c r="F59" s="2272"/>
      <c r="G59" s="2272"/>
      <c r="H59" s="2272"/>
      <c r="I59" s="2272"/>
      <c r="J59" s="2272"/>
      <c r="K59" s="163"/>
      <c r="L59" s="163"/>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2068</v>
      </c>
      <c r="B60" s="84"/>
      <c r="C60" s="2272"/>
      <c r="D60" s="2273"/>
      <c r="E60" s="2272"/>
      <c r="F60" s="2272"/>
      <c r="G60" s="2272"/>
      <c r="H60" s="2272"/>
      <c r="I60" s="2272"/>
      <c r="J60" s="2272"/>
      <c r="K60" s="163"/>
      <c r="L60" s="163"/>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2069</v>
      </c>
      <c r="B61" s="84"/>
      <c r="C61" s="2272"/>
      <c r="D61" s="2273"/>
      <c r="E61" s="2272"/>
      <c r="F61" s="2272"/>
      <c r="G61" s="2272"/>
      <c r="H61" s="2272"/>
      <c r="I61" s="2272"/>
      <c r="J61" s="2272"/>
      <c r="K61" s="163"/>
      <c r="L61" s="163"/>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2070</v>
      </c>
      <c r="B62" s="84"/>
      <c r="C62" s="2272"/>
      <c r="D62" s="2273"/>
      <c r="E62" s="2272"/>
      <c r="F62" s="2272"/>
      <c r="G62" s="2272"/>
      <c r="H62" s="2272"/>
      <c r="I62" s="2272"/>
      <c r="J62" s="2272"/>
      <c r="K62" s="163"/>
      <c r="L62" s="163"/>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2071</v>
      </c>
      <c r="B63" s="131"/>
      <c r="C63" s="2272"/>
      <c r="D63" s="2273"/>
      <c r="E63" s="2272"/>
      <c r="F63" s="2272"/>
      <c r="G63" s="2272"/>
      <c r="H63" s="2272"/>
      <c r="I63" s="2272"/>
      <c r="J63" s="2272"/>
      <c r="K63" s="163"/>
      <c r="L63" s="163"/>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3"/>
      <c r="L64" s="793"/>
    </row>
    <row r="65" spans="1:12" s="962" customFormat="1">
      <c r="A65" s="2336"/>
      <c r="D65" s="2337"/>
      <c r="K65" s="793"/>
      <c r="L65" s="793"/>
    </row>
    <row r="66" spans="1:12" s="962" customFormat="1">
      <c r="A66" s="2336"/>
      <c r="D66" s="2337"/>
      <c r="K66" s="793"/>
      <c r="L66" s="793"/>
    </row>
    <row r="67" spans="1:12" s="962" customFormat="1">
      <c r="A67" s="2336"/>
      <c r="D67" s="2337"/>
      <c r="K67" s="793"/>
      <c r="L67" s="793"/>
    </row>
    <row r="68" spans="1:12" s="962" customFormat="1">
      <c r="A68" s="2336"/>
      <c r="D68" s="2337"/>
      <c r="K68" s="793"/>
      <c r="L68" s="793"/>
    </row>
    <row r="69" spans="1:12" s="962" customFormat="1">
      <c r="A69" s="2336"/>
      <c r="D69" s="2337"/>
      <c r="K69" s="793"/>
      <c r="L69" s="793"/>
    </row>
    <row r="70" spans="1:12" s="962" customFormat="1">
      <c r="A70" s="2336"/>
      <c r="D70" s="2337"/>
      <c r="K70" s="793"/>
      <c r="L70" s="793"/>
    </row>
    <row r="71" spans="1:12" s="962" customFormat="1">
      <c r="A71" s="2336"/>
      <c r="D71" s="2337"/>
      <c r="K71" s="793"/>
      <c r="L71" s="793"/>
    </row>
    <row r="72" spans="1:12" s="962" customFormat="1">
      <c r="A72" s="2336"/>
      <c r="D72" s="2337"/>
      <c r="K72" s="793"/>
      <c r="L72" s="793"/>
    </row>
    <row r="73" spans="1:12" s="962" customFormat="1">
      <c r="A73" s="2336"/>
      <c r="D73" s="2337"/>
      <c r="K73" s="793"/>
      <c r="L73" s="793"/>
    </row>
    <row r="74" spans="1:12" s="962" customFormat="1">
      <c r="A74" s="2336"/>
      <c r="D74" s="2337"/>
      <c r="K74" s="793"/>
      <c r="L74" s="793"/>
    </row>
    <row r="75" spans="1:12" s="962" customFormat="1">
      <c r="A75" s="2336"/>
      <c r="D75" s="2337"/>
      <c r="K75" s="793"/>
      <c r="L75" s="793"/>
    </row>
    <row r="76" spans="1:12" s="962" customFormat="1">
      <c r="A76" s="2336"/>
      <c r="D76" s="2337"/>
      <c r="K76" s="793"/>
      <c r="L76" s="793"/>
    </row>
    <row r="77" spans="1:12" s="962" customFormat="1">
      <c r="A77" s="2336"/>
      <c r="D77" s="2337"/>
      <c r="K77" s="793"/>
      <c r="L77" s="793"/>
    </row>
    <row r="78" spans="1:12" s="962" customFormat="1">
      <c r="A78" s="2336"/>
      <c r="D78" s="2337"/>
      <c r="K78" s="793"/>
      <c r="L78" s="793"/>
    </row>
    <row r="79" spans="1:12" s="962" customFormat="1">
      <c r="A79" s="2336"/>
      <c r="D79" s="2337"/>
      <c r="K79" s="793"/>
      <c r="L79" s="793"/>
    </row>
    <row r="80" spans="1:12" s="962" customFormat="1">
      <c r="A80" s="2336"/>
      <c r="D80" s="2337"/>
      <c r="K80" s="793"/>
      <c r="L80" s="793"/>
    </row>
    <row r="81" spans="1:12" s="962" customFormat="1">
      <c r="A81" s="2336"/>
      <c r="D81" s="2337"/>
      <c r="K81" s="793"/>
      <c r="L81" s="793"/>
    </row>
    <row r="82" spans="1:12" s="962" customFormat="1">
      <c r="A82" s="2336"/>
      <c r="D82" s="2337"/>
      <c r="K82" s="793"/>
      <c r="L82" s="793"/>
    </row>
    <row r="83" spans="1:12" s="962" customFormat="1">
      <c r="A83" s="2336"/>
      <c r="D83" s="2337"/>
      <c r="K83" s="793"/>
      <c r="L83" s="793"/>
    </row>
    <row r="84" spans="1:12" s="962" customFormat="1">
      <c r="A84" s="2336"/>
      <c r="D84" s="2337"/>
      <c r="K84" s="793"/>
      <c r="L84" s="793"/>
    </row>
    <row r="85" spans="1:12" s="962" customFormat="1">
      <c r="A85" s="2336"/>
      <c r="D85" s="2337"/>
      <c r="K85" s="793"/>
      <c r="L85" s="793"/>
    </row>
    <row r="86" spans="1:12" s="962" customFormat="1">
      <c r="A86" s="2336"/>
      <c r="D86" s="2337"/>
      <c r="K86" s="793"/>
      <c r="L86" s="793"/>
    </row>
    <row r="87" spans="1:12" s="962" customFormat="1">
      <c r="A87" s="2336"/>
      <c r="D87" s="2337"/>
      <c r="K87" s="793"/>
      <c r="L87" s="793"/>
    </row>
    <row r="88" spans="1:12" s="962" customFormat="1">
      <c r="A88" s="2336"/>
      <c r="D88" s="2337"/>
      <c r="K88" s="793"/>
      <c r="L88" s="793"/>
    </row>
    <row r="89" spans="1:12" s="962" customFormat="1">
      <c r="A89" s="2336"/>
      <c r="D89" s="2337"/>
      <c r="K89" s="793"/>
      <c r="L89" s="793"/>
    </row>
    <row r="90" spans="1:12" s="962" customFormat="1">
      <c r="A90" s="2336"/>
      <c r="D90" s="2337"/>
      <c r="K90" s="793"/>
      <c r="L90" s="793"/>
    </row>
    <row r="91" spans="1:12" s="962" customFormat="1">
      <c r="A91" s="2336"/>
      <c r="D91" s="2337"/>
      <c r="K91" s="793"/>
      <c r="L91" s="793"/>
    </row>
    <row r="92" spans="1:12" s="962" customFormat="1">
      <c r="A92" s="2336"/>
      <c r="D92" s="2337"/>
      <c r="K92" s="793"/>
      <c r="L92" s="793"/>
    </row>
    <row r="93" spans="1:12" s="962" customFormat="1">
      <c r="A93" s="2336"/>
      <c r="D93" s="2337"/>
      <c r="K93" s="793"/>
      <c r="L93" s="793"/>
    </row>
    <row r="94" spans="1:12" s="962" customFormat="1">
      <c r="A94" s="2336"/>
      <c r="D94" s="2337"/>
      <c r="K94" s="793"/>
      <c r="L94" s="793"/>
    </row>
    <row r="95" spans="1:12" s="962" customFormat="1">
      <c r="A95" s="2336"/>
      <c r="D95" s="2337"/>
      <c r="K95" s="793"/>
      <c r="L95" s="793"/>
    </row>
    <row r="96" spans="1:12" s="962" customFormat="1">
      <c r="A96" s="2336"/>
      <c r="D96" s="2337"/>
      <c r="K96" s="793"/>
      <c r="L96" s="793"/>
    </row>
    <row r="97" spans="1:12" s="962" customFormat="1">
      <c r="A97" s="2336"/>
      <c r="D97" s="2337"/>
      <c r="K97" s="793"/>
      <c r="L97" s="793"/>
    </row>
    <row r="98" spans="1:12" s="962" customFormat="1">
      <c r="A98" s="2336"/>
      <c r="D98" s="2337"/>
      <c r="K98" s="793"/>
      <c r="L98" s="793"/>
    </row>
    <row r="99" spans="1:12" s="962" customFormat="1">
      <c r="A99" s="2336"/>
      <c r="D99" s="2337"/>
      <c r="K99" s="793"/>
      <c r="L99" s="793"/>
    </row>
    <row r="100" spans="1:12" s="962" customFormat="1">
      <c r="A100" s="2336"/>
      <c r="D100" s="2337"/>
      <c r="K100" s="793"/>
      <c r="L100" s="793"/>
    </row>
    <row r="101" spans="1:12" s="962" customFormat="1">
      <c r="A101" s="2336"/>
      <c r="D101" s="2337"/>
      <c r="K101" s="793"/>
      <c r="L101" s="793"/>
    </row>
    <row r="102" spans="1:12" s="962" customFormat="1">
      <c r="A102" s="2336"/>
      <c r="D102" s="2337"/>
      <c r="K102" s="793"/>
      <c r="L102" s="793"/>
    </row>
    <row r="103" spans="1:12" s="962" customFormat="1">
      <c r="A103" s="2336"/>
      <c r="D103" s="2337"/>
      <c r="K103" s="793"/>
      <c r="L103" s="793"/>
    </row>
    <row r="104" spans="1:12" s="962" customFormat="1">
      <c r="A104" s="2336"/>
      <c r="D104" s="2337"/>
      <c r="K104" s="793"/>
      <c r="L104" s="793"/>
    </row>
    <row r="105" spans="1:12" s="962" customFormat="1">
      <c r="A105" s="2336"/>
      <c r="D105" s="2337"/>
      <c r="K105" s="793"/>
      <c r="L105" s="793"/>
    </row>
    <row r="106" spans="1:12" s="962" customFormat="1">
      <c r="A106" s="2336"/>
      <c r="D106" s="2337"/>
      <c r="K106" s="793"/>
      <c r="L106" s="793"/>
    </row>
    <row r="107" spans="1:12" s="962" customFormat="1">
      <c r="A107" s="2336"/>
      <c r="D107" s="2337"/>
      <c r="K107" s="793"/>
      <c r="L107" s="793"/>
    </row>
    <row r="108" spans="1:12" s="962" customFormat="1">
      <c r="A108" s="2336"/>
      <c r="D108" s="2337"/>
      <c r="K108" s="793"/>
      <c r="L108" s="793"/>
    </row>
    <row r="109" spans="1:12" s="962" customFormat="1">
      <c r="A109" s="2336"/>
      <c r="D109" s="2337"/>
      <c r="K109" s="793"/>
      <c r="L109" s="793"/>
    </row>
    <row r="110" spans="1:12" s="962" customFormat="1">
      <c r="A110" s="2336"/>
      <c r="D110" s="2337"/>
      <c r="K110" s="793"/>
      <c r="L110" s="793"/>
    </row>
    <row r="111" spans="1:12" s="962" customFormat="1">
      <c r="A111" s="2336"/>
      <c r="D111" s="2337"/>
      <c r="K111" s="793"/>
      <c r="L111" s="793"/>
    </row>
    <row r="112" spans="1:12" s="962" customFormat="1">
      <c r="A112" s="2336"/>
      <c r="D112" s="2337"/>
      <c r="K112" s="793"/>
      <c r="L112" s="793"/>
    </row>
    <row r="113" spans="1:12" s="962" customFormat="1">
      <c r="A113" s="2336"/>
      <c r="D113" s="2337"/>
      <c r="K113" s="793"/>
      <c r="L113" s="793"/>
    </row>
    <row r="114" spans="1:12" s="962" customFormat="1">
      <c r="A114" s="2336"/>
      <c r="D114" s="2337"/>
      <c r="K114" s="793"/>
      <c r="L114" s="793"/>
    </row>
    <row r="115" spans="1:12" s="962" customFormat="1">
      <c r="A115" s="2336"/>
      <c r="D115" s="2337"/>
      <c r="K115" s="793"/>
      <c r="L115" s="793"/>
    </row>
    <row r="116" spans="1:12" s="962" customFormat="1">
      <c r="A116" s="2336"/>
      <c r="D116" s="2337"/>
      <c r="K116" s="793"/>
      <c r="L116" s="793"/>
    </row>
    <row r="117" spans="1:12" s="962" customFormat="1">
      <c r="A117" s="2336"/>
      <c r="D117" s="2337"/>
      <c r="K117" s="793"/>
      <c r="L117" s="793"/>
    </row>
    <row r="118" spans="1:12" s="962" customFormat="1">
      <c r="A118" s="2336"/>
      <c r="D118" s="2337"/>
      <c r="K118" s="793"/>
      <c r="L118" s="793"/>
    </row>
    <row r="119" spans="1:12" s="962" customFormat="1">
      <c r="A119" s="2336"/>
      <c r="D119" s="2337"/>
      <c r="K119" s="793"/>
      <c r="L119" s="793"/>
    </row>
    <row r="120" spans="1:12" s="962" customFormat="1">
      <c r="A120" s="2336"/>
      <c r="D120" s="2337"/>
      <c r="K120" s="793"/>
      <c r="L120" s="793"/>
    </row>
    <row r="121" spans="1:12" s="962" customFormat="1">
      <c r="A121" s="2336"/>
      <c r="D121" s="2337"/>
      <c r="K121" s="793"/>
      <c r="L121" s="793"/>
    </row>
    <row r="122" spans="1:12" s="962" customFormat="1">
      <c r="A122" s="2336"/>
      <c r="D122" s="2337"/>
      <c r="K122" s="793"/>
      <c r="L122" s="793"/>
    </row>
    <row r="123" spans="1:12" s="962" customFormat="1">
      <c r="A123" s="2336"/>
      <c r="D123" s="2337"/>
      <c r="K123" s="793"/>
      <c r="L123" s="793"/>
    </row>
    <row r="124" spans="1:12" s="962" customFormat="1">
      <c r="A124" s="2336"/>
      <c r="D124" s="2337"/>
      <c r="K124" s="793"/>
      <c r="L124" s="793"/>
    </row>
    <row r="125" spans="1:12" s="962" customFormat="1">
      <c r="A125" s="2336"/>
      <c r="D125" s="2337"/>
      <c r="K125" s="793"/>
      <c r="L125" s="793"/>
    </row>
    <row r="126" spans="1:12" s="962" customFormat="1">
      <c r="A126" s="2336"/>
      <c r="D126" s="2337"/>
      <c r="K126" s="793"/>
      <c r="L126" s="793"/>
    </row>
    <row r="127" spans="1:12" s="962" customFormat="1">
      <c r="A127" s="2336"/>
      <c r="D127" s="2337"/>
      <c r="K127" s="793"/>
      <c r="L127" s="793"/>
    </row>
    <row r="128" spans="1:12" s="962" customFormat="1">
      <c r="A128" s="2336"/>
      <c r="D128" s="2337"/>
      <c r="K128" s="793"/>
      <c r="L128" s="793"/>
    </row>
    <row r="129" spans="1:12" s="962" customFormat="1">
      <c r="A129" s="2336"/>
      <c r="D129" s="2337"/>
      <c r="K129" s="793"/>
      <c r="L129" s="793"/>
    </row>
    <row r="130" spans="1:12" s="962" customFormat="1">
      <c r="A130" s="2336"/>
      <c r="D130" s="2337"/>
      <c r="K130" s="793"/>
      <c r="L130" s="793"/>
    </row>
    <row r="131" spans="1:12" s="962" customFormat="1">
      <c r="A131" s="2336"/>
      <c r="D131" s="2337"/>
      <c r="K131" s="793"/>
      <c r="L131" s="793"/>
    </row>
    <row r="132" spans="1:12" s="962" customFormat="1">
      <c r="A132" s="2336"/>
      <c r="D132" s="2337"/>
      <c r="K132" s="793"/>
      <c r="L132" s="793"/>
    </row>
    <row r="133" spans="1:12" s="962"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8" t="s">
        <v>2072</v>
      </c>
      <c r="B1" s="3109"/>
      <c r="C1" s="3109"/>
      <c r="D1" s="3109"/>
      <c r="E1" s="3109"/>
      <c r="F1" s="3109"/>
      <c r="G1" s="310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27">
      <c r="A3" s="410" t="s">
        <v>2075</v>
      </c>
      <c r="B3" s="1266" t="s">
        <v>2076</v>
      </c>
      <c r="C3" s="2365"/>
      <c r="D3" s="2366"/>
      <c r="E3" s="426" t="s">
        <v>2075</v>
      </c>
      <c r="F3" s="2367" t="s">
        <v>2077</v>
      </c>
      <c r="G3" s="2368"/>
      <c r="H3" s="2363"/>
      <c r="I3" s="2363"/>
      <c r="J3" s="2363"/>
      <c r="K3" s="2363"/>
      <c r="L3" s="2363"/>
      <c r="M3" s="2363"/>
      <c r="N3" s="2363"/>
      <c r="O3" s="2363"/>
      <c r="P3" s="2363"/>
      <c r="Q3" s="2363"/>
      <c r="R3" s="2363"/>
    </row>
    <row r="4" spans="1:29" ht="15">
      <c r="A4" s="426"/>
      <c r="B4" s="1793" t="s">
        <v>2078</v>
      </c>
      <c r="C4" s="2369"/>
      <c r="D4" s="2366"/>
      <c r="E4" s="2370"/>
      <c r="F4" s="42" t="s">
        <v>2079</v>
      </c>
      <c r="G4" s="2371"/>
      <c r="H4" s="2363"/>
      <c r="I4" s="2363"/>
      <c r="J4" s="2363"/>
      <c r="K4" s="2363"/>
      <c r="L4" s="2363"/>
      <c r="M4" s="2363"/>
      <c r="N4" s="2363"/>
      <c r="O4" s="2363"/>
      <c r="P4" s="2363"/>
      <c r="Q4" s="2363"/>
      <c r="R4" s="2363"/>
    </row>
    <row r="5" spans="1:29" ht="15">
      <c r="A5" s="426"/>
      <c r="B5" s="1793" t="s">
        <v>2080</v>
      </c>
      <c r="C5" s="2369"/>
      <c r="D5" s="2366"/>
      <c r="E5" s="2370"/>
      <c r="F5" s="1793" t="s">
        <v>2081</v>
      </c>
      <c r="G5" s="2371"/>
      <c r="H5" s="2363"/>
      <c r="I5" s="2363"/>
      <c r="J5" s="2363"/>
      <c r="K5" s="2363"/>
      <c r="L5" s="2363"/>
      <c r="M5" s="2363"/>
      <c r="N5" s="2363"/>
      <c r="O5" s="2363"/>
      <c r="P5" s="2363"/>
      <c r="Q5" s="2363"/>
      <c r="R5" s="2363"/>
    </row>
    <row r="6" spans="1:29" ht="15">
      <c r="A6" s="426"/>
      <c r="B6" s="1793" t="s">
        <v>2082</v>
      </c>
      <c r="C6" s="2371"/>
      <c r="D6" s="2366"/>
      <c r="E6" s="2370"/>
      <c r="F6" s="1793" t="s">
        <v>2083</v>
      </c>
      <c r="G6" s="2371"/>
      <c r="H6" s="2363"/>
      <c r="I6" s="2363"/>
      <c r="J6" s="2363"/>
      <c r="K6" s="2363"/>
      <c r="L6" s="2363"/>
      <c r="M6" s="2363"/>
      <c r="N6" s="2363"/>
      <c r="O6" s="2363"/>
      <c r="P6" s="2363"/>
      <c r="Q6" s="2363"/>
      <c r="R6" s="2363"/>
    </row>
    <row r="7" spans="1:29" ht="15.75" thickBot="1">
      <c r="A7" s="426"/>
      <c r="B7" s="1793" t="s">
        <v>2081</v>
      </c>
      <c r="C7" s="2371"/>
      <c r="D7" s="2372"/>
      <c r="E7" s="2373"/>
      <c r="F7" s="2374" t="s">
        <v>2084</v>
      </c>
      <c r="G7" s="2375"/>
      <c r="H7" s="2363"/>
      <c r="I7" s="2363"/>
      <c r="J7" s="2363"/>
      <c r="K7" s="2363"/>
      <c r="L7" s="2363"/>
      <c r="M7" s="2363"/>
      <c r="N7" s="2363"/>
      <c r="O7" s="2363"/>
      <c r="P7" s="2363"/>
      <c r="Q7" s="2363"/>
      <c r="R7" s="2363"/>
    </row>
    <row r="8" spans="1:29" ht="15">
      <c r="A8" s="426"/>
      <c r="B8" s="1793" t="s">
        <v>2083</v>
      </c>
      <c r="C8" s="2371"/>
      <c r="D8" s="2372"/>
      <c r="E8" s="2372"/>
      <c r="F8" s="1131"/>
      <c r="G8" s="1131"/>
      <c r="H8" s="2363"/>
      <c r="I8" s="2363"/>
      <c r="J8" s="2363"/>
      <c r="K8" s="2363"/>
      <c r="L8" s="2363"/>
      <c r="M8" s="2363"/>
      <c r="N8" s="2363"/>
      <c r="O8" s="2363"/>
      <c r="P8" s="2363"/>
      <c r="Q8" s="2363"/>
      <c r="R8" s="2363"/>
    </row>
    <row r="9" spans="1:29" ht="15">
      <c r="A9" s="426"/>
      <c r="B9" s="1793" t="s">
        <v>2085</v>
      </c>
      <c r="C9" s="2369"/>
      <c r="D9" s="2366"/>
      <c r="E9" s="2372"/>
      <c r="F9" s="1131"/>
      <c r="G9" s="1131"/>
      <c r="H9" s="2363"/>
      <c r="I9" s="2363"/>
      <c r="J9" s="2363"/>
      <c r="K9" s="2363"/>
      <c r="L9" s="2363"/>
      <c r="M9" s="2363"/>
      <c r="N9" s="2363"/>
      <c r="O9" s="2363"/>
      <c r="P9" s="2363"/>
      <c r="Q9" s="2363"/>
      <c r="R9" s="2363"/>
    </row>
    <row r="10" spans="1:29" s="115" customFormat="1" ht="15.75" thickBot="1">
      <c r="A10" s="2376"/>
      <c r="B10" s="2377" t="s">
        <v>2086</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2087</v>
      </c>
      <c r="B13" s="2383"/>
      <c r="C13" s="2383"/>
      <c r="D13" s="2390"/>
      <c r="E13" s="2383"/>
      <c r="F13" s="2383"/>
      <c r="G13" s="2383"/>
    </row>
    <row r="14" spans="1:29" ht="15.75" thickBot="1">
      <c r="A14" s="2394"/>
      <c r="B14" s="2395"/>
      <c r="C14" s="2396" t="s">
        <v>2088</v>
      </c>
      <c r="D14" s="2366"/>
      <c r="E14" s="2397"/>
      <c r="F14" s="2397"/>
      <c r="G14" s="2360" t="s">
        <v>2089</v>
      </c>
    </row>
    <row r="15" spans="1:29" ht="27">
      <c r="A15" s="68" t="s">
        <v>2090</v>
      </c>
      <c r="B15" s="1265" t="s">
        <v>2076</v>
      </c>
      <c r="C15" s="2398">
        <f>C3</f>
        <v>0</v>
      </c>
      <c r="D15" s="2366"/>
      <c r="E15" s="2399" t="s">
        <v>2091</v>
      </c>
      <c r="F15" s="1265" t="s">
        <v>2092</v>
      </c>
      <c r="G15" s="132">
        <f>G3</f>
        <v>0</v>
      </c>
    </row>
    <row r="16" spans="1:29" ht="15">
      <c r="A16" s="640"/>
      <c r="B16" s="2400" t="s">
        <v>2078</v>
      </c>
      <c r="C16" s="2401">
        <f>C4</f>
        <v>0</v>
      </c>
      <c r="D16" s="2366"/>
      <c r="E16" s="2402"/>
      <c r="F16" s="2403" t="s">
        <v>2079</v>
      </c>
      <c r="G16" s="133">
        <f>G4</f>
        <v>0</v>
      </c>
    </row>
    <row r="17" spans="1:18" ht="15">
      <c r="A17" s="640"/>
      <c r="B17" s="2400" t="s">
        <v>2080</v>
      </c>
      <c r="C17" s="2401">
        <f>C5</f>
        <v>0</v>
      </c>
      <c r="D17" s="2372"/>
      <c r="E17" s="2402"/>
      <c r="F17" s="2403" t="s">
        <v>2093</v>
      </c>
      <c r="G17" s="1567"/>
    </row>
    <row r="18" spans="1:18" ht="15">
      <c r="A18" s="640"/>
      <c r="B18" s="2403" t="s">
        <v>2082</v>
      </c>
      <c r="C18" s="133">
        <f>C6</f>
        <v>0</v>
      </c>
      <c r="D18" s="2372"/>
      <c r="E18" s="2402"/>
      <c r="F18" s="2403" t="s">
        <v>2084</v>
      </c>
      <c r="G18" s="133">
        <f>G7</f>
        <v>0</v>
      </c>
    </row>
    <row r="19" spans="1:18" ht="15">
      <c r="A19" s="640"/>
      <c r="B19" s="2403" t="s">
        <v>2094</v>
      </c>
      <c r="C19" s="1567"/>
      <c r="D19" s="2366"/>
      <c r="E19" s="2402"/>
      <c r="F19" s="1793" t="s">
        <v>2081</v>
      </c>
      <c r="G19" s="133">
        <f>G5</f>
        <v>0</v>
      </c>
    </row>
    <row r="20" spans="1:18" ht="15">
      <c r="A20" s="640"/>
      <c r="B20" s="2403" t="s">
        <v>2095</v>
      </c>
      <c r="C20" s="2401">
        <f>C9</f>
        <v>0</v>
      </c>
      <c r="D20" s="2372"/>
      <c r="E20" s="2402"/>
      <c r="F20" s="1793" t="s">
        <v>2096</v>
      </c>
      <c r="G20" s="133">
        <f>G6</f>
        <v>0</v>
      </c>
    </row>
    <row r="21" spans="1:18" ht="15">
      <c r="A21" s="640"/>
      <c r="B21" s="1793" t="s">
        <v>2081</v>
      </c>
      <c r="C21" s="133">
        <f>C7</f>
        <v>0</v>
      </c>
      <c r="D21" s="2366"/>
      <c r="E21" s="2402"/>
      <c r="F21" s="2403" t="s">
        <v>2097</v>
      </c>
      <c r="G21" s="2404"/>
    </row>
    <row r="22" spans="1:18" ht="13.5" customHeight="1">
      <c r="A22" s="640"/>
      <c r="B22" s="1793" t="s">
        <v>2083</v>
      </c>
      <c r="C22" s="133">
        <f>C8</f>
        <v>0</v>
      </c>
      <c r="D22" s="2366"/>
      <c r="E22" s="2402"/>
      <c r="F22" s="2403" t="s">
        <v>2086</v>
      </c>
      <c r="G22" s="1567"/>
    </row>
    <row r="23" spans="1:18" s="2363" customFormat="1" ht="15.75" thickBot="1">
      <c r="A23" s="640"/>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75" thickBot="1">
      <c r="A24" s="2408"/>
      <c r="B24" s="2406" t="s">
        <v>2099</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36" customWidth="1"/>
    <col min="2" max="9" width="15.75" style="1736" customWidth="1"/>
    <col min="10" max="16384" width="9" style="1736"/>
  </cols>
  <sheetData>
    <row r="1" spans="1:10" ht="16.5">
      <c r="A1" s="1741" t="s">
        <v>1359</v>
      </c>
      <c r="B1" s="1741">
        <f>SUM(B14:B23)</f>
        <v>96535.67</v>
      </c>
      <c r="C1" s="1740"/>
      <c r="D1" s="1740"/>
      <c r="E1" s="1740"/>
      <c r="F1" s="1740"/>
      <c r="G1" s="1738"/>
    </row>
    <row r="2" spans="1:10" ht="16.5">
      <c r="A2" s="1741" t="s">
        <v>1347</v>
      </c>
      <c r="B2" s="1741">
        <f>SUM(C14:C23)</f>
        <v>35985.589999999997</v>
      </c>
      <c r="C2" s="1740"/>
      <c r="D2" s="1740"/>
      <c r="E2" s="1740"/>
      <c r="F2" s="1740"/>
      <c r="G2" s="1738"/>
    </row>
    <row r="3" spans="1:10" ht="16.5">
      <c r="A3" s="1741" t="s">
        <v>1356</v>
      </c>
      <c r="B3" s="1742">
        <f>项目基本情况!D3</f>
        <v>43318</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102110</v>
      </c>
      <c r="C5" s="1741">
        <f ca="1">ROUND(B5*10000/$B$1,0)</f>
        <v>10577</v>
      </c>
      <c r="D5" s="1741">
        <f ca="1">ROUND(B5*10000/$B$2,0)</f>
        <v>28375</v>
      </c>
      <c r="E5" s="1740"/>
      <c r="F5" s="1738"/>
      <c r="G5" s="1738"/>
    </row>
    <row r="6" spans="1:10" ht="16.5">
      <c r="A6" s="1741" t="s">
        <v>1350</v>
      </c>
      <c r="B6" s="1741">
        <f ca="1">SUM(G14:G23)</f>
        <v>100482</v>
      </c>
      <c r="C6" s="1741">
        <f ca="1">ROUND(B6*10000/$B$1,0)</f>
        <v>10409</v>
      </c>
      <c r="D6" s="1741">
        <f ca="1">ROUND(B6*10000/$B$2,0)</f>
        <v>27923</v>
      </c>
      <c r="E6" s="1740"/>
      <c r="F6" s="1738"/>
      <c r="G6" s="1738"/>
    </row>
    <row r="7" spans="1:10" ht="16.5">
      <c r="A7" s="1741" t="s">
        <v>1358</v>
      </c>
      <c r="B7" s="1741">
        <f>SUM(H14:H23)</f>
        <v>0</v>
      </c>
      <c r="C7" s="1741">
        <f>ROUND(B7*10000/$B$1,0)</f>
        <v>0</v>
      </c>
      <c r="D7" s="1741">
        <f>ROUND(B7*10000/$B$2,0)</f>
        <v>0</v>
      </c>
      <c r="E7" s="1740"/>
      <c r="F7" s="1738"/>
      <c r="G7" s="1738"/>
    </row>
    <row r="8" spans="1:10" ht="16.5">
      <c r="A8" s="1741" t="s">
        <v>1279</v>
      </c>
      <c r="B8" s="1741">
        <f>SUM(I14:I23)</f>
        <v>0</v>
      </c>
      <c r="C8" s="1741">
        <f>ROUND(B8*10000/$B$1,0)</f>
        <v>0</v>
      </c>
      <c r="D8" s="1741">
        <f>ROUND(B8*10000/$B$2,0)</f>
        <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96535.67</v>
      </c>
      <c r="C14" s="1739">
        <f>结果表!C118</f>
        <v>35985.589999999997</v>
      </c>
      <c r="D14" s="1739">
        <f ca="1">结果表!H118</f>
        <v>102110</v>
      </c>
      <c r="E14" s="1739">
        <f ca="1">ROUND(D14*10000/B14,0)</f>
        <v>10577</v>
      </c>
      <c r="F14" s="1739">
        <f ca="1">ROUND(D14*10000/C14,0)</f>
        <v>28375</v>
      </c>
      <c r="G14" s="1739">
        <f ca="1">结果表!D122</f>
        <v>100482</v>
      </c>
      <c r="H14" s="1739" t="str">
        <f>结果表!D124</f>
        <v>——</v>
      </c>
      <c r="I14" s="1739" t="str">
        <f>结果表!D126</f>
        <v>——</v>
      </c>
      <c r="J14" s="1738"/>
    </row>
    <row r="15" spans="1:10" ht="16.5">
      <c r="A15" s="1737" t="s">
        <v>1343</v>
      </c>
      <c r="B15" s="2991"/>
      <c r="C15" s="2991"/>
      <c r="D15" s="2991"/>
      <c r="E15" s="1739" t="e">
        <f t="shared" ref="E15:E23" si="0">ROUND(D15*10000/B15,0)</f>
        <v>#DIV/0!</v>
      </c>
      <c r="F15" s="1739" t="e">
        <f t="shared" ref="F15:F23" si="1">ROUND(D15*10000/C15,0)</f>
        <v>#DIV/0!</v>
      </c>
      <c r="G15" s="2991"/>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9" t="str">
        <f>项目基本情况!B1</f>
        <v>北京市房山区西潞街道良乡组团06街区06-23-01、06-23-05地块出让国有建设用地使用权及在建建筑物房地产抵押价值预评估</v>
      </c>
      <c r="C37" s="3009"/>
      <c r="D37" s="3009"/>
      <c r="E37" s="3009"/>
      <c r="F37" s="3009"/>
      <c r="G37" s="3009"/>
      <c r="H37" s="3009"/>
      <c r="I37" s="3009"/>
    </row>
    <row r="38" spans="1:9">
      <c r="A38" s="1014"/>
      <c r="B38" s="1014"/>
    </row>
    <row r="39" spans="1:9">
      <c r="A39" s="1012" t="s">
        <v>818</v>
      </c>
      <c r="B39" s="1012" t="s">
        <v>820</v>
      </c>
    </row>
    <row r="40" spans="1:9">
      <c r="A40" s="1012"/>
      <c r="B40" s="1940" t="str">
        <f>项目基本情况!B5</f>
        <v>北京星华蓝光置业有限公司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A99" zoomScaleNormal="100" zoomScaleSheetLayoutView="100" zoomScalePageLayoutView="80" workbookViewId="0">
      <selection activeCell="D122" sqref="D122:I122"/>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0" t="s">
        <v>2100</v>
      </c>
      <c r="B1" s="2414"/>
      <c r="C1" s="2415"/>
      <c r="D1" s="2414"/>
      <c r="E1" s="2414"/>
      <c r="F1" s="2416" t="s">
        <v>2101</v>
      </c>
      <c r="G1" s="2066" t="s">
        <v>3042</v>
      </c>
      <c r="H1" s="2417" t="str">
        <f>IF(G1="现房","——","估价对象范围")</f>
        <v>估价对象范围</v>
      </c>
      <c r="I1" s="2418" t="s">
        <v>3106</v>
      </c>
    </row>
    <row r="2" spans="1:12" ht="21.75" customHeight="1" thickBot="1">
      <c r="A2" s="3143" t="str">
        <f>项目基本情况!S2</f>
        <v>北京市房山区西潞街道良乡组团06街区06-23-01、06-23-05地块出让国有建设用地使用权及在建建筑物房地产</v>
      </c>
      <c r="B2" s="3144"/>
      <c r="C2" s="3144"/>
      <c r="D2" s="3144"/>
      <c r="E2" s="3144"/>
      <c r="F2" s="3144"/>
      <c r="G2" s="3144"/>
      <c r="H2" s="3144"/>
      <c r="I2" s="3145"/>
    </row>
    <row r="3" spans="1:12" ht="12.75">
      <c r="A3" s="3147" t="s">
        <v>2102</v>
      </c>
      <c r="B3" s="3148"/>
      <c r="C3" s="3148"/>
      <c r="D3" s="3148"/>
      <c r="E3" s="3148"/>
      <c r="F3" s="3148"/>
      <c r="G3" s="3148"/>
      <c r="H3" s="3148"/>
      <c r="I3" s="3148"/>
    </row>
    <row r="4" spans="1:12" ht="14.25">
      <c r="A4" s="2421" t="s">
        <v>2103</v>
      </c>
      <c r="B4" s="2422" t="s">
        <v>2104</v>
      </c>
      <c r="C4" s="2423" t="s">
        <v>3105</v>
      </c>
      <c r="D4" s="2423" t="s">
        <v>3165</v>
      </c>
      <c r="E4" s="3140" t="s">
        <v>2105</v>
      </c>
      <c r="F4" s="3141"/>
      <c r="G4" s="3141"/>
      <c r="H4" s="3141"/>
      <c r="I4" s="315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23" t="s">
        <v>2106</v>
      </c>
      <c r="B5" s="3053">
        <v>25</v>
      </c>
      <c r="C5" s="3149"/>
      <c r="D5" s="3146"/>
      <c r="E5" s="137" t="s">
        <v>2107</v>
      </c>
      <c r="F5" s="2425"/>
      <c r="G5" s="2425"/>
      <c r="H5" s="2425"/>
      <c r="I5" s="1829"/>
    </row>
    <row r="6" spans="1:12" ht="12.75">
      <c r="A6" s="3123"/>
      <c r="B6" s="3053"/>
      <c r="C6" s="3151"/>
      <c r="D6" s="3146"/>
      <c r="E6" s="137" t="s">
        <v>2108</v>
      </c>
      <c r="F6" s="2425"/>
      <c r="G6" s="2425"/>
      <c r="H6" s="2425"/>
      <c r="I6" s="1829"/>
    </row>
    <row r="7" spans="1:12" ht="12.75">
      <c r="A7" s="3123"/>
      <c r="B7" s="3053"/>
      <c r="C7" s="3150"/>
      <c r="D7" s="3146"/>
      <c r="E7" s="137" t="s">
        <v>2109</v>
      </c>
      <c r="F7" s="2425"/>
      <c r="G7" s="2425"/>
      <c r="H7" s="2425"/>
      <c r="I7" s="1829"/>
    </row>
    <row r="8" spans="1:12" ht="12.75">
      <c r="A8" s="3123" t="s">
        <v>2110</v>
      </c>
      <c r="B8" s="3053">
        <v>15</v>
      </c>
      <c r="C8" s="3149"/>
      <c r="D8" s="3146"/>
      <c r="E8" s="137" t="s">
        <v>2111</v>
      </c>
      <c r="F8" s="2425"/>
      <c r="G8" s="2425"/>
      <c r="H8" s="2425"/>
      <c r="I8" s="1829"/>
    </row>
    <row r="9" spans="1:12" ht="12.75">
      <c r="A9" s="3123"/>
      <c r="B9" s="3053"/>
      <c r="C9" s="3150"/>
      <c r="D9" s="3146"/>
      <c r="E9" s="137" t="s">
        <v>2112</v>
      </c>
      <c r="F9" s="2425"/>
      <c r="G9" s="2425"/>
      <c r="H9" s="2425"/>
      <c r="I9" s="1829"/>
    </row>
    <row r="10" spans="1:12" ht="12.75">
      <c r="A10" s="3123" t="s">
        <v>2113</v>
      </c>
      <c r="B10" s="3053">
        <v>15</v>
      </c>
      <c r="C10" s="3149"/>
      <c r="D10" s="3146"/>
      <c r="E10" s="137" t="s">
        <v>2114</v>
      </c>
      <c r="F10" s="2425"/>
      <c r="G10" s="2425"/>
      <c r="H10" s="2425"/>
      <c r="I10" s="1829"/>
    </row>
    <row r="11" spans="1:12" ht="12.75">
      <c r="A11" s="3123"/>
      <c r="B11" s="3053"/>
      <c r="C11" s="3150"/>
      <c r="D11" s="3146"/>
      <c r="E11" s="137" t="s">
        <v>2115</v>
      </c>
      <c r="F11" s="2425"/>
      <c r="G11" s="2425"/>
      <c r="H11" s="2425"/>
      <c r="I11" s="1829"/>
    </row>
    <row r="12" spans="1:12" ht="12.75">
      <c r="A12" s="3123" t="s">
        <v>2116</v>
      </c>
      <c r="B12" s="3053">
        <v>15</v>
      </c>
      <c r="C12" s="3149"/>
      <c r="D12" s="3146"/>
      <c r="E12" s="137" t="s">
        <v>2117</v>
      </c>
      <c r="F12" s="2425"/>
      <c r="G12" s="2425"/>
      <c r="H12" s="2425"/>
      <c r="I12" s="1829"/>
    </row>
    <row r="13" spans="1:12" ht="12.75">
      <c r="A13" s="3123"/>
      <c r="B13" s="3053"/>
      <c r="C13" s="3150"/>
      <c r="D13" s="3146"/>
      <c r="E13" s="137" t="s">
        <v>2118</v>
      </c>
      <c r="F13" s="2425"/>
      <c r="G13" s="2425"/>
      <c r="H13" s="2425"/>
      <c r="I13" s="1829"/>
    </row>
    <row r="14" spans="1:12" ht="12.75">
      <c r="A14" s="3123" t="s">
        <v>2119</v>
      </c>
      <c r="B14" s="3053">
        <v>30</v>
      </c>
      <c r="C14" s="3126">
        <v>4</v>
      </c>
      <c r="D14" s="3174">
        <f>10-C14</f>
        <v>6</v>
      </c>
      <c r="E14" s="137" t="s">
        <v>2120</v>
      </c>
      <c r="F14" s="2425"/>
      <c r="G14" s="2425"/>
      <c r="H14" s="2425"/>
      <c r="I14" s="1829"/>
    </row>
    <row r="15" spans="1:12" ht="12.75">
      <c r="A15" s="3123"/>
      <c r="B15" s="3053"/>
      <c r="C15" s="3127"/>
      <c r="D15" s="3174"/>
      <c r="E15" s="137" t="s">
        <v>2121</v>
      </c>
      <c r="F15" s="2425"/>
      <c r="G15" s="2425"/>
      <c r="H15" s="2425"/>
      <c r="I15" s="1829"/>
    </row>
    <row r="16" spans="1:12" ht="12.75">
      <c r="A16" s="3123"/>
      <c r="B16" s="3053"/>
      <c r="C16" s="3128"/>
      <c r="D16" s="3174"/>
      <c r="E16" s="137" t="s">
        <v>2122</v>
      </c>
      <c r="F16" s="2425"/>
      <c r="G16" s="2425"/>
      <c r="H16" s="2425"/>
      <c r="I16" s="1829"/>
    </row>
    <row r="17" spans="1:35" ht="15">
      <c r="A17" s="2426" t="s">
        <v>2123</v>
      </c>
      <c r="B17" s="64"/>
      <c r="C17" s="138">
        <f>SUM(C5:C16)</f>
        <v>4</v>
      </c>
      <c r="D17" s="138">
        <f>SUM(D5:D16)</f>
        <v>6</v>
      </c>
      <c r="E17" s="135"/>
      <c r="F17" s="135"/>
      <c r="G17" s="135"/>
      <c r="H17" s="135"/>
      <c r="I17" s="135"/>
      <c r="K17" s="2424"/>
      <c r="L17" s="2427" t="s">
        <v>2124</v>
      </c>
      <c r="M17" s="2427" t="s">
        <v>2125</v>
      </c>
    </row>
    <row r="18" spans="1:35" ht="15.75" thickBot="1">
      <c r="A18" s="2428" t="s">
        <v>2126</v>
      </c>
      <c r="B18" s="2429"/>
      <c r="C18" s="139">
        <f>ROUND(C17/SUM(C17:D17),2)</f>
        <v>0.4</v>
      </c>
      <c r="D18" s="139">
        <f>1-C18</f>
        <v>0.6</v>
      </c>
      <c r="E18" s="135"/>
      <c r="F18" s="135"/>
      <c r="G18" s="135"/>
      <c r="H18" s="135"/>
      <c r="I18" s="135"/>
      <c r="K18" s="2424" t="s">
        <v>2127</v>
      </c>
      <c r="L18" s="2424">
        <f>IF(C1="",'数据-汇总表'!E3,SUMIF(项目类型,C1,'数据-汇总表'!E17:E26)+SUMIF(项目类型,C1,'数据-汇总表'!I17:I26))</f>
        <v>96535.67</v>
      </c>
      <c r="M18" s="2424">
        <f>IF(C1="",'数据-汇总表'!E3,SUMIF(项目类型,C1,'数据-汇总表'!E17:E26))</f>
        <v>96535.67</v>
      </c>
    </row>
    <row r="19" spans="1:35" ht="15">
      <c r="A19" s="2430" t="s">
        <v>2128</v>
      </c>
      <c r="B19" s="2431" t="s">
        <v>2129</v>
      </c>
      <c r="C19" s="140">
        <f ca="1">SUMIF(INDIRECT("'"&amp;C4&amp;"'"&amp;"!A:A"),结果表!B19,INDIRECT("'"&amp;C4&amp;"'"&amp;"!B:B"))</f>
        <v>130483</v>
      </c>
      <c r="D19" s="141">
        <f ca="1">SUMIF(INDIRECT("'"&amp;D4&amp;"'"&amp;"!A:A"),结果表!B19,INDIRECT("'"&amp;D4&amp;"'"&amp;"!B:B"))</f>
        <v>83195</v>
      </c>
      <c r="E19" s="2430" t="s">
        <v>2130</v>
      </c>
      <c r="F19" s="2431" t="s">
        <v>2129</v>
      </c>
      <c r="G19" s="142">
        <f ca="1">ROUND(C19*$C$18+D19*$D$18,0)</f>
        <v>102110</v>
      </c>
      <c r="H19" s="2432" t="s">
        <v>2131</v>
      </c>
      <c r="I19" s="135"/>
      <c r="K19" s="2424" t="s">
        <v>2132</v>
      </c>
      <c r="L19" s="2424">
        <f>IF(C1="",'数据-汇总表'!D3,SUMIF(项目类型,C1,'数据-汇总表'!D17:D26)+SUMIF(项目类型,C1,'数据-汇总表'!H17:H27))</f>
        <v>35985.589999999997</v>
      </c>
      <c r="M19" s="2424">
        <f>IF(C1="",'数据-汇总表'!D3,SUMIF(项目类型,C1,'数据-汇总表'!D17:D26))</f>
        <v>35985.589999999997</v>
      </c>
    </row>
    <row r="20" spans="1:35" ht="15">
      <c r="A20" s="2433"/>
      <c r="B20" s="1245" t="s">
        <v>2133</v>
      </c>
      <c r="C20" s="143">
        <f ca="1">SUMIF(INDIRECT("'"&amp;C4&amp;"'"&amp;"!A:A"),结果表!B20,INDIRECT("'"&amp;C4&amp;"'"&amp;"!B:B"))</f>
        <v>13517</v>
      </c>
      <c r="D20" s="144">
        <f ca="1">SUMIF(INDIRECT("'"&amp;D4&amp;"'"&amp;"!A:A"),结果表!B20,INDIRECT("'"&amp;D4&amp;"'"&amp;"!B:B"))</f>
        <v>8618</v>
      </c>
      <c r="E20" s="2433"/>
      <c r="F20" s="1245" t="s">
        <v>2133</v>
      </c>
      <c r="G20" s="145">
        <f ca="1">ROUND(C20*$C$18+D20*$D$18,0)</f>
        <v>10578</v>
      </c>
      <c r="H20" s="978" t="s">
        <v>2134</v>
      </c>
      <c r="I20" s="135"/>
    </row>
    <row r="21" spans="1:35" ht="15" customHeight="1" thickBot="1">
      <c r="A21" s="998"/>
      <c r="B21" s="2434" t="s">
        <v>2135</v>
      </c>
      <c r="C21" s="784">
        <f ca="1">ROUND(C19*10000/L19,0)</f>
        <v>36260</v>
      </c>
      <c r="D21" s="785">
        <f ca="1">ROUND(D19*10000/L19,0)</f>
        <v>23119</v>
      </c>
      <c r="E21" s="998"/>
      <c r="F21" s="2434" t="s">
        <v>2135</v>
      </c>
      <c r="G21" s="146">
        <f ca="1">ROUND(G19*10000/L19,0)</f>
        <v>28375</v>
      </c>
      <c r="H21" s="2435" t="s">
        <v>2134</v>
      </c>
      <c r="I21" s="135"/>
    </row>
    <row r="22" spans="1:35" ht="15" thickBot="1">
      <c r="A22" s="2276" t="s">
        <v>2136</v>
      </c>
      <c r="B22" s="2436"/>
      <c r="C22" s="2437"/>
      <c r="D22" s="786">
        <f ca="1">IF(C19&lt;D19,D19/C19-1,C19/D19-1)</f>
        <v>0.56839954324178144</v>
      </c>
      <c r="E22" s="135"/>
      <c r="F22" s="2984" t="s">
        <v>3150</v>
      </c>
      <c r="G22" s="2985">
        <f ca="1">G19/'数据-汇总表'!F31*10000</f>
        <v>15015.759120812674</v>
      </c>
      <c r="H22" s="135"/>
      <c r="I22" s="135"/>
    </row>
    <row r="23" spans="1:35" ht="13.5" hidden="1" thickBot="1">
      <c r="A23" s="2414"/>
      <c r="B23" s="2414"/>
      <c r="C23" s="2414"/>
      <c r="D23" s="2414"/>
      <c r="E23" s="135"/>
      <c r="F23" s="135"/>
      <c r="G23" s="135"/>
      <c r="H23" s="135"/>
      <c r="I23" s="135"/>
    </row>
    <row r="24" spans="1:35" ht="14.25" hidden="1">
      <c r="A24" s="3117" t="s">
        <v>2137</v>
      </c>
      <c r="B24" s="2431" t="s">
        <v>2129</v>
      </c>
      <c r="C24" s="142">
        <f>IF(B30=0,0,D30)</f>
        <v>0</v>
      </c>
      <c r="D24" s="2438"/>
      <c r="E24" s="135"/>
      <c r="F24" s="135"/>
      <c r="G24" s="135"/>
      <c r="H24" s="135"/>
      <c r="I24" s="135"/>
    </row>
    <row r="25" spans="1:35" ht="14.25" hidden="1">
      <c r="A25" s="3118"/>
      <c r="B25" s="1245" t="s">
        <v>2133</v>
      </c>
      <c r="C25" s="147">
        <f>IF(B30=0,0,C30)</f>
        <v>0</v>
      </c>
      <c r="D25" s="2439"/>
      <c r="E25" s="135"/>
      <c r="F25" s="135"/>
      <c r="G25" s="135"/>
      <c r="H25" s="135"/>
      <c r="I25" s="135"/>
    </row>
    <row r="26" spans="1:35" ht="13.5" hidden="1" customHeight="1">
      <c r="A26" s="2440" t="s">
        <v>2138</v>
      </c>
      <c r="B26" s="148" t="s">
        <v>2139</v>
      </c>
      <c r="C26" s="148" t="s">
        <v>2140</v>
      </c>
      <c r="D26" s="149" t="s">
        <v>2141</v>
      </c>
      <c r="E26" s="135"/>
      <c r="F26" s="135"/>
      <c r="G26" s="135"/>
      <c r="H26" s="135"/>
      <c r="I26" s="135"/>
    </row>
    <row r="27" spans="1:35" ht="14.25" hidden="1">
      <c r="A27" s="2440"/>
      <c r="B27" s="148">
        <v>0</v>
      </c>
      <c r="C27" s="148">
        <v>0</v>
      </c>
      <c r="D27" s="149">
        <f>ROUND(C27*B27/10000,0)</f>
        <v>0</v>
      </c>
      <c r="E27" s="135"/>
      <c r="F27" s="135"/>
      <c r="G27" s="135"/>
      <c r="H27" s="135"/>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48" t="s">
        <v>2142</v>
      </c>
      <c r="B30" s="148"/>
      <c r="C30" s="148"/>
      <c r="D30" s="148"/>
      <c r="E30" s="2923" t="s">
        <v>3013</v>
      </c>
      <c r="F30" s="135"/>
      <c r="G30" s="135"/>
      <c r="H30" s="135"/>
      <c r="I30" s="135"/>
    </row>
    <row r="31" spans="1:35" s="2442" customFormat="1" ht="15" hidden="1" thickBot="1">
      <c r="A31" s="2441"/>
      <c r="B31" s="2441"/>
      <c r="C31" s="2441"/>
      <c r="D31" s="2441"/>
      <c r="E31" s="135"/>
      <c r="F31" s="135"/>
      <c r="G31" s="135"/>
      <c r="H31" s="135"/>
      <c r="I31" s="135"/>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2143</v>
      </c>
      <c r="B32" s="2444"/>
      <c r="C32" s="150">
        <f ca="1">IF(D32="总价",G19-C24,G20-C25)</f>
        <v>102110</v>
      </c>
      <c r="D32" s="2445" t="s">
        <v>2144</v>
      </c>
      <c r="E32" s="135"/>
      <c r="F32" s="135"/>
      <c r="G32" s="135"/>
      <c r="H32" s="135"/>
      <c r="I32" s="135"/>
    </row>
    <row r="33" spans="1:15" ht="15">
      <c r="A33" s="955" t="s">
        <v>2145</v>
      </c>
      <c r="B33" s="2446"/>
      <c r="C33" s="2447" t="s">
        <v>3164</v>
      </c>
      <c r="D33" s="2448" t="s">
        <v>3105</v>
      </c>
      <c r="E33" s="2449" t="s">
        <v>2146</v>
      </c>
      <c r="F33" s="2450" t="str">
        <f>IF(D32="楼面单价","取值（单价）","取值（总价）")</f>
        <v>取值（总价）</v>
      </c>
      <c r="G33" s="135"/>
      <c r="H33" s="135"/>
      <c r="I33" s="135"/>
    </row>
    <row r="34" spans="1:15" ht="15">
      <c r="A34" s="2451"/>
      <c r="B34" s="2452" t="s">
        <v>2147</v>
      </c>
      <c r="C34" s="154">
        <f ca="1">IF(C33="自定义",F34,C32-C35)</f>
        <v>76276</v>
      </c>
      <c r="D34" s="1053">
        <f ca="1">IF(C33="自定义",ROUND(C34/C32,3),IF(C33="收益比率",SUMIF(INDIRECT("'"&amp;D33&amp;"'"&amp;"!b:b"),"土地收益比率",INDIRECT("'"&amp;D33&amp;"'"&amp;"!c:c")),SUMIF(INDIRECT("'"&amp;D33&amp;"'"&amp;"!b:b"),"土地成本比率",INDIRECT("'"&amp;D33&amp;"'"&amp;"!c:c"))))</f>
        <v>0.747</v>
      </c>
      <c r="E34" s="2453" t="s">
        <v>2148</v>
      </c>
      <c r="F34" s="1734"/>
      <c r="G34" s="135"/>
      <c r="H34" s="135"/>
      <c r="I34" s="135"/>
    </row>
    <row r="35" spans="1:15" ht="15.75" thickBot="1">
      <c r="A35" s="2454"/>
      <c r="B35" s="2455" t="s">
        <v>2149</v>
      </c>
      <c r="C35" s="1439">
        <f ca="1">IF(C33="自定义",F35,ROUND(C32*D35,0))</f>
        <v>25834</v>
      </c>
      <c r="D35" s="1440">
        <f ca="1">IF(C33="自定义",ROUND(C35/C32,3),IF(C33="收益比率",SUMIF(INDIRECT("'"&amp;D33&amp;"'"&amp;"!b:b"),"建筑物收益比率",INDIRECT("'"&amp;D33&amp;"'"&amp;"!c:c")),SUMIF(INDIRECT("'"&amp;D33&amp;"'"&amp;"!b:b"),"建筑物成本比率",INDIRECT("'"&amp;D33&amp;"'"&amp;"!c:c"))))</f>
        <v>0.253</v>
      </c>
      <c r="E35" s="2456" t="s">
        <v>2150</v>
      </c>
      <c r="F35" s="158"/>
      <c r="G35" s="135"/>
      <c r="H35" s="135"/>
      <c r="I35" s="135"/>
    </row>
    <row r="36" spans="1:15" ht="15.75" thickBot="1">
      <c r="A36" s="3135" t="s">
        <v>2151</v>
      </c>
      <c r="B36" s="2457" t="s">
        <v>2152</v>
      </c>
      <c r="C36" s="151"/>
      <c r="D36" s="2458"/>
      <c r="E36" s="2459"/>
      <c r="F36" s="2460"/>
      <c r="G36" s="135"/>
      <c r="H36" s="135"/>
      <c r="I36" s="135"/>
    </row>
    <row r="37" spans="1:15" ht="15.75" thickBot="1">
      <c r="A37" s="3136"/>
      <c r="B37" s="2262" t="s">
        <v>2153</v>
      </c>
      <c r="C37" s="153"/>
      <c r="D37" s="1390"/>
      <c r="E37" s="1390"/>
      <c r="F37" s="2460"/>
      <c r="G37" s="135"/>
      <c r="H37" s="135"/>
      <c r="I37" s="135"/>
    </row>
    <row r="38" spans="1:15" ht="15.75" thickBot="1">
      <c r="A38" s="3137"/>
      <c r="B38" s="2461" t="s">
        <v>2154</v>
      </c>
      <c r="C38" s="722">
        <f>E40+E41+E42</f>
        <v>1628</v>
      </c>
      <c r="D38" s="2462" t="s">
        <v>2155</v>
      </c>
      <c r="E38" s="1390"/>
      <c r="F38" s="2460"/>
      <c r="G38" s="135"/>
      <c r="H38" s="135"/>
      <c r="I38" s="135"/>
    </row>
    <row r="39" spans="1:15" ht="15">
      <c r="A39" s="2433" t="s">
        <v>2156</v>
      </c>
      <c r="B39" s="2463" t="s">
        <v>2157</v>
      </c>
      <c r="C39" s="2464" t="s">
        <v>2158</v>
      </c>
      <c r="D39" s="2464" t="s">
        <v>2159</v>
      </c>
      <c r="E39" s="2465" t="s">
        <v>2160</v>
      </c>
      <c r="F39" s="2460"/>
      <c r="G39" s="135"/>
      <c r="H39" s="135"/>
      <c r="I39" s="135"/>
    </row>
    <row r="40" spans="1:15" ht="14.25">
      <c r="A40" s="2466" t="s">
        <v>2161</v>
      </c>
      <c r="B40" s="155">
        <v>18914.39</v>
      </c>
      <c r="C40" s="3008">
        <v>167</v>
      </c>
      <c r="D40" s="2963">
        <v>3.0499999999999999E-2</v>
      </c>
      <c r="E40" s="157">
        <f>ROUND(B40*C40*(1+D40)/10000,0)</f>
        <v>326</v>
      </c>
      <c r="F40" s="2460"/>
      <c r="G40" s="135"/>
      <c r="H40" s="135"/>
      <c r="I40" s="135"/>
    </row>
    <row r="41" spans="1:15" ht="14.25">
      <c r="A41" s="2466" t="s">
        <v>2162</v>
      </c>
      <c r="B41" s="155">
        <v>4959.53</v>
      </c>
      <c r="C41" s="3008">
        <v>2242</v>
      </c>
      <c r="D41" s="2963">
        <v>3.0499999999999999E-2</v>
      </c>
      <c r="E41" s="157">
        <f>ROUND(B41*C41*(1+D41)/10000,0)</f>
        <v>1146</v>
      </c>
      <c r="F41" s="2460"/>
      <c r="G41" s="135"/>
      <c r="H41" s="135"/>
      <c r="I41" s="135"/>
    </row>
    <row r="42" spans="1:15" ht="15" thickBot="1">
      <c r="A42" s="2467"/>
      <c r="B42" s="155">
        <f>问题!H10</f>
        <v>225.26000000000931</v>
      </c>
      <c r="C42" s="3005">
        <f>6726</f>
        <v>6726</v>
      </c>
      <c r="D42" s="2963">
        <v>3.0499999999999999E-2</v>
      </c>
      <c r="E42" s="157">
        <f>ROUND(B42*C42*(1+D42)/10000,0)</f>
        <v>156</v>
      </c>
      <c r="F42" s="2460"/>
      <c r="G42" s="135"/>
      <c r="H42" s="135"/>
      <c r="I42" s="135"/>
    </row>
    <row r="43" spans="1:15" ht="12.75" hidden="1">
      <c r="A43" s="2160"/>
      <c r="B43" s="2160"/>
      <c r="C43" s="2160"/>
      <c r="D43" s="2160"/>
      <c r="E43" s="2160"/>
      <c r="F43" s="2468"/>
      <c r="G43" s="2468"/>
      <c r="H43" s="2468"/>
      <c r="I43" s="2469"/>
    </row>
    <row r="44" spans="1:15" ht="18.75" hidden="1">
      <c r="A44" s="2470" t="s">
        <v>2163</v>
      </c>
      <c r="B44" s="2471"/>
      <c r="C44" s="2471"/>
      <c r="D44" s="2472"/>
      <c r="E44" s="2472"/>
      <c r="F44" s="2473"/>
      <c r="G44" s="2473"/>
      <c r="H44" s="2473"/>
      <c r="I44" s="2473"/>
      <c r="J44" s="2474" t="s">
        <v>2164</v>
      </c>
      <c r="K44" s="2475"/>
      <c r="L44" s="2475"/>
      <c r="M44" s="2475"/>
      <c r="N44" s="2475"/>
      <c r="O44" s="2475"/>
    </row>
    <row r="45" spans="1:15" ht="14.25" hidden="1" customHeight="1" thickBot="1">
      <c r="A45" s="3114" t="s">
        <v>2165</v>
      </c>
      <c r="B45" s="3115"/>
      <c r="C45" s="3116"/>
      <c r="D45" s="159">
        <f ca="1">ROUND(H101*F45,0)</f>
        <v>102110</v>
      </c>
      <c r="E45" s="160" t="s">
        <v>2166</v>
      </c>
      <c r="F45" s="161">
        <v>1</v>
      </c>
      <c r="G45" s="162" t="s">
        <v>2167</v>
      </c>
      <c r="H45" s="135"/>
      <c r="I45" s="135"/>
      <c r="J45" s="3178" t="s">
        <v>2168</v>
      </c>
      <c r="K45" s="3178"/>
      <c r="L45" s="3178"/>
      <c r="M45" s="3178"/>
      <c r="N45" s="3178"/>
      <c r="O45" s="3178"/>
    </row>
    <row r="46" spans="1:15" ht="14.25" hidden="1" customHeight="1">
      <c r="A46" s="3111" t="s">
        <v>2169</v>
      </c>
      <c r="B46" s="3112"/>
      <c r="C46" s="3112"/>
      <c r="D46" s="3112"/>
      <c r="E46" s="3112"/>
      <c r="F46" s="3112"/>
      <c r="G46" s="3113"/>
      <c r="H46" s="2476"/>
      <c r="I46" s="163"/>
      <c r="J46" s="1807">
        <v>1</v>
      </c>
      <c r="K46" s="3178" t="s">
        <v>2170</v>
      </c>
      <c r="L46" s="3178"/>
      <c r="M46" s="3198"/>
      <c r="N46" s="3198"/>
      <c r="O46" s="3198"/>
    </row>
    <row r="47" spans="1:15" ht="12" hidden="1" customHeight="1">
      <c r="A47" s="164" t="s">
        <v>2171</v>
      </c>
      <c r="B47" s="165"/>
      <c r="C47" s="166"/>
      <c r="D47" s="167" t="s">
        <v>2172</v>
      </c>
      <c r="E47" s="24" t="s">
        <v>2173</v>
      </c>
      <c r="F47" s="168" t="s">
        <v>2174</v>
      </c>
      <c r="G47" s="169" t="s">
        <v>2175</v>
      </c>
      <c r="H47" s="2476"/>
      <c r="I47" s="163"/>
      <c r="J47" s="1807">
        <v>2</v>
      </c>
      <c r="K47" s="3178" t="s">
        <v>2176</v>
      </c>
      <c r="L47" s="3178"/>
      <c r="M47" s="3199">
        <f>'数据-取费表'!B2</f>
        <v>43318</v>
      </c>
      <c r="N47" s="3199"/>
      <c r="O47" s="3199"/>
    </row>
    <row r="48" spans="1:15" ht="25.5" hidden="1">
      <c r="A48" s="3142" t="s">
        <v>2177</v>
      </c>
      <c r="B48" s="3125"/>
      <c r="C48" s="3125"/>
      <c r="D48" s="137">
        <f>IF(H48="情况1",0,IF(H48="情况2",D52,IF(H48="情况3",D53,IF(H48="情况4",D54))))</f>
        <v>0</v>
      </c>
      <c r="E48" s="1796" t="str">
        <f>IF(H48="情况4","(销售额-原购置价)×税（费）率","销售额×税（费）率")</f>
        <v>销售额×税（费）率</v>
      </c>
      <c r="F48" s="170" t="str">
        <f>IF(H48="情况1","免征",'数据-取费表'!B41)</f>
        <v>免征</v>
      </c>
      <c r="G48" s="2477" t="s">
        <v>2178</v>
      </c>
      <c r="H48" s="2478" t="s">
        <v>2179</v>
      </c>
      <c r="I48" s="2476"/>
      <c r="J48" s="1807">
        <v>3</v>
      </c>
      <c r="K48" s="3178" t="s">
        <v>2180</v>
      </c>
      <c r="L48" s="3178"/>
      <c r="M48" s="3200">
        <f ca="1">H101</f>
        <v>102110</v>
      </c>
      <c r="N48" s="3200"/>
      <c r="O48" s="3200"/>
    </row>
    <row r="49" spans="1:35" ht="25.5" hidden="1" customHeight="1">
      <c r="A49" s="171" t="s">
        <v>2181</v>
      </c>
      <c r="B49" s="3110" t="s">
        <v>2182</v>
      </c>
      <c r="C49" s="3110"/>
      <c r="D49" s="172">
        <v>0</v>
      </c>
      <c r="E49" s="23" t="s">
        <v>2183</v>
      </c>
      <c r="F49" s="28" t="s">
        <v>34</v>
      </c>
      <c r="G49" s="3184"/>
      <c r="H49" s="135"/>
      <c r="I49" s="2479"/>
      <c r="J49" s="1807">
        <v>4</v>
      </c>
      <c r="K49" s="3178" t="str">
        <f>IF(项目基本情况!E8="房地产抵押价值","房地产抵押价值","抵押担保权已注销时的房地产抵押价值")</f>
        <v>房地产抵押价值</v>
      </c>
      <c r="L49" s="3178"/>
      <c r="M49" s="3200">
        <f ca="1">IF(项目基本情况!E8="房地产抵押价值",H107,H109)</f>
        <v>100482</v>
      </c>
      <c r="N49" s="3200"/>
      <c r="O49" s="3200"/>
    </row>
    <row r="50" spans="1:35" ht="25.5" hidden="1" customHeight="1">
      <c r="A50" s="173"/>
      <c r="B50" s="3110" t="s">
        <v>2184</v>
      </c>
      <c r="C50" s="3110"/>
      <c r="D50" s="174"/>
      <c r="E50" s="31"/>
      <c r="F50" s="175"/>
      <c r="G50" s="3185"/>
      <c r="H50" s="135"/>
      <c r="I50" s="2479"/>
      <c r="J50" s="3178" t="s">
        <v>2185</v>
      </c>
      <c r="K50" s="3178"/>
      <c r="L50" s="3178"/>
      <c r="M50" s="3178"/>
      <c r="N50" s="3178"/>
      <c r="O50" s="3178"/>
    </row>
    <row r="51" spans="1:35" ht="12" hidden="1" customHeight="1">
      <c r="A51" s="176"/>
      <c r="B51" s="3110" t="s">
        <v>2186</v>
      </c>
      <c r="C51" s="3110"/>
      <c r="D51" s="177"/>
      <c r="E51" s="30"/>
      <c r="F51" s="175"/>
      <c r="G51" s="3186"/>
      <c r="H51" s="135"/>
      <c r="I51" s="2479"/>
      <c r="J51" s="2480" t="s">
        <v>2187</v>
      </c>
      <c r="K51" s="3178" t="s">
        <v>2188</v>
      </c>
      <c r="L51" s="3178"/>
      <c r="M51" s="2480" t="s">
        <v>2189</v>
      </c>
      <c r="N51" s="2480" t="s">
        <v>2190</v>
      </c>
      <c r="O51" s="2480" t="s">
        <v>2191</v>
      </c>
    </row>
    <row r="52" spans="1:35" ht="24" hidden="1" customHeight="1">
      <c r="A52" s="178" t="s">
        <v>2192</v>
      </c>
      <c r="B52" s="3110" t="s">
        <v>2193</v>
      </c>
      <c r="C52" s="3110"/>
      <c r="D52" s="177">
        <f ca="1">ROUND(D45*'数据-取费表'!B41/(1+'数据-取费表'!C42),0)</f>
        <v>5349</v>
      </c>
      <c r="E52" s="11" t="s">
        <v>2194</v>
      </c>
      <c r="F52" s="179">
        <f>'数据-取费表'!B41</f>
        <v>5.5000000000000007E-2</v>
      </c>
      <c r="G52" s="2481"/>
      <c r="H52" s="135"/>
      <c r="I52" s="2479"/>
      <c r="J52" s="1807">
        <v>1</v>
      </c>
      <c r="K52" s="3179" t="s">
        <v>2195</v>
      </c>
      <c r="L52" s="3179"/>
      <c r="M52" s="1749">
        <f>D48</f>
        <v>0</v>
      </c>
      <c r="N52" s="1807" t="str">
        <f>E48</f>
        <v>销售额×税（费）率</v>
      </c>
      <c r="O52" s="1750" t="str">
        <f>F48</f>
        <v>免征</v>
      </c>
    </row>
    <row r="53" spans="1:35" ht="12" hidden="1" customHeight="1">
      <c r="A53" s="178" t="s">
        <v>2196</v>
      </c>
      <c r="B53" s="3133" t="s">
        <v>2197</v>
      </c>
      <c r="C53" s="3134"/>
      <c r="D53" s="177">
        <f ca="1">ROUND(D45*'数据-取费表'!B41/(1+'数据-取费表'!C42),0)</f>
        <v>5349</v>
      </c>
      <c r="E53" s="11" t="s">
        <v>2194</v>
      </c>
      <c r="F53" s="179">
        <f>'数据-取费表'!B41</f>
        <v>5.5000000000000007E-2</v>
      </c>
      <c r="G53" s="2481"/>
      <c r="H53" s="135"/>
      <c r="I53" s="2479"/>
      <c r="J53" s="1807">
        <v>2</v>
      </c>
      <c r="K53" s="3179" t="s">
        <v>2198</v>
      </c>
      <c r="L53" s="3179"/>
      <c r="M53" s="1749">
        <f t="shared" ref="M53:O54" ca="1" si="0">D55</f>
        <v>51</v>
      </c>
      <c r="N53" s="1807" t="str">
        <f t="shared" si="0"/>
        <v>销售额×税（费）率</v>
      </c>
      <c r="O53" s="1750">
        <f t="shared" si="0"/>
        <v>5.0000000000000001E-4</v>
      </c>
    </row>
    <row r="54" spans="1:35" ht="12" hidden="1" customHeight="1">
      <c r="A54" s="178" t="s">
        <v>2199</v>
      </c>
      <c r="B54" s="3133" t="s">
        <v>2200</v>
      </c>
      <c r="C54" s="3134"/>
      <c r="D54" s="177">
        <f ca="1">C68</f>
        <v>5349</v>
      </c>
      <c r="E54" s="30" t="s">
        <v>2201</v>
      </c>
      <c r="F54" s="179">
        <f>'数据-取费表'!B41</f>
        <v>5.5000000000000007E-2</v>
      </c>
      <c r="G54" s="2481"/>
      <c r="H54" s="2482"/>
      <c r="I54" s="2479"/>
      <c r="J54" s="1807">
        <v>3</v>
      </c>
      <c r="K54" s="3179" t="s">
        <v>2202</v>
      </c>
      <c r="L54" s="3179"/>
      <c r="M54" s="1749">
        <f t="shared" ca="1" si="0"/>
        <v>57887</v>
      </c>
      <c r="N54" s="1807" t="str">
        <f t="shared" si="0"/>
        <v>增值额×税（费）率</v>
      </c>
      <c r="O54" s="1751" t="str">
        <f t="shared" si="0"/>
        <v>——</v>
      </c>
    </row>
    <row r="55" spans="1:35" ht="24" hidden="1" customHeight="1">
      <c r="A55" s="3124" t="s">
        <v>2203</v>
      </c>
      <c r="B55" s="3125"/>
      <c r="C55" s="3125"/>
      <c r="D55" s="180">
        <f ca="1">IF(H55="个人住宅",0,ROUND(D45*I55,0))</f>
        <v>51</v>
      </c>
      <c r="E55" s="11" t="s">
        <v>2204</v>
      </c>
      <c r="F55" s="179">
        <f>IF(H55="正常",I55,"免征")</f>
        <v>5.0000000000000001E-4</v>
      </c>
      <c r="G55" s="2481"/>
      <c r="H55" s="2478" t="s">
        <v>2205</v>
      </c>
      <c r="I55" s="181">
        <f>'数据-取费表'!B49</f>
        <v>5.0000000000000001E-4</v>
      </c>
      <c r="J55" s="1807" t="str">
        <f>IF(H59="非个人房产","",4)</f>
        <v/>
      </c>
      <c r="K55" s="3179" t="str">
        <f>IF(H59="非个人房产","——","个人所得税")</f>
        <v>——</v>
      </c>
      <c r="L55" s="3179"/>
      <c r="M55" s="1752" t="str">
        <f>D59</f>
        <v>——</v>
      </c>
      <c r="N55" s="1805" t="str">
        <f>E59</f>
        <v>——</v>
      </c>
      <c r="O55" s="1753" t="str">
        <f>F59</f>
        <v>——</v>
      </c>
    </row>
    <row r="56" spans="1:35" ht="24.75" hidden="1">
      <c r="A56" s="3124" t="s">
        <v>2206</v>
      </c>
      <c r="B56" s="3125"/>
      <c r="C56" s="3125"/>
      <c r="D56" s="180">
        <f ca="1">IF(H56="个人住宅",D57,D58)</f>
        <v>57887</v>
      </c>
      <c r="E56" s="11" t="s">
        <v>2207</v>
      </c>
      <c r="F56" s="179" t="str">
        <f>IF(H56="正常",F58,"免征")</f>
        <v>——</v>
      </c>
      <c r="G56" s="2483" t="s">
        <v>2208</v>
      </c>
      <c r="H56" s="2484" t="s">
        <v>2205</v>
      </c>
      <c r="I56" s="2485"/>
      <c r="J56" s="1807" t="str">
        <f>IF(项目基本情况!K6="上海银行",IF(J55="",4,J55+1),"")</f>
        <v/>
      </c>
      <c r="K56" s="3202" t="str">
        <f>IF(项目基本情况!K6="上海银行","其他处置费用","")</f>
        <v/>
      </c>
      <c r="L56" s="3203"/>
      <c r="M56" s="1749" t="str">
        <f>IF(项目基本情况!K6="上海银行",M69,"")</f>
        <v/>
      </c>
      <c r="N56" s="3205" t="str">
        <f>IF(项目基本情况!K6="上海银行","包含处置中涉及的律师、诉讼、拍卖、评估等费用","")</f>
        <v/>
      </c>
      <c r="O56" s="3206"/>
    </row>
    <row r="57" spans="1:35" ht="12.75" hidden="1">
      <c r="A57" s="178" t="s">
        <v>2181</v>
      </c>
      <c r="B57" s="3140" t="s">
        <v>2209</v>
      </c>
      <c r="C57" s="3152"/>
      <c r="D57" s="182">
        <v>0</v>
      </c>
      <c r="E57" s="23" t="s">
        <v>2183</v>
      </c>
      <c r="F57" s="152"/>
      <c r="G57" s="2481"/>
      <c r="H57" s="2485"/>
      <c r="I57" s="2485"/>
      <c r="J57" s="3179">
        <f>IF(AND(J55="",J56=""),4,IF(项目基本情况!K6="上海银行",结果表!J56+1,结果表!J55+1))</f>
        <v>4</v>
      </c>
      <c r="K57" s="3179" t="s">
        <v>2210</v>
      </c>
      <c r="L57" s="2486" t="s">
        <v>2211</v>
      </c>
      <c r="M57" s="1754"/>
      <c r="N57" s="1755">
        <f ca="1">SUMIF(M52:M56,"&lt;9e307")</f>
        <v>57938</v>
      </c>
      <c r="O57" s="2487"/>
      <c r="P57" s="1748">
        <f ca="1">N57/M49</f>
        <v>0.57660078422005934</v>
      </c>
    </row>
    <row r="58" spans="1:35" ht="24.75" hidden="1">
      <c r="A58" s="178" t="s">
        <v>2192</v>
      </c>
      <c r="B58" s="3140" t="s">
        <v>2212</v>
      </c>
      <c r="C58" s="3141"/>
      <c r="D58" s="180">
        <f ca="1">IF(H58="转让取得",C81,C97)</f>
        <v>57887</v>
      </c>
      <c r="E58" s="11" t="s">
        <v>2207</v>
      </c>
      <c r="F58" s="24" t="s">
        <v>34</v>
      </c>
      <c r="G58" s="2481"/>
      <c r="H58" s="2484" t="s">
        <v>2213</v>
      </c>
      <c r="I58" s="2485"/>
      <c r="J58" s="3179"/>
      <c r="K58" s="3179"/>
      <c r="L58" s="2486" t="s">
        <v>2214</v>
      </c>
      <c r="M58" s="1756"/>
      <c r="N58" s="2488" t="str">
        <f ca="1">NUMBERSTRING(INT(N57*10000),2)&amp;"元整"</f>
        <v>伍亿柒仟玖佰叁拾捌万元整</v>
      </c>
      <c r="O58" s="2489"/>
    </row>
    <row r="59" spans="1:35" ht="24.75" hidden="1" thickBot="1">
      <c r="A59" s="3182" t="s">
        <v>2215</v>
      </c>
      <c r="B59" s="3183"/>
      <c r="C59" s="3183"/>
      <c r="D59" s="183" t="str">
        <f>IF(H59="非个人房产","——",IF(H59="个人住宅",0,ROUND(D45*I59,0)))</f>
        <v>——</v>
      </c>
      <c r="E59" s="184" t="str">
        <f>IF(H59="非个人房产","——","销售额×税（费）率")</f>
        <v>——</v>
      </c>
      <c r="F59" s="185" t="str">
        <f>IF(H59="非个人房产","——",IF(H59="个人住宅","免征",I59))</f>
        <v>——</v>
      </c>
      <c r="G59" s="2490" t="s">
        <v>2208</v>
      </c>
      <c r="H59" s="2484" t="s">
        <v>2216</v>
      </c>
      <c r="I59" s="186">
        <v>0.01</v>
      </c>
      <c r="J59" s="3180">
        <f>J57+1</f>
        <v>5</v>
      </c>
      <c r="K59" s="3179" t="s">
        <v>2217</v>
      </c>
      <c r="L59" s="1807" t="s">
        <v>2211</v>
      </c>
      <c r="M59" s="1757"/>
      <c r="N59" s="1758">
        <f ca="1">M49-N57</f>
        <v>42544</v>
      </c>
      <c r="O59" s="2491"/>
    </row>
    <row r="60" spans="1:35" ht="12" hidden="1" customHeight="1">
      <c r="A60" s="2492"/>
      <c r="B60" s="2414"/>
      <c r="C60" s="2414"/>
      <c r="D60" s="2414"/>
      <c r="E60" s="2161"/>
      <c r="F60" s="2485"/>
      <c r="G60" s="2485"/>
      <c r="H60" s="2493"/>
      <c r="I60" s="135"/>
      <c r="J60" s="3181"/>
      <c r="K60" s="3179"/>
      <c r="L60" s="2486" t="s">
        <v>2214</v>
      </c>
      <c r="M60" s="1756"/>
      <c r="N60" s="2488" t="str">
        <f ca="1">NUMBERSTRING(INT(N59*10000),2)&amp;"元整"</f>
        <v>肆亿贰仟伍佰肆拾肆万元整</v>
      </c>
      <c r="O60" s="2489"/>
    </row>
    <row r="61" spans="1:35" ht="13.5" hidden="1" thickBot="1">
      <c r="A61" s="3122" t="s">
        <v>2218</v>
      </c>
      <c r="B61" s="3122"/>
      <c r="C61" s="3122"/>
      <c r="D61" s="3122"/>
      <c r="E61" s="3122"/>
      <c r="F61" s="2485"/>
      <c r="G61" s="2485"/>
      <c r="H61" s="2493"/>
      <c r="I61" s="135"/>
      <c r="J61" s="1807">
        <f>J59+1</f>
        <v>6</v>
      </c>
      <c r="K61" s="3179" t="s">
        <v>2219</v>
      </c>
      <c r="L61" s="3179"/>
      <c r="M61" s="1759"/>
      <c r="N61" s="1760">
        <f ca="1">ROUND(N59*10000/'数据-汇总表'!E3,0)</f>
        <v>4407</v>
      </c>
      <c r="O61" s="2494"/>
    </row>
    <row r="62" spans="1:35" ht="12.75" hidden="1">
      <c r="A62" s="3138" t="s">
        <v>2220</v>
      </c>
      <c r="B62" s="3139"/>
      <c r="C62" s="1799"/>
      <c r="D62" s="1799" t="s">
        <v>2221</v>
      </c>
      <c r="E62" s="187" t="s">
        <v>2222</v>
      </c>
      <c r="F62" s="2485"/>
      <c r="G62" s="2485"/>
      <c r="H62" s="2493"/>
      <c r="I62" s="135"/>
    </row>
    <row r="63" spans="1:35" ht="12.75" hidden="1">
      <c r="A63" s="198" t="s">
        <v>775</v>
      </c>
      <c r="B63" s="188" t="s">
        <v>2223</v>
      </c>
      <c r="C63" s="189">
        <f ca="1">ROUND((C64+C65)/(1+'数据-取费表'!C42),0)</f>
        <v>97248</v>
      </c>
      <c r="D63" s="190"/>
      <c r="E63" s="191"/>
      <c r="F63" s="2485"/>
      <c r="G63" s="2485"/>
      <c r="H63" s="2493"/>
      <c r="I63" s="135"/>
      <c r="J63" s="3204" t="s">
        <v>2224</v>
      </c>
      <c r="K63" s="2495" t="s">
        <v>2225</v>
      </c>
      <c r="L63" s="1747">
        <f ca="1">IF(M49&gt;10000,M49*0.5%,IF(AND(M49&gt;1000,M49&lt;=10000),M49*1%,IF(AND(M49&gt;100,M49&lt;=1000),M49*3%,IF(AND(M49&gt;10,M49&lt;=100),M49*5%,M49*8%))))</f>
        <v>502.41</v>
      </c>
      <c r="M63" s="24">
        <f ca="1">ROUND(L63,1)</f>
        <v>502.4</v>
      </c>
      <c r="Z63" s="2419"/>
      <c r="AI63" s="2420"/>
    </row>
    <row r="64" spans="1:35" ht="14.25" hidden="1" customHeight="1">
      <c r="A64" s="192" t="s">
        <v>770</v>
      </c>
      <c r="B64" s="193" t="s">
        <v>2226</v>
      </c>
      <c r="C64" s="194">
        <f ca="1">D45</f>
        <v>102110</v>
      </c>
      <c r="D64" s="195" t="s">
        <v>32</v>
      </c>
      <c r="E64" s="196"/>
      <c r="F64" s="2485"/>
      <c r="G64" s="2485"/>
      <c r="H64" s="2493"/>
      <c r="I64" s="135"/>
      <c r="J64" s="3204"/>
      <c r="K64" s="2495" t="s">
        <v>2227</v>
      </c>
      <c r="L64" s="1747">
        <f ca="1">IF(M49&gt;2000,M49*0.5%,IF(AND(M49&gt;1000,M49&lt;=2000),M49*0.6%,IF(AND(M49&gt;500,M49&lt;=1000),M49*0.7%,IF(AND(M49&gt;200,M49&lt;=500),M49*0.8%,IF(AND(M49&gt;100,M49&lt;=200),M49*0.9%,IF(AND(M49&gt;50,M49&lt;=100),M49*1%,IF(AND(M49&gt;20,M49&lt;=50),M49*1.5%,IF(AND(M49&gt;10,M49&lt;=20),M49*2%,IF(AND(M49&gt;1,M49&lt;=10),M49*2.5%)))))))))</f>
        <v>502.41</v>
      </c>
      <c r="M64" s="24">
        <f t="shared" ref="M64:M65" ca="1" si="1">ROUND(L64,1)</f>
        <v>502.4</v>
      </c>
      <c r="N64" s="135" t="s">
        <v>2228</v>
      </c>
      <c r="Z64" s="2419"/>
      <c r="AI64" s="2420"/>
    </row>
    <row r="65" spans="1:35" ht="14.25" hidden="1" customHeight="1">
      <c r="A65" s="192" t="s">
        <v>771</v>
      </c>
      <c r="B65" s="193" t="s">
        <v>2229</v>
      </c>
      <c r="C65" s="197"/>
      <c r="D65" s="195"/>
      <c r="E65" s="196"/>
      <c r="F65" s="2485"/>
      <c r="G65" s="2485"/>
      <c r="H65" s="2493"/>
      <c r="I65" s="135"/>
      <c r="J65" s="3204"/>
      <c r="K65" s="2495" t="s">
        <v>2230</v>
      </c>
      <c r="L65" s="1747">
        <f ca="1">IF(M49&gt;1000,M49*0.1%,IF(AND(M49&gt;500,M49&lt;=1000),M49*0.5%,IF(AND(M49&gt;50,M49&lt;=500),M49*1%,IF(AND(M49&gt;1,M49&lt;=50),M49*1.5%))))</f>
        <v>100.482</v>
      </c>
      <c r="M65" s="24">
        <f t="shared" ca="1" si="1"/>
        <v>100.5</v>
      </c>
      <c r="N65" s="135" t="s">
        <v>2228</v>
      </c>
      <c r="Z65" s="2419"/>
      <c r="AI65" s="2420"/>
    </row>
    <row r="66" spans="1:35" ht="14.25" hidden="1" customHeight="1">
      <c r="A66" s="198" t="s">
        <v>772</v>
      </c>
      <c r="B66" s="199" t="s">
        <v>2231</v>
      </c>
      <c r="C66" s="200"/>
      <c r="D66" s="201" t="s">
        <v>32</v>
      </c>
      <c r="E66" s="1771" t="s">
        <v>1365</v>
      </c>
      <c r="F66" s="2485"/>
      <c r="G66" s="2485"/>
      <c r="H66" s="2493"/>
      <c r="I66" s="135"/>
      <c r="J66" s="3204"/>
      <c r="K66" s="2495" t="s">
        <v>2232</v>
      </c>
      <c r="L66" s="1747">
        <f ca="1">M49*0.5%</f>
        <v>502.41</v>
      </c>
      <c r="M66" s="24">
        <f ca="1">IF(L66&gt;0.5,0.5,ROUND(L66,0))</f>
        <v>0.5</v>
      </c>
      <c r="N66" s="135" t="s">
        <v>2233</v>
      </c>
      <c r="Z66" s="2419"/>
      <c r="AI66" s="2420"/>
    </row>
    <row r="67" spans="1:35" ht="14.25" hidden="1" customHeight="1">
      <c r="A67" s="198" t="s">
        <v>773</v>
      </c>
      <c r="B67" s="199" t="s">
        <v>2234</v>
      </c>
      <c r="C67" s="202">
        <f ca="1">C63-C66</f>
        <v>97248</v>
      </c>
      <c r="D67" s="195" t="s">
        <v>32</v>
      </c>
      <c r="E67" s="196"/>
      <c r="F67" s="2485"/>
      <c r="G67" s="2485"/>
      <c r="H67" s="2493"/>
      <c r="I67" s="135"/>
      <c r="J67" s="3204"/>
      <c r="K67" s="2495" t="s">
        <v>2235</v>
      </c>
      <c r="L67" s="1747">
        <f ca="1">IF(M49&gt;=10000,(8.25+(M49-10000)*0.01%),IF(AND(M49&gt;=8000,M49&lt;10000),(7.85+(M49-8000)*0.02%),IF(AND(M49&gt;=5000,M49&lt;8000),(6.65+(M49-5000)*0.04%),IF(AND(M49&gt;=2000,M49&lt;5000),(4.25+(PM49-2000)*0.08%),IF(AND(M49&gt;=1000,M49&lt;2000),(2.75+(M49-1000)*0.15%),IF(AND(M49&gt;=100,M49&lt;1000),(0.5+(M49-100)*0.25%),IF(AND(M49&gt;0,M49&lt;100),M49*0.5%)))))))</f>
        <v>17.298200000000001</v>
      </c>
      <c r="M67" s="24">
        <f ca="1">ROUND(L67*0.9,1)</f>
        <v>15.6</v>
      </c>
      <c r="Z67" s="2419"/>
      <c r="AI67" s="2420"/>
    </row>
    <row r="68" spans="1:35" ht="14.25" hidden="1" customHeight="1" thickBot="1">
      <c r="A68" s="203" t="s">
        <v>774</v>
      </c>
      <c r="B68" s="204" t="s">
        <v>2236</v>
      </c>
      <c r="C68" s="205">
        <f ca="1">IF(C67&lt;=0,0,ROUND(C67*D68,0))</f>
        <v>5349</v>
      </c>
      <c r="D68" s="206">
        <f>'数据-取费表'!B41</f>
        <v>5.5000000000000007E-2</v>
      </c>
      <c r="E68" s="207"/>
      <c r="F68" s="2485"/>
      <c r="G68" s="2485"/>
      <c r="H68" s="2493"/>
      <c r="I68" s="135"/>
      <c r="J68" s="3204"/>
      <c r="K68" s="2495" t="s">
        <v>2237</v>
      </c>
      <c r="L68" s="1747">
        <f ca="1">IF(M49&gt;10000,M49*0.5%,IF(AND(M49&gt;5000,M49&lt;=10000),M49*1%,IF(AND(M49&gt;1000,M49&lt;=5000),M49*2%,IF(AND(M49&gt;200,M49&lt;=1000),M49*3%,M49*5%))))</f>
        <v>502.41</v>
      </c>
      <c r="M68" s="24">
        <f ca="1">ROUND(L68,1)</f>
        <v>502.4</v>
      </c>
      <c r="Z68" s="2419"/>
      <c r="AI68" s="2420"/>
    </row>
    <row r="69" spans="1:35" s="2442" customFormat="1" ht="16.5" hidden="1" customHeight="1">
      <c r="A69" s="2496"/>
      <c r="B69" s="2497"/>
      <c r="C69" s="2498"/>
      <c r="D69" s="2499"/>
      <c r="E69" s="2500"/>
      <c r="F69" s="2161"/>
      <c r="G69" s="2161"/>
      <c r="H69" s="2160"/>
      <c r="I69" s="2414"/>
      <c r="J69" s="3204"/>
      <c r="K69" s="2495" t="s">
        <v>2238</v>
      </c>
      <c r="L69" s="2501"/>
      <c r="M69" s="24">
        <f ca="1">ROUND(SUM(M63:M68),0)</f>
        <v>1624</v>
      </c>
      <c r="N69" s="1748">
        <f ca="1">M69/M49</f>
        <v>1.6162098684341476E-2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hidden="1" thickBot="1">
      <c r="A70" s="3162" t="s">
        <v>2239</v>
      </c>
      <c r="B70" s="3163"/>
      <c r="C70" s="3163"/>
      <c r="D70" s="3163"/>
      <c r="E70" s="3163"/>
      <c r="F70" s="3163"/>
      <c r="G70" s="3163"/>
      <c r="H70" s="316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38" t="s">
        <v>2220</v>
      </c>
      <c r="B71" s="3139"/>
      <c r="C71" s="1799"/>
      <c r="D71" s="1799" t="s">
        <v>2221</v>
      </c>
      <c r="E71" s="208" t="s">
        <v>2222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198" t="s">
        <v>775</v>
      </c>
      <c r="B72" s="199" t="s">
        <v>2240</v>
      </c>
      <c r="C72" s="202">
        <f ca="1">ROUND(D45/(1+'数据-取费表'!C42),0)</f>
        <v>97248</v>
      </c>
      <c r="D72" s="195" t="s">
        <v>32</v>
      </c>
      <c r="E72" s="1798"/>
      <c r="F72" s="1792"/>
      <c r="G72" s="1792"/>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198" t="s">
        <v>772</v>
      </c>
      <c r="B73" s="168" t="s">
        <v>2241</v>
      </c>
      <c r="C73" s="202">
        <f ca="1">C74+C78</f>
        <v>486</v>
      </c>
      <c r="D73" s="195" t="s">
        <v>32</v>
      </c>
      <c r="E73" s="1798"/>
      <c r="F73" s="1792"/>
      <c r="G73" s="1792"/>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2" t="s">
        <v>770</v>
      </c>
      <c r="B74" s="193" t="s">
        <v>2242</v>
      </c>
      <c r="C74" s="195">
        <f>ROUND(IF(G77="2016年5月1日后购买",C75/(1+'数据-取费表'!C42)+C76+C77,C75+C76+C77),0)</f>
        <v>0</v>
      </c>
      <c r="D74" s="195" t="s">
        <v>32</v>
      </c>
      <c r="E74" s="1798"/>
      <c r="F74" s="1792"/>
      <c r="G74" s="1792"/>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2" t="s">
        <v>776</v>
      </c>
      <c r="B75" s="193" t="s">
        <v>2243</v>
      </c>
      <c r="C75" s="213"/>
      <c r="D75" s="195" t="s">
        <v>32</v>
      </c>
      <c r="E75" s="214" t="s">
        <v>2244</v>
      </c>
      <c r="F75" s="2507" t="s">
        <v>2245</v>
      </c>
      <c r="G75" s="214" t="s">
        <v>2246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2" t="s">
        <v>777</v>
      </c>
      <c r="B76" s="216" t="s">
        <v>2247</v>
      </c>
      <c r="C76" s="195">
        <f>IF(F75="购房发票",ROUND(C75*H75*D76,0),0)</f>
        <v>0</v>
      </c>
      <c r="D76" s="217">
        <v>0.05</v>
      </c>
      <c r="E76" s="3133" t="s">
        <v>2248</v>
      </c>
      <c r="F76" s="3110"/>
      <c r="G76" s="3110"/>
      <c r="H76" s="316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2" t="s">
        <v>778</v>
      </c>
      <c r="B77" s="193" t="s">
        <v>2249</v>
      </c>
      <c r="C77" s="195">
        <f>ROUND(IF(G77="个人住宅",0,IF(G77="2016年5月1日前购买",C75*D77,C75*D77/(1+'数据-取费表'!C42))),0)</f>
        <v>0</v>
      </c>
      <c r="D77" s="218">
        <f>'数据-取费表'!B48+'数据-取费表'!B49</f>
        <v>3.0499999999999999E-2</v>
      </c>
      <c r="E77" s="15" t="s">
        <v>2250</v>
      </c>
      <c r="F77" s="219"/>
      <c r="G77" s="2509" t="s">
        <v>2251</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2" t="s">
        <v>771</v>
      </c>
      <c r="B78" s="193" t="s">
        <v>2252</v>
      </c>
      <c r="C78" s="220">
        <f ca="1">ROUND(D45*D78/(1+'数据-取费表'!C42),0)</f>
        <v>486</v>
      </c>
      <c r="D78" s="221">
        <f>'数据-取费表'!B43</f>
        <v>5.000000000000001E-3</v>
      </c>
      <c r="E78" s="3119" t="s">
        <v>2253</v>
      </c>
      <c r="F78" s="3120"/>
      <c r="G78" s="3120"/>
      <c r="H78" s="312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199" t="s">
        <v>2254</v>
      </c>
      <c r="C79" s="202">
        <f ca="1">C72-C73</f>
        <v>96762</v>
      </c>
      <c r="D79" s="195" t="s">
        <v>32</v>
      </c>
      <c r="E79" s="1798"/>
      <c r="F79" s="1792"/>
      <c r="G79" s="1792"/>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199" t="s">
        <v>2255</v>
      </c>
      <c r="C80" s="222">
        <f ca="1">IF(C79&lt;=0,0,C79/C73)</f>
        <v>199.09876543209876</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4" t="s">
        <v>2256</v>
      </c>
      <c r="C81" s="223">
        <f ca="1">ROUND(IF(C79&lt;=0,0,IF(C80&gt;=200%,C79*60%-C73*35%,IF(C80&gt;=100%,C79*50%-C73*15%,IF(C80&gt;=50%,C79*40%-C73*5%,IF(C80&lt;50%,C79*30%,0))))),0)</f>
        <v>57887</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62" t="s">
        <v>2257</v>
      </c>
      <c r="B83" s="3163"/>
      <c r="C83" s="3163"/>
      <c r="D83" s="3163"/>
      <c r="E83" s="3163"/>
      <c r="F83" s="3163"/>
      <c r="G83" s="3163"/>
      <c r="H83" s="316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38" t="s">
        <v>2220</v>
      </c>
      <c r="B84" s="3139"/>
      <c r="C84" s="1799"/>
      <c r="D84" s="1799" t="s">
        <v>2221</v>
      </c>
      <c r="E84" s="208" t="s">
        <v>2222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198" t="s">
        <v>775</v>
      </c>
      <c r="B85" s="199" t="s">
        <v>2240</v>
      </c>
      <c r="C85" s="202">
        <f ca="1">ROUND(D45/(1+'数据-取费表'!C42),0)</f>
        <v>97248</v>
      </c>
      <c r="D85" s="195" t="s">
        <v>32</v>
      </c>
      <c r="E85" s="1798"/>
      <c r="F85" s="1792"/>
      <c r="G85" s="1792"/>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198" t="s">
        <v>772</v>
      </c>
      <c r="B86" s="168" t="s">
        <v>2241</v>
      </c>
      <c r="C86" s="202">
        <f ca="1">IF(H88="仅含出让金",C87+C90+C91+C92+C93+C94,C87+C91+C92+C93+C94)</f>
        <v>486</v>
      </c>
      <c r="D86" s="230"/>
      <c r="E86" s="1798"/>
      <c r="F86" s="1792"/>
      <c r="G86" s="1792"/>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2" t="s">
        <v>770</v>
      </c>
      <c r="B87" s="193" t="s">
        <v>2258</v>
      </c>
      <c r="C87" s="220">
        <f>C88+C89</f>
        <v>0</v>
      </c>
      <c r="D87" s="221"/>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2" t="s">
        <v>776</v>
      </c>
      <c r="B88" s="193" t="s">
        <v>2259</v>
      </c>
      <c r="C88" s="231"/>
      <c r="D88" s="221"/>
      <c r="E88" s="232" t="s">
        <v>2260</v>
      </c>
      <c r="F88" s="1795"/>
      <c r="G88" s="233"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2" t="s">
        <v>777</v>
      </c>
      <c r="B89" s="193" t="s">
        <v>2249</v>
      </c>
      <c r="C89" s="220">
        <f>ROUND(C88*D89,0)</f>
        <v>0</v>
      </c>
      <c r="D89" s="221">
        <f>'数据-取费表'!B48+'数据-取费表'!B49</f>
        <v>3.0499999999999999E-2</v>
      </c>
      <c r="E89" s="232" t="s">
        <v>2262</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2" t="s">
        <v>771</v>
      </c>
      <c r="B90" s="193" t="s">
        <v>2263</v>
      </c>
      <c r="C90" s="231"/>
      <c r="D90" s="221"/>
      <c r="E90" s="232"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2" t="s">
        <v>2264</v>
      </c>
      <c r="B91" s="193" t="s">
        <v>2265</v>
      </c>
      <c r="C91" s="220">
        <f>IF(H91="——",成本法!C33,I91)</f>
        <v>0</v>
      </c>
      <c r="D91" s="221"/>
      <c r="E91" s="3119" t="s">
        <v>2266</v>
      </c>
      <c r="F91" s="3120"/>
      <c r="G91" s="3120"/>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2" t="s">
        <v>2268</v>
      </c>
      <c r="B92" s="193" t="s">
        <v>2269</v>
      </c>
      <c r="C92" s="220">
        <f>ROUND((C87+C90+C91)*D92,0)</f>
        <v>0</v>
      </c>
      <c r="D92" s="221">
        <v>0.1</v>
      </c>
      <c r="E92" s="3119" t="s">
        <v>2270</v>
      </c>
      <c r="F92" s="3120"/>
      <c r="G92" s="3120"/>
      <c r="H92" s="312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2" t="s">
        <v>2271</v>
      </c>
      <c r="B93" s="193" t="s">
        <v>2252</v>
      </c>
      <c r="C93" s="220">
        <f ca="1">ROUND(D45*D93/(1+'数据-取费表'!C42),0)</f>
        <v>486</v>
      </c>
      <c r="D93" s="221">
        <f>'数据-取费表'!B43</f>
        <v>5.000000000000001E-3</v>
      </c>
      <c r="E93" s="3119" t="s">
        <v>2253</v>
      </c>
      <c r="F93" s="3120"/>
      <c r="G93" s="3120"/>
      <c r="H93" s="312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2" t="s">
        <v>2272</v>
      </c>
      <c r="B94" s="193" t="s">
        <v>2273</v>
      </c>
      <c r="C94" s="231">
        <f>ROUND((C87+C90+C91)*D94,0)</f>
        <v>0</v>
      </c>
      <c r="D94" s="221">
        <v>0.2</v>
      </c>
      <c r="E94" s="3130" t="s">
        <v>2274</v>
      </c>
      <c r="F94" s="3131"/>
      <c r="G94" s="3131"/>
      <c r="H94" s="313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199" t="s">
        <v>2254</v>
      </c>
      <c r="C95" s="202">
        <f ca="1">ROUND(C85-C86,0)</f>
        <v>96762</v>
      </c>
      <c r="D95" s="195" t="s">
        <v>32</v>
      </c>
      <c r="E95" s="1798"/>
      <c r="F95" s="1792"/>
      <c r="G95" s="1792"/>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199" t="s">
        <v>2255</v>
      </c>
      <c r="C96" s="222">
        <f ca="1">IF(C95&lt;=0,0,C95/C86)</f>
        <v>199.09876543209876</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4" t="s">
        <v>2256</v>
      </c>
      <c r="C97" s="223">
        <f ca="1">ROUND(IF(C95&lt;=0,0,IF(C96&gt;=200%,C95*60%-C86*35%,IF(C96&gt;=100%,C95*50%-C86*15%,IF(C96&gt;=50%,C95*40%-C86*5%,IF(C96&lt;50%,C95*30%,0))))),0)</f>
        <v>57887</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104" t="s">
        <v>2276</v>
      </c>
      <c r="B100" s="3105"/>
      <c r="C100" s="3105"/>
      <c r="D100" s="3121"/>
      <c r="E100" s="3105" t="s">
        <v>2277</v>
      </c>
      <c r="F100" s="3105"/>
      <c r="G100" s="3105"/>
      <c r="H100" s="3121"/>
      <c r="I100" s="135"/>
    </row>
    <row r="101" spans="1:35" ht="18.75" customHeight="1">
      <c r="A101" s="3187" t="s">
        <v>2278</v>
      </c>
      <c r="B101" s="3188"/>
      <c r="C101" s="731" t="str">
        <f>C4</f>
        <v>成本法</v>
      </c>
      <c r="D101" s="732" t="str">
        <f>D4</f>
        <v>假设开发法</v>
      </c>
      <c r="E101" s="3201" t="s">
        <v>2279</v>
      </c>
      <c r="F101" s="3154"/>
      <c r="G101" s="2516" t="s">
        <v>2280</v>
      </c>
      <c r="H101" s="1043">
        <f ca="1">H118</f>
        <v>102110</v>
      </c>
      <c r="I101" s="135"/>
    </row>
    <row r="102" spans="1:35" ht="18.75" customHeight="1">
      <c r="A102" s="3156" t="s">
        <v>2281</v>
      </c>
      <c r="B102" s="2516" t="s">
        <v>2280</v>
      </c>
      <c r="C102" s="731">
        <f ca="1">C19</f>
        <v>130483</v>
      </c>
      <c r="D102" s="732">
        <f ca="1">D19</f>
        <v>83195</v>
      </c>
      <c r="E102" s="3201"/>
      <c r="F102" s="3154"/>
      <c r="G102" s="2516" t="s">
        <v>2282</v>
      </c>
      <c r="H102" s="366">
        <f ca="1">I118</f>
        <v>10577</v>
      </c>
      <c r="I102" s="135"/>
    </row>
    <row r="103" spans="1:35" ht="42.75" customHeight="1">
      <c r="A103" s="3156"/>
      <c r="B103" s="2516" t="s">
        <v>2282</v>
      </c>
      <c r="C103" s="733">
        <f ca="1">C20</f>
        <v>13517</v>
      </c>
      <c r="D103" s="734">
        <f ca="1">D20</f>
        <v>8618</v>
      </c>
      <c r="E103" s="3196" t="s">
        <v>2283</v>
      </c>
      <c r="F103" s="3197"/>
      <c r="G103" s="2517" t="s">
        <v>2284</v>
      </c>
      <c r="H103" s="1043">
        <f>IF(D36="正常操作",H104+H105+H106,H105+H106)</f>
        <v>1628</v>
      </c>
      <c r="I103" s="135"/>
    </row>
    <row r="104" spans="1:35" ht="18.75" customHeight="1">
      <c r="A104" s="3156" t="s">
        <v>2285</v>
      </c>
      <c r="B104" s="2518" t="s">
        <v>2280</v>
      </c>
      <c r="C104" s="735">
        <f ca="1">H118</f>
        <v>102110</v>
      </c>
      <c r="D104" s="736"/>
      <c r="E104" s="2262" t="s">
        <v>2286</v>
      </c>
      <c r="F104" s="2253"/>
      <c r="G104" s="2517" t="s">
        <v>2284</v>
      </c>
      <c r="H104" s="1044">
        <f>IF(D36="同一抵押权人同一抵押物续贷",C36&amp;"（未扣减，详见特别提示）",C36)</f>
        <v>0</v>
      </c>
      <c r="I104" s="135"/>
    </row>
    <row r="105" spans="1:35" ht="18.75" customHeight="1" thickBot="1">
      <c r="A105" s="3157"/>
      <c r="B105" s="2519" t="s">
        <v>2282</v>
      </c>
      <c r="C105" s="737">
        <f ca="1">I118</f>
        <v>10577</v>
      </c>
      <c r="D105" s="738"/>
      <c r="E105" s="2262" t="s">
        <v>2287</v>
      </c>
      <c r="F105" s="2253"/>
      <c r="G105" s="2517" t="s">
        <v>2284</v>
      </c>
      <c r="H105" s="1044">
        <f>C37</f>
        <v>0</v>
      </c>
      <c r="I105" s="135"/>
    </row>
    <row r="106" spans="1:35" ht="18.75" customHeight="1">
      <c r="A106" s="2414" t="s">
        <v>2288</v>
      </c>
      <c r="B106" s="2414"/>
      <c r="C106" s="2414"/>
      <c r="D106" s="2414"/>
      <c r="E106" s="2520" t="s">
        <v>2289</v>
      </c>
      <c r="F106" s="2253"/>
      <c r="G106" s="2517" t="s">
        <v>2284</v>
      </c>
      <c r="H106" s="1044">
        <f>C38</f>
        <v>1628</v>
      </c>
      <c r="I106" s="135"/>
    </row>
    <row r="107" spans="1:35" ht="18.75" customHeight="1">
      <c r="A107" s="135"/>
      <c r="B107" s="135"/>
      <c r="C107" s="135"/>
      <c r="D107" s="135"/>
      <c r="E107" s="3153" t="str">
        <f>IF(项目基本情况!E8="已注销","——","3.房地产抵押价值")</f>
        <v>3.房地产抵押价值</v>
      </c>
      <c r="F107" s="3154"/>
      <c r="G107" s="2516" t="s">
        <v>2280</v>
      </c>
      <c r="H107" s="1043">
        <f ca="1">IF(E107="——","——",H101-H103)</f>
        <v>100482</v>
      </c>
      <c r="I107" s="135"/>
    </row>
    <row r="108" spans="1:35" ht="18.75" customHeight="1" thickBot="1">
      <c r="A108" s="135"/>
      <c r="B108" s="135"/>
      <c r="C108" s="135"/>
      <c r="D108" s="135"/>
      <c r="E108" s="3153"/>
      <c r="F108" s="3154"/>
      <c r="G108" s="2516" t="s">
        <v>2282</v>
      </c>
      <c r="H108" s="366">
        <f ca="1">ROUND(H107*10000/'数据-汇总表'!E3,0)</f>
        <v>10409</v>
      </c>
      <c r="I108" s="135"/>
    </row>
    <row r="109" spans="1:35" ht="18.75" hidden="1" customHeight="1">
      <c r="A109" s="135"/>
      <c r="B109" s="135"/>
      <c r="C109" s="135"/>
      <c r="D109" s="135"/>
      <c r="E109" s="3153" t="str">
        <f>IF(项目基本情况!E8="已注销及未注销","4.抵押担保权已注销时的房地产抵押价值",IF(项目基本情况!E8="已注销","3.抵押担保权已注销时的房地产抵押价值","——"))</f>
        <v>——</v>
      </c>
      <c r="F109" s="3154"/>
      <c r="G109" s="2516" t="s">
        <v>2280</v>
      </c>
      <c r="H109" s="343" t="str">
        <f>IF(E109="——","——",H101-H105-H106)</f>
        <v>——</v>
      </c>
      <c r="I109" s="135"/>
    </row>
    <row r="110" spans="1:35" ht="18.75" hidden="1" customHeight="1">
      <c r="A110" s="135"/>
      <c r="B110" s="135"/>
      <c r="C110" s="135"/>
      <c r="D110" s="135"/>
      <c r="E110" s="3153"/>
      <c r="F110" s="3154"/>
      <c r="G110" s="2516" t="s">
        <v>2282</v>
      </c>
      <c r="H110" s="366" t="str">
        <f>IF(H109="——","——",ROUND(H109*10000/'数据-汇总表'!E3,0))</f>
        <v>——</v>
      </c>
      <c r="I110" s="135"/>
    </row>
    <row r="111" spans="1:35" ht="18.75" hidden="1" customHeight="1">
      <c r="A111" s="135"/>
      <c r="B111" s="135"/>
      <c r="C111" s="135"/>
      <c r="D111" s="135"/>
      <c r="E111" s="3189" t="str">
        <f>IF(项目基本情况!E9="抵押净值",IF(OR(项目基本情况!E8="已注销",项目基本情况!E8="房地产抵押价值"),"4.抵押净值","5.抵押净值"),"——")</f>
        <v>——</v>
      </c>
      <c r="F111" s="3190"/>
      <c r="G111" s="2516" t="s">
        <v>2280</v>
      </c>
      <c r="H111" s="1043" t="str">
        <f>IF(E111="——","——",N59)</f>
        <v>——</v>
      </c>
      <c r="I111" s="135"/>
    </row>
    <row r="112" spans="1:35" ht="18.75" hidden="1" customHeight="1" thickBot="1">
      <c r="A112" s="135"/>
      <c r="B112" s="135"/>
      <c r="C112" s="135"/>
      <c r="D112" s="135"/>
      <c r="E112" s="3191"/>
      <c r="F112" s="3192"/>
      <c r="G112" s="2521" t="s">
        <v>2282</v>
      </c>
      <c r="H112" s="785" t="str">
        <f>IF(E111="——","——",N61)</f>
        <v>——</v>
      </c>
      <c r="I112" s="135"/>
    </row>
    <row r="113" spans="1:11" ht="18.75" customHeight="1">
      <c r="A113" s="135"/>
      <c r="B113" s="135"/>
      <c r="C113" s="135"/>
      <c r="D113" s="135"/>
      <c r="E113" s="3158" t="s">
        <v>2288</v>
      </c>
      <c r="F113" s="3158"/>
      <c r="G113" s="3158"/>
      <c r="H113" s="3158"/>
      <c r="I113" s="135"/>
    </row>
    <row r="114" spans="1:11" ht="3.75" customHeight="1">
      <c r="A114" s="2414"/>
      <c r="B114" s="2414"/>
      <c r="C114" s="2414"/>
      <c r="D114" s="2414"/>
      <c r="E114" s="2492"/>
      <c r="F114" s="2492"/>
      <c r="G114" s="2492"/>
      <c r="H114" s="2492"/>
      <c r="I114" s="2414"/>
    </row>
    <row r="115" spans="1:11" ht="18.75" customHeight="1">
      <c r="A115" s="3171" t="s">
        <v>2290</v>
      </c>
      <c r="B115" s="3172"/>
      <c r="C115" s="3172"/>
      <c r="D115" s="3172"/>
      <c r="E115" s="3172"/>
      <c r="F115" s="3172"/>
      <c r="G115" s="3172"/>
      <c r="H115" s="3172"/>
      <c r="I115" s="3173"/>
    </row>
    <row r="116" spans="1:11" ht="27" customHeight="1">
      <c r="A116" s="3053" t="s">
        <v>2291</v>
      </c>
      <c r="B116" s="3159" t="s">
        <v>3167</v>
      </c>
      <c r="C116" s="3159" t="s">
        <v>3166</v>
      </c>
      <c r="D116" s="3176" t="s">
        <v>2292</v>
      </c>
      <c r="E116" s="3177"/>
      <c r="F116" s="3167" t="s">
        <v>2293</v>
      </c>
      <c r="G116" s="3167"/>
      <c r="H116" s="3053" t="s">
        <v>2294</v>
      </c>
      <c r="I116" s="3053"/>
    </row>
    <row r="117" spans="1:11" ht="18.75" customHeight="1">
      <c r="A117" s="3053"/>
      <c r="B117" s="3160"/>
      <c r="C117" s="3160"/>
      <c r="D117" s="1793" t="s">
        <v>2295</v>
      </c>
      <c r="E117" s="1793" t="s">
        <v>2296</v>
      </c>
      <c r="F117" s="1793" t="s">
        <v>2295</v>
      </c>
      <c r="G117" s="1793" t="s">
        <v>2297</v>
      </c>
      <c r="H117" s="1793" t="s">
        <v>2295</v>
      </c>
      <c r="I117" s="1793" t="s">
        <v>2297</v>
      </c>
    </row>
    <row r="118" spans="1:11" ht="24.75" customHeight="1">
      <c r="A118" s="2522" t="str">
        <f>项目基本情况!S2</f>
        <v>北京市房山区西潞街道良乡组团06街区06-23-01、06-23-05地块出让国有建设用地使用权及在建建筑物房地产</v>
      </c>
      <c r="B118" s="1793">
        <f>M18</f>
        <v>96535.67</v>
      </c>
      <c r="C118" s="1793">
        <f>M19</f>
        <v>35985.589999999997</v>
      </c>
      <c r="D118" s="1793">
        <f ca="1">ROUND(IF(D32="总价",C34,E118*B118/10000),0)</f>
        <v>76276</v>
      </c>
      <c r="E118" s="1793">
        <f ca="1">ROUND(IF(C33="自定义",IF(D32="楼面单价",C34,D118*10000/B118),I118-G118),0)</f>
        <v>7901</v>
      </c>
      <c r="F118" s="1793">
        <f ca="1">ROUND(IF(D32="总价",C35,G118*B118/10000),0)</f>
        <v>25834</v>
      </c>
      <c r="G118" s="1793">
        <f ca="1">ROUND(IF(D32="楼面单价",C35,F118*10000/B118),0)</f>
        <v>2676</v>
      </c>
      <c r="H118" s="1793">
        <f ca="1">ROUND(IF(D32="总价",C32,I118*B118/10000),0)</f>
        <v>102110</v>
      </c>
      <c r="I118" s="1793">
        <f ca="1">ROUND(IF(D32="楼面单价",C32,H118*10000/B118),0)</f>
        <v>10577</v>
      </c>
    </row>
    <row r="119" spans="1:11" ht="18.75" customHeight="1">
      <c r="A119" s="3053" t="s">
        <v>2298</v>
      </c>
      <c r="B119" s="3053"/>
      <c r="C119" s="3053"/>
      <c r="D119" s="3164" t="str">
        <f ca="1">NUMBERSTRING(INT(D118*10000),2)&amp;"元整"</f>
        <v>柒亿陆仟贰佰柒拾陆万元整</v>
      </c>
      <c r="E119" s="3166"/>
      <c r="F119" s="3164" t="str">
        <f ca="1">NUMBERSTRING(INT(F118*10000),2)&amp;"元整"</f>
        <v>贰亿伍仟捌佰叁拾肆万元整</v>
      </c>
      <c r="G119" s="3166"/>
      <c r="H119" s="3164" t="str">
        <f ca="1">NUMBERSTRING(INT(H118*10000),2)&amp;"元整"</f>
        <v>壹拾亿贰仟壹佰壹拾万元整</v>
      </c>
      <c r="I119" s="3166"/>
    </row>
    <row r="120" spans="1:11" ht="18.75" customHeight="1">
      <c r="A120" s="3193" t="str">
        <f>IF(项目基本情况!B9="房地产市场价值","",MID(E103,3,LEN(E103)-2))</f>
        <v>估价师知悉的法定优先受偿款</v>
      </c>
      <c r="B120" s="3194"/>
      <c r="C120" s="3195"/>
      <c r="D120" s="3193">
        <f>H103</f>
        <v>1628</v>
      </c>
      <c r="E120" s="3194"/>
      <c r="F120" s="3194"/>
      <c r="G120" s="3194"/>
      <c r="H120" s="3194"/>
      <c r="I120" s="3195"/>
      <c r="K120" s="2419" t="str">
        <f>IF(D120=0,"故，本次评估不存在"&amp;A120,"故，本次评估"&amp;A120&amp;"为人民币"&amp;D120&amp;"万元整。")</f>
        <v>故，本次评估估价师知悉的法定优先受偿款为人民币1628万元整。</v>
      </c>
    </row>
    <row r="121" spans="1:11" ht="18.75" customHeight="1">
      <c r="A121" s="3168" t="s">
        <v>2298</v>
      </c>
      <c r="B121" s="3169"/>
      <c r="C121" s="3170"/>
      <c r="D121" s="3164" t="str">
        <f>IF(D120=0,"零元整",NUMBERSTRING(INT(D120*10000),2)&amp;"元整")</f>
        <v>壹仟陆佰贰拾捌万元整</v>
      </c>
      <c r="E121" s="3165"/>
      <c r="F121" s="3165"/>
      <c r="G121" s="3165"/>
      <c r="H121" s="3165"/>
      <c r="I121" s="3166"/>
    </row>
    <row r="122" spans="1:11" ht="18.75" customHeight="1">
      <c r="A122" s="3155" t="str">
        <f>IF(项目基本情况!B9="房地产市场价值","",MID(E107,3,LEN(E107)-2))</f>
        <v>房地产抵押价值</v>
      </c>
      <c r="B122" s="3155"/>
      <c r="C122" s="3155"/>
      <c r="D122" s="3193">
        <f ca="1">H107</f>
        <v>100482</v>
      </c>
      <c r="E122" s="3194"/>
      <c r="F122" s="3194"/>
      <c r="G122" s="3194"/>
      <c r="H122" s="3194"/>
      <c r="I122" s="3195"/>
    </row>
    <row r="123" spans="1:11" ht="18.75" customHeight="1">
      <c r="A123" s="3053" t="s">
        <v>2298</v>
      </c>
      <c r="B123" s="3053"/>
      <c r="C123" s="3053"/>
      <c r="D123" s="3164" t="str">
        <f ca="1">NUMBERSTRING(INT(D122*10000),2)&amp;"元整"</f>
        <v>壹拾亿零肆佰捌拾贰万元整</v>
      </c>
      <c r="E123" s="3165"/>
      <c r="F123" s="3165"/>
      <c r="G123" s="3165"/>
      <c r="H123" s="3165"/>
      <c r="I123" s="3166"/>
    </row>
    <row r="124" spans="1:11" ht="18.75" hidden="1" customHeight="1">
      <c r="A124" s="3155" t="str">
        <f>IF(项目基本情况!B9="房地产市场价值","",MID(E109,3,LEN(E109)-2))</f>
        <v/>
      </c>
      <c r="B124" s="3155"/>
      <c r="C124" s="3155"/>
      <c r="D124" s="3193" t="str">
        <f>H109</f>
        <v>——</v>
      </c>
      <c r="E124" s="3194"/>
      <c r="F124" s="3194"/>
      <c r="G124" s="3194"/>
      <c r="H124" s="3194"/>
      <c r="I124" s="3195"/>
    </row>
    <row r="125" spans="1:11" ht="18.75" hidden="1" customHeight="1">
      <c r="A125" s="3053" t="s">
        <v>2298</v>
      </c>
      <c r="B125" s="3053"/>
      <c r="C125" s="3053"/>
      <c r="D125" s="3164" t="e">
        <f>NUMBERSTRING(INT(D124*10000),2)&amp;"元整"</f>
        <v>#VALUE!</v>
      </c>
      <c r="E125" s="3165"/>
      <c r="F125" s="3165"/>
      <c r="G125" s="3165"/>
      <c r="H125" s="3165"/>
      <c r="I125" s="3166"/>
    </row>
    <row r="126" spans="1:11" ht="18.75" hidden="1" customHeight="1">
      <c r="A126" s="3155" t="str">
        <f>IF(项目基本情况!B9="房地产市场价值","",MID(E111,3,LEN(E111)-2))</f>
        <v/>
      </c>
      <c r="B126" s="3155"/>
      <c r="C126" s="3155"/>
      <c r="D126" s="3193" t="str">
        <f>H111</f>
        <v>——</v>
      </c>
      <c r="E126" s="3194"/>
      <c r="F126" s="3194"/>
      <c r="G126" s="3194"/>
      <c r="H126" s="3194"/>
      <c r="I126" s="3195"/>
    </row>
    <row r="127" spans="1:11" ht="18.75" hidden="1" customHeight="1">
      <c r="A127" s="3053" t="s">
        <v>2298</v>
      </c>
      <c r="B127" s="3053"/>
      <c r="C127" s="3053"/>
      <c r="D127" s="3164" t="e">
        <f>NUMBERSTRING(INT(D126*10000),2)&amp;"元整"</f>
        <v>#VALUE!</v>
      </c>
      <c r="E127" s="3165"/>
      <c r="F127" s="3165"/>
      <c r="G127" s="3165"/>
      <c r="H127" s="3165"/>
      <c r="I127" s="3166"/>
    </row>
    <row r="128" spans="1:11" ht="21.75" customHeight="1">
      <c r="A128" s="3175" t="s">
        <v>2299</v>
      </c>
      <c r="B128" s="3175"/>
      <c r="C128" s="3175"/>
      <c r="D128" s="3175"/>
      <c r="E128" s="3175"/>
      <c r="F128" s="3175"/>
      <c r="G128" s="3175"/>
      <c r="H128" s="3175"/>
      <c r="I128" s="3175"/>
    </row>
    <row r="129" spans="1:35" ht="21.75" customHeight="1">
      <c r="A129" s="2523" t="s">
        <v>2300</v>
      </c>
      <c r="B129" s="2524"/>
      <c r="C129" s="2525" t="s">
        <v>2301</v>
      </c>
      <c r="D129" s="2526"/>
      <c r="E129" s="2526"/>
      <c r="F129" s="2526"/>
      <c r="G129" s="2526"/>
      <c r="H129" s="2527"/>
      <c r="I129" s="2528"/>
    </row>
    <row r="130" spans="1:35" ht="21.75" customHeight="1">
      <c r="A130" s="2995" t="s">
        <v>3174</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2302</v>
      </c>
      <c r="G135" s="2540"/>
      <c r="H135" s="2540"/>
      <c r="I135" s="2541" t="s">
        <v>2303</v>
      </c>
    </row>
    <row r="136" spans="1:35" ht="21.75" customHeight="1">
      <c r="A136" s="790"/>
      <c r="B136" s="2542" t="s">
        <v>2304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2305</v>
      </c>
    </row>
    <row r="139" spans="1:35" ht="21.75" customHeight="1">
      <c r="A139" s="790"/>
      <c r="B139" s="2542" t="s">
        <v>2306</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2305</v>
      </c>
    </row>
    <row r="142" spans="1:35" ht="21.75" customHeight="1">
      <c r="A142" s="790"/>
      <c r="B142" s="2542"/>
      <c r="C142" s="2543"/>
      <c r="D142" s="2544"/>
      <c r="E142" s="2544"/>
      <c r="F142" s="2336"/>
      <c r="G142" s="790"/>
      <c r="H142" s="790"/>
      <c r="I142" s="790"/>
    </row>
    <row r="143" spans="1:35" s="136"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D37" sqref="D37"/>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2307</v>
      </c>
      <c r="B1" s="1935"/>
      <c r="C1" s="237"/>
      <c r="D1" s="237"/>
      <c r="E1" s="237"/>
      <c r="F1" s="237"/>
      <c r="G1" s="1377">
        <f>MATCH(B1,'数据-取费表'!A6:A16,0)+5</f>
        <v>8</v>
      </c>
    </row>
    <row r="2" spans="1:9" s="239" customFormat="1" ht="18" customHeight="1">
      <c r="A2" s="240" t="s">
        <v>2308</v>
      </c>
      <c r="B2" s="241">
        <f ca="1">IF(D2="——",C52,C52-E2)</f>
        <v>130483</v>
      </c>
      <c r="C2" s="238" t="s">
        <v>2309</v>
      </c>
      <c r="D2" s="2545" t="s">
        <v>70</v>
      </c>
      <c r="E2" s="1438" t="e">
        <f ca="1">SUMIF(INDIRECT("'"&amp;G2&amp;"'"&amp;"!A:A"),"承租人权益价值",INDIRECT("'"&amp;G2&amp;"'"&amp;"!c:c"))</f>
        <v>#REF!</v>
      </c>
      <c r="F2" s="2546" t="s">
        <v>2309</v>
      </c>
      <c r="G2" s="2547"/>
    </row>
    <row r="3" spans="1:9" s="239" customFormat="1" ht="18" customHeight="1" thickBot="1">
      <c r="A3" s="242" t="s">
        <v>2310</v>
      </c>
      <c r="B3" s="243">
        <f ca="1">ROUND(B2*10000/(IF(B1="",'数据-汇总表'!E3,INDIRECT("'数据-取费表'!k"&amp;$G$1))),0)</f>
        <v>13517</v>
      </c>
      <c r="C3" s="238" t="s">
        <v>2311</v>
      </c>
      <c r="D3" s="238"/>
      <c r="E3" s="238"/>
      <c r="F3" s="238"/>
      <c r="G3" s="238"/>
    </row>
    <row r="4" spans="1:9" s="247" customFormat="1" ht="15.75">
      <c r="A4" s="244" t="s">
        <v>2312</v>
      </c>
      <c r="B4" s="245"/>
      <c r="C4" s="245"/>
      <c r="D4" s="245"/>
      <c r="E4" s="245"/>
      <c r="F4" s="245"/>
      <c r="G4" s="246"/>
    </row>
    <row r="5" spans="1:9" s="253" customFormat="1" ht="13.5" customHeight="1">
      <c r="A5" s="294" t="s">
        <v>2313</v>
      </c>
      <c r="B5" s="249" t="s">
        <v>2314</v>
      </c>
      <c r="C5" s="250">
        <f ca="1">C6+C7+C8</f>
        <v>80652</v>
      </c>
      <c r="D5" s="250" t="s">
        <v>2315</v>
      </c>
      <c r="E5" s="251" t="s">
        <v>2316</v>
      </c>
      <c r="F5" s="251" t="s">
        <v>2317</v>
      </c>
      <c r="G5" s="252"/>
    </row>
    <row r="6" spans="1:9" s="253" customFormat="1" ht="13.5" customHeight="1">
      <c r="A6" s="947" t="s">
        <v>2318</v>
      </c>
      <c r="B6" s="254" t="s">
        <v>2319</v>
      </c>
      <c r="C6" s="255">
        <f ca="1">'基准地价（汇总）'!B2</f>
        <v>76391</v>
      </c>
      <c r="D6" s="256"/>
      <c r="E6" s="257"/>
      <c r="F6" s="257"/>
      <c r="G6" s="258"/>
    </row>
    <row r="7" spans="1:9" s="253" customFormat="1" ht="13.5" customHeight="1">
      <c r="A7" s="947" t="s">
        <v>2320</v>
      </c>
      <c r="B7" s="254" t="s">
        <v>2321</v>
      </c>
      <c r="C7" s="259">
        <f ca="1">ROUND(C6*F7,0)</f>
        <v>2330</v>
      </c>
      <c r="D7" s="259"/>
      <c r="E7" s="257"/>
      <c r="F7" s="260">
        <f>'数据-取费表'!B48+'数据-取费表'!B49</f>
        <v>3.0499999999999999E-2</v>
      </c>
      <c r="G7" s="258"/>
    </row>
    <row r="8" spans="1:9" s="262" customFormat="1">
      <c r="A8" s="947" t="s">
        <v>2322</v>
      </c>
      <c r="B8" s="254" t="s">
        <v>2323</v>
      </c>
      <c r="C8" s="2997">
        <f ca="1">IF(G8="已包含在土地购买价格中","0",IF(B1="",'数据-取费表'!B29,IF(G9="全部缴纳",C9+C10,H9)))</f>
        <v>1931</v>
      </c>
      <c r="D8" s="261"/>
      <c r="E8" s="259"/>
      <c r="F8" s="260"/>
      <c r="G8" s="2548" t="s">
        <v>3102</v>
      </c>
    </row>
    <row r="9" spans="1:9" s="253" customFormat="1" ht="13.5" customHeight="1">
      <c r="A9" s="948" t="s">
        <v>800</v>
      </c>
      <c r="B9" s="263" t="s">
        <v>2324</v>
      </c>
      <c r="C9" s="264">
        <f ca="1">ROUND(D9*E9/10000,0)</f>
        <v>0</v>
      </c>
      <c r="D9" s="1030">
        <f ca="1">IF(B1="",'数据-汇总表'!E5,IF(INDIRECT("'数据-取费表'!c"&amp;$G$1)="住宅",INDIRECT("'数据-取费表'!k"&amp;$G$1),0))</f>
        <v>0</v>
      </c>
      <c r="E9" s="264">
        <f>'数据-取费表'!B27</f>
        <v>160</v>
      </c>
      <c r="F9" s="260"/>
      <c r="G9" s="2549" t="s">
        <v>3103</v>
      </c>
      <c r="H9" s="1388"/>
      <c r="I9" s="2550" t="s">
        <v>2325</v>
      </c>
    </row>
    <row r="10" spans="1:9" s="253" customFormat="1" ht="13.5" customHeight="1">
      <c r="A10" s="948" t="s">
        <v>801</v>
      </c>
      <c r="B10" s="263" t="s">
        <v>2326</v>
      </c>
      <c r="C10" s="264">
        <f ca="1">ROUND(D10*E10/10000,0)</f>
        <v>1931</v>
      </c>
      <c r="D10" s="1030">
        <f ca="1">IF(B1="",'数据-汇总表'!E6,IF(INDIRECT("'数据-取费表'!c"&amp;$G$1)="住宅",INDIRECT("'数据-取费表'!s"&amp;$G$1),INDIRECT("'数据-取费表'!k"&amp;$G$1)+INDIRECT("'数据-取费表'!s"&amp;$G$1)))</f>
        <v>96535.67</v>
      </c>
      <c r="E10" s="264">
        <f>'数据-取费表'!B28</f>
        <v>200</v>
      </c>
      <c r="F10" s="260"/>
      <c r="G10" s="265"/>
    </row>
    <row r="11" spans="1:9" s="253" customFormat="1" ht="13.5" hidden="1" customHeight="1">
      <c r="A11" s="266" t="s">
        <v>7</v>
      </c>
      <c r="B11" s="254" t="s">
        <v>2327</v>
      </c>
      <c r="C11" s="250"/>
      <c r="D11" s="1032"/>
      <c r="E11" s="257"/>
      <c r="F11" s="257"/>
      <c r="G11" s="258"/>
    </row>
    <row r="12" spans="1:9" s="253" customFormat="1" ht="13.5" hidden="1" customHeight="1">
      <c r="A12" s="266" t="s">
        <v>8</v>
      </c>
      <c r="B12" s="254" t="s">
        <v>2328</v>
      </c>
      <c r="C12" s="250">
        <v>0</v>
      </c>
      <c r="D12" s="1032"/>
      <c r="E12" s="267"/>
      <c r="F12" s="260">
        <v>3.0499999999999999E-2</v>
      </c>
      <c r="G12" s="258"/>
    </row>
    <row r="13" spans="1:9" s="253" customFormat="1" ht="13.5" hidden="1" customHeight="1">
      <c r="A13" s="266" t="s">
        <v>9</v>
      </c>
      <c r="B13" s="254" t="s">
        <v>2329</v>
      </c>
      <c r="C13" s="250"/>
      <c r="D13" s="1032"/>
      <c r="E13" s="257"/>
      <c r="F13" s="257"/>
      <c r="G13" s="258"/>
    </row>
    <row r="14" spans="1:9" s="253" customFormat="1" ht="13.5" hidden="1" customHeight="1">
      <c r="A14" s="266" t="s">
        <v>10</v>
      </c>
      <c r="B14" s="254" t="s">
        <v>2330</v>
      </c>
      <c r="C14" s="250"/>
      <c r="D14" s="1032"/>
      <c r="E14" s="257"/>
      <c r="F14" s="257"/>
      <c r="G14" s="258" t="s">
        <v>2331</v>
      </c>
    </row>
    <row r="15" spans="1:9" s="253" customFormat="1" ht="13.5" hidden="1" customHeight="1">
      <c r="A15" s="266" t="s">
        <v>11</v>
      </c>
      <c r="B15" s="254" t="s">
        <v>2332</v>
      </c>
      <c r="C15" s="259"/>
      <c r="D15" s="1032"/>
      <c r="E15" s="257"/>
      <c r="F15" s="257"/>
      <c r="G15" s="258" t="s">
        <v>2333</v>
      </c>
    </row>
    <row r="16" spans="1:9" s="253" customFormat="1" ht="13.5" hidden="1" customHeight="1">
      <c r="A16" s="266" t="s">
        <v>12</v>
      </c>
      <c r="B16" s="254" t="s">
        <v>2330</v>
      </c>
      <c r="C16" s="259"/>
      <c r="D16" s="1032"/>
      <c r="E16" s="257"/>
      <c r="F16" s="257"/>
      <c r="G16" s="258"/>
    </row>
    <row r="17" spans="1:7" s="253" customFormat="1" ht="13.5" hidden="1" customHeight="1">
      <c r="A17" s="266" t="s">
        <v>13</v>
      </c>
      <c r="B17" s="254" t="s">
        <v>2334</v>
      </c>
      <c r="C17" s="268"/>
      <c r="D17" s="1033"/>
      <c r="E17" s="268"/>
      <c r="F17" s="268"/>
      <c r="G17" s="258" t="s">
        <v>2333</v>
      </c>
    </row>
    <row r="18" spans="1:7" s="253" customFormat="1" ht="13.5" hidden="1" customHeight="1">
      <c r="A18" s="266" t="s">
        <v>14</v>
      </c>
      <c r="B18" s="254" t="s">
        <v>2335</v>
      </c>
      <c r="C18" s="259">
        <v>0</v>
      </c>
      <c r="D18" s="1032"/>
      <c r="E18" s="257"/>
      <c r="F18" s="260">
        <v>3.0499999999999999E-2</v>
      </c>
      <c r="G18" s="258" t="s">
        <v>2336</v>
      </c>
    </row>
    <row r="19" spans="1:7" s="262" customFormat="1" ht="13.5" customHeight="1">
      <c r="A19" s="294" t="s">
        <v>2337</v>
      </c>
      <c r="B19" s="249" t="s">
        <v>2338</v>
      </c>
      <c r="C19" s="250" t="str">
        <f>IF(G19="已包含在土地取得成本中","0",ROUND(D19*E19/10000,0))</f>
        <v>0</v>
      </c>
      <c r="D19" s="1034">
        <f ca="1">D9+D10</f>
        <v>96535.67</v>
      </c>
      <c r="E19" s="250">
        <f>'数据-取费表'!B31</f>
        <v>200</v>
      </c>
      <c r="F19" s="270"/>
      <c r="G19" s="2548" t="s">
        <v>3104</v>
      </c>
    </row>
    <row r="20" spans="1:7" s="253" customFormat="1" ht="13.5" customHeight="1">
      <c r="A20" s="294" t="s">
        <v>2339</v>
      </c>
      <c r="B20" s="249" t="s">
        <v>2340</v>
      </c>
      <c r="C20" s="271">
        <f ca="1">ROUND((C5+C19)*F20,0)</f>
        <v>1613</v>
      </c>
      <c r="D20" s="271"/>
      <c r="E20" s="271"/>
      <c r="F20" s="272">
        <f>'数据-取费表'!B37</f>
        <v>0.02</v>
      </c>
      <c r="G20" s="273" t="s">
        <v>2341</v>
      </c>
    </row>
    <row r="21" spans="1:7" s="253" customFormat="1" ht="13.5" customHeight="1">
      <c r="A21" s="294" t="s">
        <v>2342</v>
      </c>
      <c r="B21" s="249" t="s">
        <v>2343</v>
      </c>
      <c r="C21" s="274">
        <f>F21</f>
        <v>0.02</v>
      </c>
      <c r="D21" s="275" t="s">
        <v>2344</v>
      </c>
      <c r="E21" s="271"/>
      <c r="F21" s="272">
        <f>'数据-取费表'!B38</f>
        <v>0.02</v>
      </c>
      <c r="G21" s="273" t="s">
        <v>2345</v>
      </c>
    </row>
    <row r="22" spans="1:7" s="253" customFormat="1" ht="13.5" customHeight="1">
      <c r="A22" s="294" t="s">
        <v>2346</v>
      </c>
      <c r="B22" s="249" t="s">
        <v>2347</v>
      </c>
      <c r="C22" s="1352">
        <f ca="1">ROUND(SUM(C23:C25),0)</f>
        <v>3080</v>
      </c>
      <c r="D22" s="274">
        <f ca="1">C26</f>
        <v>4.0000000000000002E-4</v>
      </c>
      <c r="E22" s="275" t="s">
        <v>2344</v>
      </c>
      <c r="F22" s="276">
        <f ca="1">'数据-取费表'!B40</f>
        <v>4.7500000000000001E-2</v>
      </c>
      <c r="G22" s="273" t="str">
        <f>IF('数据-取费表'!B22&lt;=1,"单利计息","复利计息")</f>
        <v>复利计息</v>
      </c>
    </row>
    <row r="23" spans="1:7" s="253" customFormat="1" ht="13.5" customHeight="1">
      <c r="A23" s="949" t="s">
        <v>2348</v>
      </c>
      <c r="B23" s="254" t="s">
        <v>2349</v>
      </c>
      <c r="C23" s="1353">
        <f ca="1">ROUND(IF('数据-取费表'!B22&lt;=1,C5*F22*'数据-取费表'!B23,C5*(POWER((1+F22),'数据-取费表'!B23)-1)),0)</f>
        <v>3050</v>
      </c>
      <c r="D23" s="277"/>
      <c r="E23" s="277"/>
      <c r="F23" s="278"/>
      <c r="G23" s="279" t="s">
        <v>2350</v>
      </c>
    </row>
    <row r="24" spans="1:7" s="253" customFormat="1" ht="13.5" customHeight="1">
      <c r="A24" s="949" t="s">
        <v>2351</v>
      </c>
      <c r="B24" s="254" t="s">
        <v>2352</v>
      </c>
      <c r="C24" s="1353">
        <f ca="1">ROUND(IF('数据-取费表'!B22&lt;=1,C19*F22*('数据-取费表'!B19/2+'数据-取费表'!B21),C19*(POWER((1+F22),('数据-取费表'!B19/2+'数据-取费表'!B21))-1)),0)</f>
        <v>0</v>
      </c>
      <c r="D24" s="277"/>
      <c r="E24" s="277"/>
      <c r="F24" s="278"/>
      <c r="G24" s="279" t="s">
        <v>2353</v>
      </c>
    </row>
    <row r="25" spans="1:7" s="253" customFormat="1" ht="24">
      <c r="A25" s="949" t="s">
        <v>2354</v>
      </c>
      <c r="B25" s="254" t="s">
        <v>2355</v>
      </c>
      <c r="C25" s="1353">
        <f ca="1">ROUND(IF('数据-取费表'!B22&lt;=1,C20*F22*'数据-取费表'!B23/2,C20*(POWER((1+F22),'数据-取费表'!B23/2)-1)),0)</f>
        <v>30</v>
      </c>
      <c r="D25" s="277"/>
      <c r="E25" s="280"/>
      <c r="F25" s="278"/>
      <c r="G25" s="281" t="s">
        <v>2356</v>
      </c>
    </row>
    <row r="26" spans="1:7" s="253" customFormat="1">
      <c r="A26" s="949" t="s">
        <v>795</v>
      </c>
      <c r="B26" s="254" t="s">
        <v>2357</v>
      </c>
      <c r="C26" s="277">
        <f ca="1">ROUND(IF('数据-取费表'!B22&lt;=1,F21*F22*'数据-取费表'!B23/2,F21*(POWER((1+F22),'数据-取费表'!B23/2)-1)),4)</f>
        <v>4.0000000000000002E-4</v>
      </c>
      <c r="D26" s="277"/>
      <c r="E26" s="280"/>
      <c r="F26" s="278"/>
      <c r="G26" s="282"/>
    </row>
    <row r="27" spans="1:7" s="253" customFormat="1" ht="24.75">
      <c r="A27" s="294" t="s">
        <v>2358</v>
      </c>
      <c r="B27" s="283" t="s">
        <v>2359</v>
      </c>
      <c r="C27" s="284">
        <f ca="1">C28</f>
        <v>4936</v>
      </c>
      <c r="D27" s="274">
        <f ca="1">C29</f>
        <v>1.1999999999999999E-3</v>
      </c>
      <c r="E27" s="275" t="s">
        <v>2360</v>
      </c>
      <c r="F27" s="285">
        <f ca="1">IF(B1="",'数据-取费表'!Q16,INDIRECT("'数据-取费表'!q"&amp;$G$1))</f>
        <v>0.15</v>
      </c>
      <c r="G27" s="286" t="s">
        <v>2361</v>
      </c>
    </row>
    <row r="28" spans="1:7" s="253" customFormat="1" ht="13.5" customHeight="1">
      <c r="A28" s="949" t="s">
        <v>791</v>
      </c>
      <c r="B28" s="287" t="s">
        <v>2362</v>
      </c>
      <c r="C28" s="288">
        <f ca="1">ROUND((C5+C19+C20)*F27*'数据-取费表'!B21/'数据-取费表'!B20,0)</f>
        <v>4936</v>
      </c>
      <c r="D28" s="274"/>
      <c r="E28" s="275"/>
      <c r="F28" s="285"/>
      <c r="G28" s="286"/>
    </row>
    <row r="29" spans="1:7" s="253" customFormat="1" ht="13.5" customHeight="1">
      <c r="A29" s="949" t="s">
        <v>792</v>
      </c>
      <c r="B29" s="287" t="s">
        <v>2363</v>
      </c>
      <c r="C29" s="277">
        <f ca="1">ROUND(C21*F27*'数据-取费表'!B21/'数据-取费表'!B20,4)</f>
        <v>1.1999999999999999E-3</v>
      </c>
      <c r="D29" s="274"/>
      <c r="E29" s="275"/>
      <c r="F29" s="285"/>
      <c r="G29" s="286"/>
    </row>
    <row r="30" spans="1:7" s="253" customFormat="1" ht="13.5" customHeight="1">
      <c r="A30" s="294" t="s">
        <v>2364</v>
      </c>
      <c r="B30" s="249" t="s">
        <v>2365</v>
      </c>
      <c r="C30" s="274">
        <f>ROUND(F30/(1+'数据-取费表'!C42),4)</f>
        <v>5.2400000000000002E-2</v>
      </c>
      <c r="D30" s="275" t="s">
        <v>2360</v>
      </c>
      <c r="E30" s="280"/>
      <c r="F30" s="276">
        <f>'数据-取费表'!B41</f>
        <v>5.5000000000000007E-2</v>
      </c>
      <c r="G30" s="273" t="s">
        <v>2366</v>
      </c>
    </row>
    <row r="31" spans="1:7" ht="16.5" customHeight="1">
      <c r="A31" s="248">
        <v>1</v>
      </c>
      <c r="B31" s="249" t="s">
        <v>2367</v>
      </c>
      <c r="C31" s="250">
        <f ca="1">ROUND((C5+C19+C20+C22+C27)/(1-C21-D22-D27-C30),0)</f>
        <v>97496</v>
      </c>
      <c r="D31" s="269"/>
      <c r="E31" s="250"/>
      <c r="F31" s="289"/>
      <c r="G31" s="273" t="s">
        <v>2368</v>
      </c>
    </row>
    <row r="32" spans="1:7" s="247" customFormat="1" ht="15.75">
      <c r="A32" s="291" t="s">
        <v>2369</v>
      </c>
      <c r="B32" s="292"/>
      <c r="C32" s="292"/>
      <c r="D32" s="292"/>
      <c r="E32" s="292"/>
      <c r="F32" s="292"/>
      <c r="G32" s="293"/>
    </row>
    <row r="33" spans="1:7" s="253" customFormat="1" ht="13.5" customHeight="1">
      <c r="A33" s="294" t="s">
        <v>782</v>
      </c>
      <c r="B33" s="249" t="s">
        <v>2370</v>
      </c>
      <c r="C33" s="295">
        <f ca="1">SUM(C34:C38)</f>
        <v>25574</v>
      </c>
      <c r="D33" s="271"/>
      <c r="E33" s="251"/>
      <c r="F33" s="280"/>
      <c r="G33" s="273"/>
    </row>
    <row r="34" spans="1:7" s="297" customFormat="1" ht="13.5" customHeight="1">
      <c r="A34" s="949" t="s">
        <v>791</v>
      </c>
      <c r="B34" s="254" t="s">
        <v>2371</v>
      </c>
      <c r="C34" s="259">
        <f ca="1">IF(B1="",IF(F34=100%,'数据-取费表'!M16,'数据-取费表'!O16),IF(F34=100%,INDIRECT("'数据-取费表'!m"&amp;$G$1)+INDIRECT("'数据-取费表'!t"&amp;$G$1),INDIRECT("'数据-取费表'!o"&amp;$G$1)+INDIRECT("'数据-取费表'!aq"&amp;$G$1)))</f>
        <v>23715</v>
      </c>
      <c r="D34" s="256"/>
      <c r="E34" s="259"/>
      <c r="F34" s="296">
        <f ca="1">IF('数据-取费表'!B24=0,1,IF(B1="",'数据-取费表'!N16,INDIRECT("'数据-取费表'!n"&amp;$G$1)))</f>
        <v>0.41</v>
      </c>
      <c r="G34" s="258" t="s">
        <v>2372</v>
      </c>
    </row>
    <row r="35" spans="1:7" ht="13.5" customHeight="1">
      <c r="A35" s="949" t="s">
        <v>796</v>
      </c>
      <c r="B35" s="254" t="s">
        <v>2373</v>
      </c>
      <c r="C35" s="259">
        <f ca="1">ROUND(C34*F35,0)</f>
        <v>711</v>
      </c>
      <c r="D35" s="259"/>
      <c r="E35" s="259"/>
      <c r="F35" s="298">
        <f>'数据-取费表'!B33</f>
        <v>0.03</v>
      </c>
      <c r="G35" s="258" t="s">
        <v>2374</v>
      </c>
    </row>
    <row r="36" spans="1:7" ht="24">
      <c r="A36" s="949" t="s">
        <v>797</v>
      </c>
      <c r="B36" s="254" t="s">
        <v>2375</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2376</v>
      </c>
    </row>
    <row r="37" spans="1:7" s="297" customFormat="1" ht="13.5" customHeight="1">
      <c r="A37" s="949" t="s">
        <v>798</v>
      </c>
      <c r="B37" s="254" t="s">
        <v>2377</v>
      </c>
      <c r="C37" s="288">
        <f ca="1">ROUND(E37*D37*F34/10000,0)</f>
        <v>792</v>
      </c>
      <c r="D37" s="256">
        <f ca="1">D19</f>
        <v>96535.67</v>
      </c>
      <c r="E37" s="288">
        <f>'数据-取费表'!B35</f>
        <v>200</v>
      </c>
      <c r="F37" s="298"/>
      <c r="G37" s="300" t="s">
        <v>2378</v>
      </c>
    </row>
    <row r="38" spans="1:7" ht="13.5" customHeight="1">
      <c r="A38" s="949" t="s">
        <v>799</v>
      </c>
      <c r="B38" s="254" t="s">
        <v>2379</v>
      </c>
      <c r="C38" s="259">
        <f ca="1">ROUND(C34*F38,0)</f>
        <v>356</v>
      </c>
      <c r="D38" s="259"/>
      <c r="E38" s="259"/>
      <c r="F38" s="298">
        <f>'数据-取费表'!B36</f>
        <v>1.4999999999999999E-2</v>
      </c>
      <c r="G38" s="258" t="s">
        <v>2374</v>
      </c>
    </row>
    <row r="39" spans="1:7" s="253" customFormat="1" ht="13.5" customHeight="1">
      <c r="A39" s="294" t="s">
        <v>2380</v>
      </c>
      <c r="B39" s="249" t="s">
        <v>2381</v>
      </c>
      <c r="C39" s="271">
        <f ca="1">ROUND(C33*F20,0)</f>
        <v>511</v>
      </c>
      <c r="D39" s="271"/>
      <c r="E39" s="271"/>
      <c r="F39" s="272"/>
      <c r="G39" s="273" t="s">
        <v>2382</v>
      </c>
    </row>
    <row r="40" spans="1:7" s="253" customFormat="1" ht="13.5" customHeight="1">
      <c r="A40" s="294" t="s">
        <v>2383</v>
      </c>
      <c r="B40" s="249" t="s">
        <v>2384</v>
      </c>
      <c r="C40" s="1726">
        <f>F21</f>
        <v>0.02</v>
      </c>
      <c r="D40" s="275" t="s">
        <v>2385</v>
      </c>
      <c r="E40" s="271"/>
      <c r="F40" s="272"/>
      <c r="G40" s="273" t="s">
        <v>2386</v>
      </c>
    </row>
    <row r="41" spans="1:7" s="253" customFormat="1" ht="13.5" customHeight="1">
      <c r="A41" s="294" t="s">
        <v>2387</v>
      </c>
      <c r="B41" s="249" t="s">
        <v>2388</v>
      </c>
      <c r="C41" s="271">
        <f ca="1">ROUND(SUM(C42:C43),0)</f>
        <v>489</v>
      </c>
      <c r="D41" s="274">
        <f ca="1">C44</f>
        <v>4.0000000000000002E-4</v>
      </c>
      <c r="E41" s="275" t="s">
        <v>2385</v>
      </c>
      <c r="F41" s="276"/>
      <c r="G41" s="273" t="str">
        <f>IF('数据-取费表'!B22&lt;=1,"单利计息","复利计息")</f>
        <v>复利计息</v>
      </c>
    </row>
    <row r="42" spans="1:7" ht="13.5" customHeight="1">
      <c r="A42" s="949" t="s">
        <v>791</v>
      </c>
      <c r="B42" s="254" t="s">
        <v>2389</v>
      </c>
      <c r="C42" s="277">
        <f ca="1">ROUND(IF('数据-取费表'!B22&lt;=1,C33*F22*'数据-取费表'!B21/2,C33*(POWER((1+F22),'数据-取费表'!B21/2)-1)),0)</f>
        <v>479</v>
      </c>
      <c r="D42" s="277"/>
      <c r="E42" s="277"/>
      <c r="F42" s="278"/>
      <c r="G42" s="3207" t="s">
        <v>2390</v>
      </c>
    </row>
    <row r="43" spans="1:7" ht="13.5" customHeight="1">
      <c r="A43" s="949" t="s">
        <v>792</v>
      </c>
      <c r="B43" s="254" t="s">
        <v>2391</v>
      </c>
      <c r="C43" s="277">
        <f ca="1">ROUND(IF('数据-取费表'!B22&lt;=1,C39*F22*'数据-取费表'!B21/2,C39*(POWER((1+F22),'数据-取费表'!B21/2)-1)),0)</f>
        <v>10</v>
      </c>
      <c r="D43" s="277"/>
      <c r="E43" s="277"/>
      <c r="F43" s="278"/>
      <c r="G43" s="3208"/>
    </row>
    <row r="44" spans="1:7" ht="13.5" customHeight="1">
      <c r="A44" s="949" t="s">
        <v>793</v>
      </c>
      <c r="B44" s="254" t="s">
        <v>2392</v>
      </c>
      <c r="C44" s="277">
        <f ca="1">ROUND(IF('数据-取费表'!B22&lt;=1,C40*F22*'数据-取费表'!B21/2,C40*(POWER((1+F22),'数据-取费表'!B21/2)-1)),4)</f>
        <v>4.0000000000000002E-4</v>
      </c>
      <c r="D44" s="277"/>
      <c r="E44" s="277"/>
      <c r="F44" s="278"/>
      <c r="G44" s="3209"/>
    </row>
    <row r="45" spans="1:7" s="253" customFormat="1" ht="13.5" customHeight="1">
      <c r="A45" s="294" t="s">
        <v>2393</v>
      </c>
      <c r="B45" s="283" t="s">
        <v>2359</v>
      </c>
      <c r="C45" s="284">
        <f ca="1">C46</f>
        <v>3913</v>
      </c>
      <c r="D45" s="274">
        <f ca="1">C47</f>
        <v>3.0000000000000001E-3</v>
      </c>
      <c r="E45" s="275" t="s">
        <v>2385</v>
      </c>
      <c r="F45" s="285"/>
      <c r="G45" s="286" t="s">
        <v>2394</v>
      </c>
    </row>
    <row r="46" spans="1:7" s="253" customFormat="1" ht="13.5" customHeight="1">
      <c r="A46" s="949" t="s">
        <v>791</v>
      </c>
      <c r="B46" s="287" t="s">
        <v>2395</v>
      </c>
      <c r="C46" s="288">
        <f ca="1">ROUND((C33+C39)*F27,0)</f>
        <v>3913</v>
      </c>
      <c r="D46" s="302"/>
      <c r="E46" s="275"/>
      <c r="F46" s="285"/>
      <c r="G46" s="286"/>
    </row>
    <row r="47" spans="1:7" s="253" customFormat="1" ht="13.5" customHeight="1">
      <c r="A47" s="949" t="s">
        <v>792</v>
      </c>
      <c r="B47" s="287" t="s">
        <v>2396</v>
      </c>
      <c r="C47" s="277">
        <f ca="1">ROUND(C40*F27,4)</f>
        <v>3.0000000000000001E-3</v>
      </c>
      <c r="D47" s="302"/>
      <c r="E47" s="275"/>
      <c r="F47" s="285"/>
      <c r="G47" s="286"/>
    </row>
    <row r="48" spans="1:7" s="253" customFormat="1" ht="13.5" customHeight="1">
      <c r="A48" s="294" t="s">
        <v>2358</v>
      </c>
      <c r="B48" s="249" t="s">
        <v>2397</v>
      </c>
      <c r="C48" s="1726">
        <f>ROUND(F30/(1+'数据-取费表'!C42),4)</f>
        <v>5.2400000000000002E-2</v>
      </c>
      <c r="D48" s="275" t="s">
        <v>2385</v>
      </c>
      <c r="E48" s="271"/>
      <c r="F48" s="276"/>
      <c r="G48" s="273" t="s">
        <v>2398</v>
      </c>
    </row>
    <row r="49" spans="1:7" ht="16.5" customHeight="1">
      <c r="A49" s="294" t="s">
        <v>2364</v>
      </c>
      <c r="B49" s="249" t="s">
        <v>2399</v>
      </c>
      <c r="C49" s="271">
        <f ca="1">ROUND((C33+C39+C41+C45)/(1-C40-D41-D45-C48),0)</f>
        <v>32987</v>
      </c>
      <c r="D49" s="271"/>
      <c r="E49" s="271"/>
      <c r="F49" s="303"/>
      <c r="G49" s="273" t="s">
        <v>2400</v>
      </c>
    </row>
    <row r="50" spans="1:7" s="297" customFormat="1" ht="24">
      <c r="A50" s="294" t="s">
        <v>2401</v>
      </c>
      <c r="B50" s="249" t="s">
        <v>2402</v>
      </c>
      <c r="C50" s="271"/>
      <c r="D50" s="271"/>
      <c r="E50" s="271"/>
      <c r="F50" s="303">
        <f>IF('数据-取费表'!B24=0,'数据-取费表'!N16,1)</f>
        <v>1</v>
      </c>
      <c r="G50" s="286" t="s">
        <v>2403</v>
      </c>
    </row>
    <row r="51" spans="1:7" ht="16.5" customHeight="1">
      <c r="A51" s="294" t="s">
        <v>2404</v>
      </c>
      <c r="B51" s="249" t="s">
        <v>2405</v>
      </c>
      <c r="C51" s="271">
        <f ca="1">ROUND(C49*F50,0)</f>
        <v>32987</v>
      </c>
      <c r="D51" s="271"/>
      <c r="E51" s="271"/>
      <c r="F51" s="303"/>
      <c r="G51" s="273" t="s">
        <v>2406</v>
      </c>
    </row>
    <row r="52" spans="1:7" s="247" customFormat="1" ht="16.5" thickBot="1">
      <c r="A52" s="304" t="s">
        <v>2407</v>
      </c>
      <c r="B52" s="305"/>
      <c r="C52" s="306">
        <f ca="1">C31+C51</f>
        <v>130483</v>
      </c>
      <c r="D52" s="305"/>
      <c r="E52" s="305"/>
      <c r="F52" s="305"/>
      <c r="G52" s="307"/>
    </row>
    <row r="55" spans="1:7" ht="15">
      <c r="B55" s="309" t="s">
        <v>2408</v>
      </c>
      <c r="C55" s="310"/>
    </row>
    <row r="56" spans="1:7">
      <c r="B56" s="312" t="s">
        <v>1507</v>
      </c>
      <c r="C56" s="314">
        <f ca="1">1-C57</f>
        <v>0.747</v>
      </c>
    </row>
    <row r="57" spans="1:7">
      <c r="B57" s="312" t="s">
        <v>1508</v>
      </c>
      <c r="C57" s="313">
        <f ca="1">ROUND(C51/C52,3)</f>
        <v>0.253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2307</v>
      </c>
      <c r="B1" s="1935"/>
      <c r="C1" s="2551" t="s">
        <v>2409</v>
      </c>
      <c r="D1" s="237"/>
      <c r="E1" s="237"/>
      <c r="F1" s="237"/>
      <c r="G1" s="1377">
        <f>MATCH(B1,'数据-取费表'!A6:A16,0)+5</f>
        <v>8</v>
      </c>
      <c r="H1" s="1280" t="str">
        <f>IF(ISERROR(FIND("住宅",B1)),"非住宅","住宅")</f>
        <v>非住宅</v>
      </c>
    </row>
    <row r="2" spans="1:8" s="239" customFormat="1" ht="18" customHeight="1">
      <c r="A2" s="240" t="s">
        <v>2308</v>
      </c>
      <c r="B2" s="241">
        <f ca="1">ROUND(IF(D2="——",C52/10000,C52/10000-E2),0)</f>
        <v>87852</v>
      </c>
      <c r="C2" s="238" t="s">
        <v>2309</v>
      </c>
      <c r="D2" s="2545" t="s">
        <v>70</v>
      </c>
      <c r="E2" s="1438" t="e">
        <f ca="1">SUMIF(INDIRECT("'"&amp;G2&amp;"'"&amp;"!A:A"),"承租人权益价值",INDIRECT("'"&amp;G2&amp;"'"&amp;"!c:c"))</f>
        <v>#REF!</v>
      </c>
      <c r="F2" s="2546" t="s">
        <v>2309</v>
      </c>
      <c r="G2" s="2547"/>
    </row>
    <row r="3" spans="1:8" s="239" customFormat="1" ht="18" customHeight="1" thickBot="1">
      <c r="A3" s="242" t="s">
        <v>2310</v>
      </c>
      <c r="B3" s="243">
        <f ca="1">ROUND(B2*10000/(IF(B1="",'数据-汇总表'!E3,INDIRECT("'数据-取费表'!k"&amp;$G$1))),0)</f>
        <v>9100</v>
      </c>
      <c r="C3" s="238" t="s">
        <v>2311</v>
      </c>
      <c r="D3" s="238"/>
      <c r="E3" s="238"/>
      <c r="F3" s="238"/>
      <c r="G3" s="238"/>
    </row>
    <row r="4" spans="1:8" s="247" customFormat="1" ht="15.75">
      <c r="A4" s="244" t="s">
        <v>2312</v>
      </c>
      <c r="B4" s="245"/>
      <c r="C4" s="245"/>
      <c r="D4" s="245"/>
      <c r="E4" s="245"/>
      <c r="F4" s="245"/>
      <c r="G4" s="246"/>
    </row>
    <row r="5" spans="1:8" s="253" customFormat="1" ht="13.5" customHeight="1">
      <c r="A5" s="294" t="s">
        <v>2313</v>
      </c>
      <c r="B5" s="249" t="s">
        <v>2314</v>
      </c>
      <c r="C5" s="250">
        <f ca="1">C6+C7+C8</f>
        <v>19307134</v>
      </c>
      <c r="D5" s="250" t="s">
        <v>2315</v>
      </c>
      <c r="E5" s="251" t="s">
        <v>2316</v>
      </c>
      <c r="F5" s="251" t="s">
        <v>2317</v>
      </c>
      <c r="G5" s="252"/>
    </row>
    <row r="6" spans="1:8" s="253" customFormat="1" ht="13.5" customHeight="1">
      <c r="A6" s="947" t="s">
        <v>2318</v>
      </c>
      <c r="B6" s="254" t="s">
        <v>2319</v>
      </c>
      <c r="C6" s="255"/>
      <c r="D6" s="256"/>
      <c r="E6" s="257"/>
      <c r="F6" s="257"/>
      <c r="G6" s="258"/>
    </row>
    <row r="7" spans="1:8" s="253" customFormat="1" ht="13.5" customHeight="1">
      <c r="A7" s="947" t="s">
        <v>2320</v>
      </c>
      <c r="B7" s="254" t="s">
        <v>2321</v>
      </c>
      <c r="C7" s="259">
        <f>ROUND(C6*F7,0)</f>
        <v>0</v>
      </c>
      <c r="D7" s="259"/>
      <c r="E7" s="257"/>
      <c r="F7" s="260">
        <f>'数据-取费表'!B48+'数据-取费表'!B49</f>
        <v>3.0499999999999999E-2</v>
      </c>
      <c r="G7" s="258"/>
    </row>
    <row r="8" spans="1:8" s="262" customFormat="1">
      <c r="A8" s="947" t="s">
        <v>2322</v>
      </c>
      <c r="B8" s="254" t="s">
        <v>2323</v>
      </c>
      <c r="C8" s="259">
        <f ca="1">IF(G8="已包含在土地购买价格中",0,C9+C10)</f>
        <v>19307134</v>
      </c>
      <c r="D8" s="261"/>
      <c r="E8" s="259"/>
      <c r="F8" s="260"/>
      <c r="G8" s="2548"/>
    </row>
    <row r="9" spans="1:8" s="253" customFormat="1" ht="13.5" customHeight="1">
      <c r="A9" s="948" t="s">
        <v>800</v>
      </c>
      <c r="B9" s="263" t="s">
        <v>2324</v>
      </c>
      <c r="C9" s="264">
        <f ca="1">ROUND(D9*E9,0)</f>
        <v>0</v>
      </c>
      <c r="D9" s="1030">
        <f ca="1">IF(B1="",'数据-汇总表'!E5,IF(INDIRECT("'数据-取费表'!c"&amp;$G$1)="住宅",INDIRECT("'数据-取费表'!k"&amp;$G$1),0))</f>
        <v>0</v>
      </c>
      <c r="E9" s="264">
        <f>'数据-取费表'!B27</f>
        <v>160</v>
      </c>
      <c r="F9" s="260"/>
      <c r="G9" s="265"/>
    </row>
    <row r="10" spans="1:8" s="253" customFormat="1" ht="13.5" customHeight="1">
      <c r="A10" s="948" t="s">
        <v>801</v>
      </c>
      <c r="B10" s="263" t="s">
        <v>2326</v>
      </c>
      <c r="C10" s="264">
        <f ca="1">ROUND(D10*E10,0)</f>
        <v>19307134</v>
      </c>
      <c r="D10" s="1030">
        <f ca="1">IF(B1="",'数据-汇总表'!E6,IF(INDIRECT("'数据-取费表'!c"&amp;$G$1)="住宅",INDIRECT("'数据-取费表'!s"&amp;$G$1),INDIRECT("'数据-取费表'!k"&amp;$G$1)+INDIRECT("'数据-取费表'!s"&amp;$G$1)))</f>
        <v>96535.67</v>
      </c>
      <c r="E10" s="264">
        <f>'数据-取费表'!B28</f>
        <v>200</v>
      </c>
      <c r="F10" s="260"/>
      <c r="G10" s="265"/>
    </row>
    <row r="11" spans="1:8" s="253" customFormat="1" ht="13.5" hidden="1" customHeight="1">
      <c r="A11" s="266" t="s">
        <v>7</v>
      </c>
      <c r="B11" s="254" t="s">
        <v>2327</v>
      </c>
      <c r="C11" s="250"/>
      <c r="D11" s="1032"/>
      <c r="E11" s="257"/>
      <c r="F11" s="257"/>
      <c r="G11" s="258"/>
    </row>
    <row r="12" spans="1:8" s="253" customFormat="1" ht="13.5" hidden="1" customHeight="1">
      <c r="A12" s="266" t="s">
        <v>8</v>
      </c>
      <c r="B12" s="254" t="s">
        <v>2410</v>
      </c>
      <c r="C12" s="250">
        <v>0</v>
      </c>
      <c r="D12" s="1032"/>
      <c r="E12" s="267"/>
      <c r="F12" s="260">
        <v>3.0499999999999999E-2</v>
      </c>
      <c r="G12" s="258"/>
    </row>
    <row r="13" spans="1:8" s="253" customFormat="1" ht="13.5" hidden="1" customHeight="1">
      <c r="A13" s="266" t="s">
        <v>9</v>
      </c>
      <c r="B13" s="254" t="s">
        <v>2411</v>
      </c>
      <c r="C13" s="250"/>
      <c r="D13" s="1032"/>
      <c r="E13" s="257"/>
      <c r="F13" s="257"/>
      <c r="G13" s="258"/>
    </row>
    <row r="14" spans="1:8" s="253" customFormat="1" ht="13.5" hidden="1" customHeight="1">
      <c r="A14" s="266" t="s">
        <v>10</v>
      </c>
      <c r="B14" s="254" t="s">
        <v>2323</v>
      </c>
      <c r="C14" s="250"/>
      <c r="D14" s="1032"/>
      <c r="E14" s="257"/>
      <c r="F14" s="257"/>
      <c r="G14" s="258" t="s">
        <v>2412</v>
      </c>
    </row>
    <row r="15" spans="1:8" s="253" customFormat="1" ht="13.5" hidden="1" customHeight="1">
      <c r="A15" s="266" t="s">
        <v>11</v>
      </c>
      <c r="B15" s="254" t="s">
        <v>2413</v>
      </c>
      <c r="C15" s="259"/>
      <c r="D15" s="1032"/>
      <c r="E15" s="257"/>
      <c r="F15" s="257"/>
      <c r="G15" s="258" t="s">
        <v>2414</v>
      </c>
    </row>
    <row r="16" spans="1:8" s="253" customFormat="1" ht="13.5" hidden="1" customHeight="1">
      <c r="A16" s="266" t="s">
        <v>12</v>
      </c>
      <c r="B16" s="254" t="s">
        <v>2323</v>
      </c>
      <c r="C16" s="259"/>
      <c r="D16" s="1032"/>
      <c r="E16" s="257"/>
      <c r="F16" s="257"/>
      <c r="G16" s="258"/>
    </row>
    <row r="17" spans="1:7" s="253" customFormat="1" ht="13.5" hidden="1" customHeight="1">
      <c r="A17" s="266" t="s">
        <v>13</v>
      </c>
      <c r="B17" s="254" t="s">
        <v>2415</v>
      </c>
      <c r="C17" s="268"/>
      <c r="D17" s="1033"/>
      <c r="E17" s="268"/>
      <c r="F17" s="268"/>
      <c r="G17" s="258" t="s">
        <v>2414</v>
      </c>
    </row>
    <row r="18" spans="1:7" s="253" customFormat="1" ht="13.5" hidden="1" customHeight="1">
      <c r="A18" s="266" t="s">
        <v>14</v>
      </c>
      <c r="B18" s="254" t="s">
        <v>2416</v>
      </c>
      <c r="C18" s="259">
        <v>0</v>
      </c>
      <c r="D18" s="1032"/>
      <c r="E18" s="257"/>
      <c r="F18" s="260">
        <v>3.0499999999999999E-2</v>
      </c>
      <c r="G18" s="258" t="s">
        <v>2417</v>
      </c>
    </row>
    <row r="19" spans="1:7" s="262" customFormat="1" ht="13.5" customHeight="1">
      <c r="A19" s="294" t="s">
        <v>2418</v>
      </c>
      <c r="B19" s="249" t="s">
        <v>2419</v>
      </c>
      <c r="C19" s="250">
        <f ca="1">IF(G19="已包含在土地取得成本中","0",ROUND(D19*E19,0))</f>
        <v>19307134</v>
      </c>
      <c r="D19" s="1034">
        <f ca="1">D9+D10</f>
        <v>96535.67</v>
      </c>
      <c r="E19" s="250">
        <f>'数据-取费表'!B31</f>
        <v>200</v>
      </c>
      <c r="F19" s="270"/>
      <c r="G19" s="2548"/>
    </row>
    <row r="20" spans="1:7" s="253" customFormat="1" ht="13.5" customHeight="1">
      <c r="A20" s="294" t="s">
        <v>2420</v>
      </c>
      <c r="B20" s="249" t="s">
        <v>2421</v>
      </c>
      <c r="C20" s="271">
        <f ca="1">ROUND((C5+C19)*F20,0)</f>
        <v>772285</v>
      </c>
      <c r="D20" s="271"/>
      <c r="E20" s="271"/>
      <c r="F20" s="272">
        <f>'数据-取费表'!B37</f>
        <v>0.02</v>
      </c>
      <c r="G20" s="273" t="s">
        <v>2422</v>
      </c>
    </row>
    <row r="21" spans="1:7" s="253" customFormat="1" ht="13.5" customHeight="1">
      <c r="A21" s="294" t="s">
        <v>2423</v>
      </c>
      <c r="B21" s="249" t="s">
        <v>2424</v>
      </c>
      <c r="C21" s="274">
        <f>F21</f>
        <v>0.02</v>
      </c>
      <c r="D21" s="275" t="s">
        <v>2425</v>
      </c>
      <c r="E21" s="271"/>
      <c r="F21" s="272">
        <f>'数据-取费表'!B38</f>
        <v>0.02</v>
      </c>
      <c r="G21" s="273" t="s">
        <v>2426</v>
      </c>
    </row>
    <row r="22" spans="1:7" s="253" customFormat="1" ht="13.5" customHeight="1">
      <c r="A22" s="294" t="s">
        <v>2427</v>
      </c>
      <c r="B22" s="249" t="s">
        <v>2428</v>
      </c>
      <c r="C22" s="1378">
        <f ca="1">ROUND(SUM(C23:C25),0)</f>
        <v>3792162</v>
      </c>
      <c r="D22" s="274">
        <f ca="1">C26</f>
        <v>1E-3</v>
      </c>
      <c r="E22" s="275" t="s">
        <v>2425</v>
      </c>
      <c r="F22" s="276">
        <f ca="1">'数据-取费表'!B40</f>
        <v>4.7500000000000001E-2</v>
      </c>
      <c r="G22" s="273" t="str">
        <f>IF('数据-取费表'!B22&lt;=1,"单利计息","复利计息")</f>
        <v>复利计息</v>
      </c>
    </row>
    <row r="23" spans="1:7" s="253" customFormat="1" ht="13.5" customHeight="1">
      <c r="A23" s="949" t="s">
        <v>2318</v>
      </c>
      <c r="B23" s="254" t="s">
        <v>2429</v>
      </c>
      <c r="C23" s="1379">
        <f ca="1">ROUND(IF('数据-取费表'!B22&lt;=1,C5*F22*'数据-取费表'!B22,C5*(POWER((1+F22),'数据-取费表'!B22)-1)),0)</f>
        <v>1877739</v>
      </c>
      <c r="D23" s="277"/>
      <c r="E23" s="277"/>
      <c r="F23" s="278"/>
      <c r="G23" s="279" t="s">
        <v>2430</v>
      </c>
    </row>
    <row r="24" spans="1:7" s="253" customFormat="1" ht="13.5" customHeight="1">
      <c r="A24" s="949" t="s">
        <v>2320</v>
      </c>
      <c r="B24" s="254" t="s">
        <v>2431</v>
      </c>
      <c r="C24" s="1379">
        <f ca="1">ROUND(IF('数据-取费表'!B22&lt;=1,C19*F22*('数据-取费表'!B19/2+'数据-取费表'!B20),C19*(POWER((1+F22),('数据-取费表'!B19/2+'数据-取费表'!B20))-1)),0)</f>
        <v>1877739</v>
      </c>
      <c r="D24" s="277"/>
      <c r="E24" s="277"/>
      <c r="F24" s="278"/>
      <c r="G24" s="279" t="s">
        <v>2432</v>
      </c>
    </row>
    <row r="25" spans="1:7" s="253" customFormat="1" ht="24">
      <c r="A25" s="949" t="s">
        <v>2322</v>
      </c>
      <c r="B25" s="254" t="s">
        <v>2433</v>
      </c>
      <c r="C25" s="1379">
        <f ca="1">ROUND(IF('数据-取费表'!B22&lt;=1,C20*F22*'数据-取费表'!B22/2,C20*(POWER((1+F22),'数据-取费表'!B22/2)-1)),0)</f>
        <v>36684</v>
      </c>
      <c r="D25" s="277"/>
      <c r="E25" s="280"/>
      <c r="F25" s="278"/>
      <c r="G25" s="281" t="s">
        <v>2434</v>
      </c>
    </row>
    <row r="26" spans="1:7" s="253" customFormat="1">
      <c r="A26" s="949" t="s">
        <v>795</v>
      </c>
      <c r="B26" s="254" t="s">
        <v>2357</v>
      </c>
      <c r="C26" s="277">
        <f ca="1">ROUND(IF('数据-取费表'!B22&lt;=1,F21*F22*'数据-取费表'!B22/2,F21*(POWER((1+F22),'数据-取费表'!B22/2)-1)),4)</f>
        <v>1E-3</v>
      </c>
      <c r="D26" s="277"/>
      <c r="E26" s="280"/>
      <c r="F26" s="278"/>
      <c r="G26" s="282"/>
    </row>
    <row r="27" spans="1:7" s="253" customFormat="1" ht="24.75">
      <c r="A27" s="294" t="s">
        <v>2358</v>
      </c>
      <c r="B27" s="283" t="s">
        <v>2359</v>
      </c>
      <c r="C27" s="284">
        <f ca="1">C28</f>
        <v>5907983</v>
      </c>
      <c r="D27" s="274">
        <f ca="1">C29</f>
        <v>3.0000000000000001E-3</v>
      </c>
      <c r="E27" s="275" t="s">
        <v>2360</v>
      </c>
      <c r="F27" s="285">
        <f ca="1">IF(B1="",'数据-取费表'!Q16,INDIRECT("'数据-取费表'!q"&amp;$G$1))</f>
        <v>0.15</v>
      </c>
      <c r="G27" s="286" t="s">
        <v>2361</v>
      </c>
    </row>
    <row r="28" spans="1:7" s="253" customFormat="1" ht="13.5" customHeight="1">
      <c r="A28" s="949" t="s">
        <v>791</v>
      </c>
      <c r="B28" s="287" t="s">
        <v>2362</v>
      </c>
      <c r="C28" s="288">
        <f ca="1">ROUND((C5+C19+C20)*F27,0)</f>
        <v>5907983</v>
      </c>
      <c r="D28" s="274"/>
      <c r="E28" s="275"/>
      <c r="F28" s="285"/>
      <c r="G28" s="286"/>
    </row>
    <row r="29" spans="1:7" s="253" customFormat="1" ht="13.5" customHeight="1">
      <c r="A29" s="949" t="s">
        <v>792</v>
      </c>
      <c r="B29" s="287" t="s">
        <v>2363</v>
      </c>
      <c r="C29" s="277">
        <f ca="1">ROUND(C21*F27,4)</f>
        <v>3.0000000000000001E-3</v>
      </c>
      <c r="D29" s="274"/>
      <c r="E29" s="275"/>
      <c r="F29" s="285"/>
      <c r="G29" s="286"/>
    </row>
    <row r="30" spans="1:7" s="253" customFormat="1" ht="13.5" customHeight="1">
      <c r="A30" s="294" t="s">
        <v>2364</v>
      </c>
      <c r="B30" s="249" t="s">
        <v>2365</v>
      </c>
      <c r="C30" s="274">
        <f>ROUND(F30/(1+'数据-取费表'!C42),4)</f>
        <v>5.2400000000000002E-2</v>
      </c>
      <c r="D30" s="275" t="s">
        <v>2360</v>
      </c>
      <c r="E30" s="280"/>
      <c r="F30" s="276">
        <f>'数据-取费表'!B41</f>
        <v>5.5000000000000007E-2</v>
      </c>
      <c r="G30" s="273" t="s">
        <v>2366</v>
      </c>
    </row>
    <row r="31" spans="1:7" ht="16.5" customHeight="1">
      <c r="A31" s="248">
        <v>1</v>
      </c>
      <c r="B31" s="249" t="s">
        <v>2367</v>
      </c>
      <c r="C31" s="250">
        <f ca="1">ROUND((C5+C19+C20+C22+C27)/(1-C21-D22-D27-C30),0)</f>
        <v>53147139</v>
      </c>
      <c r="D31" s="269"/>
      <c r="E31" s="250"/>
      <c r="F31" s="289"/>
      <c r="G31" s="273" t="s">
        <v>2368</v>
      </c>
    </row>
    <row r="32" spans="1:7" s="247" customFormat="1" ht="15.75">
      <c r="A32" s="291" t="s">
        <v>2435</v>
      </c>
      <c r="B32" s="292"/>
      <c r="C32" s="292"/>
      <c r="D32" s="292"/>
      <c r="E32" s="292"/>
      <c r="F32" s="292"/>
      <c r="G32" s="293"/>
    </row>
    <row r="33" spans="1:7" s="253" customFormat="1" ht="13.5" customHeight="1">
      <c r="A33" s="294" t="s">
        <v>782</v>
      </c>
      <c r="B33" s="249" t="s">
        <v>2436</v>
      </c>
      <c r="C33" s="295">
        <f ca="1">SUM(C34:C38)</f>
        <v>624107477</v>
      </c>
      <c r="D33" s="271"/>
      <c r="E33" s="251"/>
      <c r="F33" s="280"/>
      <c r="G33" s="273"/>
    </row>
    <row r="34" spans="1:7" s="297" customFormat="1" ht="13.5" customHeight="1">
      <c r="A34" s="949" t="s">
        <v>791</v>
      </c>
      <c r="B34" s="254" t="s">
        <v>2371</v>
      </c>
      <c r="C34" s="259">
        <f ca="1">ROUND(IF(B1="",SUMPRODUCT('数据-取费表'!K6:K14,'数据-取费表'!L6:L14),INDIRECT("'数据-取费表'!l"&amp;$G$1)*INDIRECT("'数据-取费表'!k"&amp;$G$1)+'数据-取费表'!L14*INDIRECT("'数据-取费表'!S"&amp;$G$1)),0)</f>
        <v>578756309</v>
      </c>
      <c r="D34" s="256"/>
      <c r="E34" s="259"/>
      <c r="F34" s="296"/>
      <c r="G34" s="258"/>
    </row>
    <row r="35" spans="1:7" ht="13.5" customHeight="1">
      <c r="A35" s="949" t="s">
        <v>796</v>
      </c>
      <c r="B35" s="254" t="s">
        <v>2373</v>
      </c>
      <c r="C35" s="259">
        <f ca="1">ROUND(C34*F35,0)</f>
        <v>17362689</v>
      </c>
      <c r="D35" s="259"/>
      <c r="E35" s="259"/>
      <c r="F35" s="298">
        <f>'数据-取费表'!B33</f>
        <v>0.03</v>
      </c>
      <c r="G35" s="258" t="s">
        <v>2374</v>
      </c>
    </row>
    <row r="36" spans="1:7" ht="24">
      <c r="A36" s="949" t="s">
        <v>797</v>
      </c>
      <c r="B36" s="254" t="s">
        <v>2375</v>
      </c>
      <c r="C36" s="259">
        <f ca="1">ROUND(IF(B1="",SUM('数据-取费表'!AP6:AP13)*F36,IF(INDIRECT("'数据-取费表'!c"&amp;$G$1)="住宅",INDIRECT("'数据-取费表'!k"&amp;$G$1)*INDIRECT("'数据-取费表'!l"&amp;$G$1)*F36,0)),0)</f>
        <v>0</v>
      </c>
      <c r="D36" s="259"/>
      <c r="E36" s="259"/>
      <c r="F36" s="298">
        <f>'数据-取费表'!B34</f>
        <v>0</v>
      </c>
      <c r="G36" s="299" t="s">
        <v>2376</v>
      </c>
    </row>
    <row r="37" spans="1:7" s="297" customFormat="1" ht="13.5" customHeight="1">
      <c r="A37" s="949" t="s">
        <v>798</v>
      </c>
      <c r="B37" s="254" t="s">
        <v>2377</v>
      </c>
      <c r="C37" s="288">
        <f ca="1">ROUND(E37*D37,0)</f>
        <v>19307134</v>
      </c>
      <c r="D37" s="256">
        <f ca="1">D19</f>
        <v>96535.67</v>
      </c>
      <c r="E37" s="288">
        <f>'数据-取费表'!B35</f>
        <v>200</v>
      </c>
      <c r="F37" s="298"/>
      <c r="G37" s="300"/>
    </row>
    <row r="38" spans="1:7" ht="13.5" customHeight="1">
      <c r="A38" s="949" t="s">
        <v>799</v>
      </c>
      <c r="B38" s="254" t="s">
        <v>2379</v>
      </c>
      <c r="C38" s="259">
        <f ca="1">ROUND(C34*F38,0)</f>
        <v>8681345</v>
      </c>
      <c r="D38" s="259"/>
      <c r="E38" s="259"/>
      <c r="F38" s="298">
        <f>'数据-取费表'!B36</f>
        <v>1.4999999999999999E-2</v>
      </c>
      <c r="G38" s="258" t="s">
        <v>2374</v>
      </c>
    </row>
    <row r="39" spans="1:7" s="253" customFormat="1" ht="13.5" customHeight="1">
      <c r="A39" s="294" t="s">
        <v>2380</v>
      </c>
      <c r="B39" s="249" t="s">
        <v>2381</v>
      </c>
      <c r="C39" s="271">
        <f ca="1">ROUND(C33*F20,0)</f>
        <v>12482150</v>
      </c>
      <c r="D39" s="271"/>
      <c r="E39" s="271"/>
      <c r="F39" s="272"/>
      <c r="G39" s="273" t="s">
        <v>2382</v>
      </c>
    </row>
    <row r="40" spans="1:7" s="253" customFormat="1" ht="13.5" customHeight="1">
      <c r="A40" s="294" t="s">
        <v>2383</v>
      </c>
      <c r="B40" s="249" t="s">
        <v>2384</v>
      </c>
      <c r="C40" s="1726">
        <f>F21</f>
        <v>0.02</v>
      </c>
      <c r="D40" s="275" t="s">
        <v>2385</v>
      </c>
      <c r="E40" s="271"/>
      <c r="F40" s="272"/>
      <c r="G40" s="273" t="s">
        <v>2386</v>
      </c>
    </row>
    <row r="41" spans="1:7" s="253" customFormat="1" ht="13.5" customHeight="1">
      <c r="A41" s="294" t="s">
        <v>2387</v>
      </c>
      <c r="B41" s="249" t="s">
        <v>2388</v>
      </c>
      <c r="C41" s="271">
        <f ca="1">ROUND(SUM(C42:C43),0)</f>
        <v>30238007</v>
      </c>
      <c r="D41" s="274">
        <f ca="1">C44</f>
        <v>1E-3</v>
      </c>
      <c r="E41" s="275" t="s">
        <v>2385</v>
      </c>
      <c r="F41" s="276"/>
      <c r="G41" s="273" t="str">
        <f>IF('数据-取费表'!B22&lt;=1,"单利计息","复利计息")</f>
        <v>复利计息</v>
      </c>
    </row>
    <row r="42" spans="1:7" ht="13.5" customHeight="1">
      <c r="A42" s="949" t="s">
        <v>791</v>
      </c>
      <c r="B42" s="254" t="s">
        <v>2389</v>
      </c>
      <c r="C42" s="277">
        <f ca="1">ROUND(IF('数据-取费表'!B22&lt;=1,C33*F22*'数据-取费表'!B20/2,C33*(POWER((1+F22),'数据-取费表'!B20/2)-1)),0)</f>
        <v>29645105</v>
      </c>
      <c r="D42" s="277"/>
      <c r="E42" s="277"/>
      <c r="F42" s="278"/>
      <c r="G42" s="3207" t="s">
        <v>2437</v>
      </c>
    </row>
    <row r="43" spans="1:7" ht="13.5" customHeight="1">
      <c r="A43" s="949" t="s">
        <v>792</v>
      </c>
      <c r="B43" s="254" t="s">
        <v>2391</v>
      </c>
      <c r="C43" s="277">
        <f ca="1">ROUND(IF('数据-取费表'!B22&lt;=1,C39*F22*'数据-取费表'!B20/2,C39*(POWER((1+F22),'数据-取费表'!B20/2)-1)),0)</f>
        <v>592902</v>
      </c>
      <c r="D43" s="277"/>
      <c r="E43" s="277"/>
      <c r="F43" s="278"/>
      <c r="G43" s="3208"/>
    </row>
    <row r="44" spans="1:7" ht="13.5" customHeight="1">
      <c r="A44" s="949" t="s">
        <v>793</v>
      </c>
      <c r="B44" s="254" t="s">
        <v>2392</v>
      </c>
      <c r="C44" s="277">
        <f ca="1">ROUND(IF('数据-取费表'!B22&lt;=1,C40*F22*'数据-取费表'!B20/2,C40*(POWER((1+F22),'数据-取费表'!B20/2)-1)),4)</f>
        <v>1E-3</v>
      </c>
      <c r="D44" s="277"/>
      <c r="E44" s="277"/>
      <c r="F44" s="278"/>
      <c r="G44" s="3209"/>
    </row>
    <row r="45" spans="1:7" s="253" customFormat="1" ht="13.5" customHeight="1">
      <c r="A45" s="294" t="s">
        <v>2393</v>
      </c>
      <c r="B45" s="283" t="s">
        <v>2359</v>
      </c>
      <c r="C45" s="284">
        <f ca="1">C46</f>
        <v>95488444</v>
      </c>
      <c r="D45" s="274">
        <f ca="1">C47</f>
        <v>3.0000000000000001E-3</v>
      </c>
      <c r="E45" s="275" t="s">
        <v>2385</v>
      </c>
      <c r="F45" s="285"/>
      <c r="G45" s="286" t="s">
        <v>2394</v>
      </c>
    </row>
    <row r="46" spans="1:7" s="253" customFormat="1" ht="13.5" customHeight="1">
      <c r="A46" s="949" t="s">
        <v>791</v>
      </c>
      <c r="B46" s="287" t="s">
        <v>2395</v>
      </c>
      <c r="C46" s="288">
        <f ca="1">ROUND((C33+C39)*F27,0)</f>
        <v>95488444</v>
      </c>
      <c r="D46" s="302"/>
      <c r="E46" s="275"/>
      <c r="F46" s="285"/>
      <c r="G46" s="286"/>
    </row>
    <row r="47" spans="1:7" s="253" customFormat="1" ht="13.5" customHeight="1">
      <c r="A47" s="949" t="s">
        <v>792</v>
      </c>
      <c r="B47" s="287" t="s">
        <v>2396</v>
      </c>
      <c r="C47" s="277">
        <f ca="1">ROUND(C40*F27,4)</f>
        <v>3.0000000000000001E-3</v>
      </c>
      <c r="D47" s="302"/>
      <c r="E47" s="275"/>
      <c r="F47" s="285"/>
      <c r="G47" s="286"/>
    </row>
    <row r="48" spans="1:7" s="253" customFormat="1" ht="13.5" customHeight="1">
      <c r="A48" s="294" t="s">
        <v>2358</v>
      </c>
      <c r="B48" s="249" t="s">
        <v>2397</v>
      </c>
      <c r="C48" s="301">
        <f>ROUND(F30/(1+'数据-取费表'!C42),4)</f>
        <v>5.2400000000000002E-2</v>
      </c>
      <c r="D48" s="275" t="s">
        <v>2385</v>
      </c>
      <c r="E48" s="271"/>
      <c r="F48" s="276"/>
      <c r="G48" s="273" t="s">
        <v>2398</v>
      </c>
    </row>
    <row r="49" spans="1:7" ht="16.5" customHeight="1">
      <c r="A49" s="294" t="s">
        <v>2364</v>
      </c>
      <c r="B49" s="249" t="s">
        <v>2438</v>
      </c>
      <c r="C49" s="271">
        <f ca="1">ROUND((C33+C39+C41+C45)/(1-C40-D41-D45-C48),0)</f>
        <v>825374706</v>
      </c>
      <c r="D49" s="271"/>
      <c r="E49" s="271"/>
      <c r="F49" s="303"/>
      <c r="G49" s="273" t="s">
        <v>2400</v>
      </c>
    </row>
    <row r="50" spans="1:7" s="297" customFormat="1">
      <c r="A50" s="294" t="s">
        <v>2401</v>
      </c>
      <c r="B50" s="249" t="s">
        <v>2402</v>
      </c>
      <c r="C50" s="271"/>
      <c r="D50" s="271"/>
      <c r="E50" s="271"/>
      <c r="F50" s="303">
        <f>IF('数据-取费表'!B24=0,'数据-取费表'!N16,1)</f>
        <v>1</v>
      </c>
      <c r="G50" s="286"/>
    </row>
    <row r="51" spans="1:7" ht="16.5" customHeight="1">
      <c r="A51" s="294" t="s">
        <v>2404</v>
      </c>
      <c r="B51" s="249" t="s">
        <v>2439</v>
      </c>
      <c r="C51" s="271">
        <f ca="1">ROUND(C49*F50,0)</f>
        <v>825374706</v>
      </c>
      <c r="D51" s="271"/>
      <c r="E51" s="271"/>
      <c r="F51" s="303"/>
      <c r="G51" s="273" t="s">
        <v>2406</v>
      </c>
    </row>
    <row r="52" spans="1:7" s="247" customFormat="1" ht="16.5" thickBot="1">
      <c r="A52" s="304" t="s">
        <v>2407</v>
      </c>
      <c r="B52" s="305"/>
      <c r="C52" s="306">
        <f ca="1">C31+C51</f>
        <v>878521845</v>
      </c>
      <c r="D52" s="305"/>
      <c r="E52" s="305"/>
      <c r="F52" s="305"/>
      <c r="G52" s="307"/>
    </row>
    <row r="55" spans="1:7" ht="15">
      <c r="B55" s="309" t="s">
        <v>2408</v>
      </c>
      <c r="C55" s="310"/>
    </row>
    <row r="56" spans="1:7">
      <c r="B56" s="312" t="s">
        <v>1507</v>
      </c>
      <c r="C56" s="314">
        <f ca="1">1-C57</f>
        <v>6.0000000000000053E-2</v>
      </c>
    </row>
    <row r="57" spans="1:7">
      <c r="B57" s="312" t="s">
        <v>1508</v>
      </c>
      <c r="C57" s="313">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4" sqref="M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2722</v>
      </c>
      <c r="B1" s="390"/>
      <c r="C1" s="391" t="s">
        <v>2723</v>
      </c>
      <c r="D1" s="750"/>
      <c r="E1" s="750"/>
      <c r="F1" s="749" t="s">
        <v>2621</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2308</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2310</v>
      </c>
      <c r="B3" s="604" t="e">
        <f>ROUND(IF(D3="",B2*10000/'数据-汇总表'!E3,B2*10000/D3),0)</f>
        <v>#DIV/0!</v>
      </c>
      <c r="C3" s="242" t="s">
        <v>2724</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5" t="s">
        <v>2626</v>
      </c>
      <c r="AC4" s="3224" t="s">
        <v>2627</v>
      </c>
    </row>
    <row r="5" spans="1:30"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5"/>
      <c r="AC5" s="3225"/>
    </row>
    <row r="6" spans="1:30" ht="15.75" thickBot="1">
      <c r="A6" s="401"/>
      <c r="B6" s="402"/>
      <c r="C6" s="3242" t="s">
        <v>2524</v>
      </c>
      <c r="D6" s="3243"/>
      <c r="E6" s="3249" t="s">
        <v>2524</v>
      </c>
      <c r="F6" s="3250"/>
      <c r="G6" s="3242" t="s">
        <v>2524</v>
      </c>
      <c r="H6" s="3243"/>
      <c r="I6" s="3242" t="s">
        <v>2524</v>
      </c>
      <c r="J6" s="3243"/>
      <c r="K6" s="605" t="s">
        <v>2525</v>
      </c>
      <c r="L6" s="1128"/>
      <c r="M6" s="1129"/>
      <c r="N6" s="1129"/>
      <c r="O6" s="1129"/>
      <c r="P6" s="3234"/>
      <c r="Q6" s="3235"/>
      <c r="R6" s="3238"/>
      <c r="S6" s="3239"/>
      <c r="T6" s="3240"/>
      <c r="U6" s="3241"/>
      <c r="V6" s="3223"/>
      <c r="W6" s="3223"/>
      <c r="X6" s="1811"/>
      <c r="Y6" s="3240"/>
      <c r="Z6" s="3241"/>
      <c r="AA6" s="3226"/>
      <c r="AB6" s="3226"/>
      <c r="AC6" s="3226"/>
    </row>
    <row r="7" spans="1:30" s="115" customFormat="1" ht="15.75" thickBot="1">
      <c r="A7" s="403" t="s">
        <v>2526</v>
      </c>
      <c r="B7" s="404"/>
      <c r="C7" s="405">
        <f>'数据-取费表'!B2</f>
        <v>43318</v>
      </c>
      <c r="D7" s="406">
        <v>100</v>
      </c>
      <c r="E7" s="407">
        <v>42309</v>
      </c>
      <c r="F7" s="408">
        <f>SUMIF(70:70,YEAR(E7)&amp;"-"&amp;INT((MONTH(E7)+2)/3),71:71)</f>
        <v>0</v>
      </c>
      <c r="G7" s="2694">
        <v>42309</v>
      </c>
      <c r="H7" s="406">
        <f>SUMIF(70:70,YEAR(G7)&amp;"-"&amp;INT((MONTH(G7)+2)/3),71:71)</f>
        <v>0</v>
      </c>
      <c r="I7" s="2694">
        <v>42036</v>
      </c>
      <c r="J7" s="406">
        <f>SUMIF(70:70,YEAR(I7)&amp;"-"&amp;INT((MONTH(I7)+2)/3),71:71)</f>
        <v>0</v>
      </c>
      <c r="K7" s="606"/>
      <c r="L7" s="1130"/>
      <c r="M7" s="1131"/>
      <c r="N7" s="1131"/>
      <c r="O7" s="1131"/>
      <c r="P7" s="3246" t="s">
        <v>2527</v>
      </c>
      <c r="Q7" s="3248"/>
      <c r="R7" s="765" t="s">
        <v>17</v>
      </c>
      <c r="S7" s="766">
        <f t="shared" ref="S7:S15" si="0">F7</f>
        <v>0</v>
      </c>
      <c r="T7" s="765" t="s">
        <v>17</v>
      </c>
      <c r="U7" s="766">
        <f t="shared" ref="U7:U15" si="1">H7</f>
        <v>0</v>
      </c>
      <c r="V7" s="765" t="s">
        <v>17</v>
      </c>
      <c r="W7" s="766">
        <f t="shared" ref="W7:W15" si="2">J7</f>
        <v>0</v>
      </c>
      <c r="X7" s="767"/>
      <c r="Y7" s="3246" t="s">
        <v>2527</v>
      </c>
      <c r="Z7" s="3247"/>
      <c r="AA7" s="768" t="e">
        <f>D7/F7</f>
        <v>#DIV/0!</v>
      </c>
      <c r="AB7" s="768" t="e">
        <f>D7/H7</f>
        <v>#DIV/0!</v>
      </c>
      <c r="AC7" s="768" t="e">
        <f>D7/J7</f>
        <v>#DIV/0!</v>
      </c>
    </row>
    <row r="8" spans="1:30" s="115" customFormat="1" ht="15.75" thickBot="1">
      <c r="A8" s="403" t="s">
        <v>2528</v>
      </c>
      <c r="B8" s="404"/>
      <c r="C8" s="409" t="s">
        <v>2529</v>
      </c>
      <c r="D8" s="406">
        <v>100</v>
      </c>
      <c r="E8" s="409"/>
      <c r="F8" s="408">
        <f>SUMIF(73:73,E8,74:74)-SUMIF(73:73,C8,74:74)+100</f>
        <v>0</v>
      </c>
      <c r="G8" s="409"/>
      <c r="H8" s="406">
        <f>SUMIF(73:73,G8,74:74)-SUMIF(73:73,C8,74:74)+100</f>
        <v>0</v>
      </c>
      <c r="I8" s="409"/>
      <c r="J8" s="406">
        <f>SUMIF(73:73,I8,74:74)-SUMIF(73:73,C8,74:74)+100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45" si="3">D8/F8</f>
        <v>#DIV/0!</v>
      </c>
      <c r="AB8" s="768" t="e">
        <f t="shared" ref="AB8:AB45" si="4">D8/H8</f>
        <v>#DIV/0!</v>
      </c>
      <c r="AC8" s="768" t="e">
        <f t="shared" ref="AC8:AC45" si="5">D8/J8</f>
        <v>#DIV/0!</v>
      </c>
    </row>
    <row r="9" spans="1:30" s="115" customFormat="1">
      <c r="A9" s="410" t="s">
        <v>2531</v>
      </c>
      <c r="B9" s="71" t="s">
        <v>2532</v>
      </c>
      <c r="C9" s="2697"/>
      <c r="D9" s="132">
        <v>100</v>
      </c>
      <c r="E9" s="2697"/>
      <c r="F9" s="132">
        <f>SUMIF(75:75,E9,76:76)-SUMIF(75:75,C9,76:76)+100</f>
        <v>100</v>
      </c>
      <c r="G9" s="2697"/>
      <c r="H9" s="132">
        <f>SUMIF(75:75,G9,76:76)-SUMIF(75:75,C9,76:76)+100</f>
        <v>100</v>
      </c>
      <c r="I9" s="2697"/>
      <c r="J9" s="132">
        <f>SUMIF(75:75,I9,76:76)-SUMIF(75:75,C9,76:76)+100</f>
        <v>100</v>
      </c>
      <c r="K9" s="606"/>
      <c r="L9" s="1130"/>
      <c r="M9" s="1131"/>
      <c r="N9" s="1131"/>
      <c r="O9" s="1132"/>
      <c r="P9" s="3217"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768">
        <f t="shared" si="5"/>
        <v>1</v>
      </c>
    </row>
    <row r="10" spans="1:30" s="422" customFormat="1" ht="27">
      <c r="A10" s="416"/>
      <c r="B10" s="417" t="s">
        <v>2535</v>
      </c>
      <c r="C10" s="427"/>
      <c r="D10" s="133">
        <v>100</v>
      </c>
      <c r="E10" s="460"/>
      <c r="F10" s="133">
        <f>ROUND(100/'数据-取费表'!G16,0)</f>
        <v>105</v>
      </c>
      <c r="G10" s="458"/>
      <c r="H10" s="133">
        <f>ROUND(100/'数据-取费表'!G16,0)</f>
        <v>105</v>
      </c>
      <c r="I10" s="458"/>
      <c r="J10" s="133">
        <f>ROUND(100/'数据-取费表'!G16,0)</f>
        <v>105</v>
      </c>
      <c r="K10" s="667"/>
      <c r="L10" s="1133"/>
      <c r="M10" s="1134"/>
      <c r="N10" s="1134"/>
      <c r="O10" s="1135"/>
      <c r="P10" s="3217"/>
      <c r="Q10" s="1793" t="str">
        <f t="shared" si="6"/>
        <v>土地使用年限（年）</v>
      </c>
      <c r="R10" s="765" t="s">
        <v>17</v>
      </c>
      <c r="S10" s="766">
        <f t="shared" si="0"/>
        <v>105</v>
      </c>
      <c r="T10" s="765" t="s">
        <v>17</v>
      </c>
      <c r="U10" s="766">
        <f t="shared" si="1"/>
        <v>105</v>
      </c>
      <c r="V10" s="765" t="s">
        <v>17</v>
      </c>
      <c r="W10" s="766">
        <f t="shared" si="2"/>
        <v>105</v>
      </c>
      <c r="X10" s="767"/>
      <c r="Y10" s="3053"/>
      <c r="Z10" s="55" t="str">
        <f t="shared" si="7"/>
        <v>土地使用年限（年）</v>
      </c>
      <c r="AA10" s="768">
        <f t="shared" si="3"/>
        <v>0.95238095238095233</v>
      </c>
      <c r="AB10" s="768">
        <f t="shared" si="4"/>
        <v>0.95238095238095233</v>
      </c>
      <c r="AC10" s="768">
        <f t="shared" si="5"/>
        <v>0.95238095238095233</v>
      </c>
    </row>
    <row r="11" spans="1:30" ht="15">
      <c r="A11" s="423"/>
      <c r="B11" s="417" t="s">
        <v>2536</v>
      </c>
      <c r="C11" s="424"/>
      <c r="D11" s="133">
        <v>100</v>
      </c>
      <c r="E11" s="424"/>
      <c r="F11" s="133" t="e">
        <f>LOOKUP(E11,80:80,81:81)-LOOKUP(C11,80:80,81:81)+100</f>
        <v>#N/A</v>
      </c>
      <c r="G11" s="425"/>
      <c r="H11" s="133" t="e">
        <f>LOOKUP(G11,80:80,81:81)-LOOKUP(C11,80:80,81:81)+100</f>
        <v>#N/A</v>
      </c>
      <c r="I11" s="424"/>
      <c r="J11" s="133" t="e">
        <f>LOOKUP(I11,80:80,81:81)-LOOKUP(C11,80:80,81:81)+100</f>
        <v>#N/A</v>
      </c>
      <c r="K11" s="668"/>
      <c r="L11" s="1136"/>
      <c r="M11" s="1129"/>
      <c r="N11" s="1129"/>
      <c r="O11" s="1137"/>
      <c r="P11" s="3217"/>
      <c r="Q11" s="1793" t="str">
        <f t="shared" si="6"/>
        <v>容积率</v>
      </c>
      <c r="R11" s="765" t="s">
        <v>17</v>
      </c>
      <c r="S11" s="766" t="e">
        <f t="shared" si="0"/>
        <v>#N/A</v>
      </c>
      <c r="T11" s="765" t="s">
        <v>17</v>
      </c>
      <c r="U11" s="766" t="e">
        <f t="shared" si="1"/>
        <v>#N/A</v>
      </c>
      <c r="V11" s="765" t="s">
        <v>17</v>
      </c>
      <c r="W11" s="766" t="e">
        <f t="shared" si="2"/>
        <v>#N/A</v>
      </c>
      <c r="X11" s="767"/>
      <c r="Y11" s="3053"/>
      <c r="Z11" s="55" t="str">
        <f t="shared" si="7"/>
        <v>容积率</v>
      </c>
      <c r="AA11" s="768" t="e">
        <f t="shared" si="3"/>
        <v>#N/A</v>
      </c>
      <c r="AB11" s="768" t="e">
        <f t="shared" si="4"/>
        <v>#N/A</v>
      </c>
      <c r="AC11" s="768" t="e">
        <f t="shared" si="5"/>
        <v>#N/A</v>
      </c>
    </row>
    <row r="12" spans="1:30" s="115" customFormat="1" ht="15">
      <c r="A12" s="426"/>
      <c r="B12" s="2598" t="s">
        <v>2725</v>
      </c>
      <c r="C12" s="427"/>
      <c r="D12" s="428">
        <v>100</v>
      </c>
      <c r="E12" s="460"/>
      <c r="F12" s="133">
        <f>SUMIF(82:82,E12,83:83)-SUMIF(82:82,C12,83:83)+100</f>
        <v>100</v>
      </c>
      <c r="G12" s="458"/>
      <c r="H12" s="133">
        <f>SUMIF(82:82,G12,83:83)-SUMIF(82:82,C12,83:83)+100</f>
        <v>100</v>
      </c>
      <c r="I12" s="460"/>
      <c r="J12" s="133">
        <f>SUMIF(82:82,I12,83:83)-SUMIF(82:82,C12,83:83)+100</f>
        <v>100</v>
      </c>
      <c r="K12" s="667"/>
      <c r="L12" s="1130"/>
      <c r="M12" s="1131"/>
      <c r="N12" s="1131"/>
      <c r="O12" s="1132"/>
      <c r="P12" s="3217"/>
      <c r="Q12" s="1793" t="str">
        <f t="shared" si="6"/>
        <v>配建</v>
      </c>
      <c r="R12" s="765" t="s">
        <v>17</v>
      </c>
      <c r="S12" s="766">
        <f t="shared" si="0"/>
        <v>100</v>
      </c>
      <c r="T12" s="765" t="s">
        <v>17</v>
      </c>
      <c r="U12" s="766">
        <f t="shared" si="1"/>
        <v>100</v>
      </c>
      <c r="V12" s="765" t="s">
        <v>17</v>
      </c>
      <c r="W12" s="766">
        <f t="shared" si="2"/>
        <v>100</v>
      </c>
      <c r="X12" s="767"/>
      <c r="Y12" s="3053"/>
      <c r="Z12" s="55" t="str">
        <f t="shared" si="7"/>
        <v>配建</v>
      </c>
      <c r="AA12" s="768">
        <f>D12/F12</f>
        <v>1</v>
      </c>
      <c r="AB12" s="768">
        <f>D12/H12</f>
        <v>1</v>
      </c>
      <c r="AC12" s="768">
        <f>D12/J12</f>
        <v>1</v>
      </c>
    </row>
    <row r="13" spans="1:30" ht="15">
      <c r="A13" s="423"/>
      <c r="B13" s="2598">
        <v>111</v>
      </c>
      <c r="C13" s="429"/>
      <c r="D13" s="430">
        <v>100</v>
      </c>
      <c r="E13" s="544"/>
      <c r="F13" s="133">
        <f>SUMIF(84:84,E13,85:85)-SUMIF(84:84,C13,85:85)+100</f>
        <v>100</v>
      </c>
      <c r="G13" s="669"/>
      <c r="H13" s="430">
        <f>SUMIF(84:84,G13,85:85)-SUMIF(84:84,C13,85:85)+100</f>
        <v>100</v>
      </c>
      <c r="I13" s="669"/>
      <c r="J13" s="430">
        <f>SUMIF(84:84,I13,85:85)-SUMIF(84:84,C13,85:85)+100</f>
        <v>100</v>
      </c>
      <c r="K13" s="667"/>
      <c r="L13" s="1138"/>
      <c r="M13" s="1129"/>
      <c r="N13" s="1129"/>
      <c r="O13" s="1137"/>
      <c r="P13" s="3217"/>
      <c r="Q13" s="1793">
        <f t="shared" si="6"/>
        <v>111</v>
      </c>
      <c r="R13" s="765" t="s">
        <v>17</v>
      </c>
      <c r="S13" s="766">
        <f t="shared" si="0"/>
        <v>100</v>
      </c>
      <c r="T13" s="765" t="s">
        <v>17</v>
      </c>
      <c r="U13" s="766">
        <f t="shared" si="1"/>
        <v>100</v>
      </c>
      <c r="V13" s="765" t="s">
        <v>17</v>
      </c>
      <c r="W13" s="766">
        <f t="shared" si="2"/>
        <v>100</v>
      </c>
      <c r="X13" s="767"/>
      <c r="Y13" s="3053"/>
      <c r="Z13" s="55">
        <f t="shared" si="7"/>
        <v>111</v>
      </c>
      <c r="AA13" s="768">
        <f>D13/F13</f>
        <v>1</v>
      </c>
      <c r="AB13" s="768">
        <f>D13/H13</f>
        <v>1</v>
      </c>
      <c r="AC13" s="768">
        <f>D13/J13</f>
        <v>1</v>
      </c>
    </row>
    <row r="14" spans="1:30" ht="15.75" thickBot="1">
      <c r="A14" s="431"/>
      <c r="B14" s="2600">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217"/>
      <c r="Q14" s="1793">
        <f t="shared" si="6"/>
        <v>111</v>
      </c>
      <c r="R14" s="765" t="s">
        <v>17</v>
      </c>
      <c r="S14" s="766">
        <f t="shared" si="0"/>
        <v>100</v>
      </c>
      <c r="T14" s="765" t="s">
        <v>17</v>
      </c>
      <c r="U14" s="766">
        <f t="shared" si="1"/>
        <v>100</v>
      </c>
      <c r="V14" s="765" t="s">
        <v>17</v>
      </c>
      <c r="W14" s="766">
        <f t="shared" si="2"/>
        <v>100</v>
      </c>
      <c r="X14" s="767"/>
      <c r="Y14" s="3053"/>
      <c r="Z14" s="55">
        <f t="shared" si="7"/>
        <v>111</v>
      </c>
      <c r="AA14" s="768">
        <f>D14/F14</f>
        <v>1</v>
      </c>
      <c r="AB14" s="768">
        <f>D14/H14</f>
        <v>1</v>
      </c>
      <c r="AC14" s="768">
        <f>D14/J14</f>
        <v>1</v>
      </c>
    </row>
    <row r="15" spans="1:30" ht="15">
      <c r="A15" s="435" t="s">
        <v>2537</v>
      </c>
      <c r="B15" s="69" t="s">
        <v>2076</v>
      </c>
      <c r="C15" s="2601">
        <f>估价对象房地状况!C15</f>
        <v>0</v>
      </c>
      <c r="D15" s="436">
        <v>100</v>
      </c>
      <c r="E15" s="437"/>
      <c r="F15" s="436">
        <f>SUMIF(88:88,E16,89:89)-SUMIF(88:88,C16,89:89)+100</f>
        <v>100</v>
      </c>
      <c r="G15" s="437"/>
      <c r="H15" s="436">
        <f>SUMIF(88:88,G16,89:89)-SUMIF(88:88,C16,89:89)+100</f>
        <v>100</v>
      </c>
      <c r="I15" s="439"/>
      <c r="J15" s="436">
        <f>SUMIF(88:88,I16,89:89)-SUMIF(88:88,C16,89:89)+100</f>
        <v>100</v>
      </c>
      <c r="K15" s="668"/>
      <c r="L15" s="1138"/>
      <c r="M15" s="1129"/>
      <c r="N15" s="1129"/>
      <c r="O15" s="1137"/>
      <c r="P15" s="3219" t="s">
        <v>2538</v>
      </c>
      <c r="Q15" s="1808" t="str">
        <f t="shared" si="6"/>
        <v>居住社区成熟度</v>
      </c>
      <c r="R15" s="769" t="s">
        <v>17</v>
      </c>
      <c r="S15" s="770">
        <f t="shared" si="0"/>
        <v>100</v>
      </c>
      <c r="T15" s="769" t="s">
        <v>17</v>
      </c>
      <c r="U15" s="770">
        <f t="shared" si="1"/>
        <v>100</v>
      </c>
      <c r="V15" s="769" t="s">
        <v>17</v>
      </c>
      <c r="W15" s="770">
        <f t="shared" si="2"/>
        <v>100</v>
      </c>
      <c r="X15" s="1811"/>
      <c r="Y15" s="3219" t="s">
        <v>2538</v>
      </c>
      <c r="Z15" s="1812" t="str">
        <f t="shared" si="7"/>
        <v>居住社区成熟度</v>
      </c>
      <c r="AA15" s="1809">
        <f t="shared" si="3"/>
        <v>1</v>
      </c>
      <c r="AB15" s="1809">
        <f t="shared" si="4"/>
        <v>1</v>
      </c>
      <c r="AC15" s="1809">
        <f t="shared" si="5"/>
        <v>1</v>
      </c>
    </row>
    <row r="16" spans="1:30" ht="15">
      <c r="A16" s="423"/>
      <c r="B16" s="441"/>
      <c r="C16" s="442"/>
      <c r="D16" s="443"/>
      <c r="E16" s="2603"/>
      <c r="F16" s="443"/>
      <c r="G16" s="2603"/>
      <c r="H16" s="445"/>
      <c r="I16" s="2602"/>
      <c r="J16" s="443"/>
      <c r="K16" s="667"/>
      <c r="L16" s="1138"/>
      <c r="M16" s="1129"/>
      <c r="N16" s="1129"/>
      <c r="O16" s="1137"/>
      <c r="P16" s="3220"/>
      <c r="Q16" s="1808"/>
      <c r="R16" s="769"/>
      <c r="S16" s="770"/>
      <c r="T16" s="769"/>
      <c r="U16" s="770"/>
      <c r="V16" s="769"/>
      <c r="W16" s="770"/>
      <c r="X16" s="1811"/>
      <c r="Y16" s="3220"/>
      <c r="Z16" s="1812"/>
      <c r="AA16" s="1809">
        <v>1</v>
      </c>
      <c r="AB16" s="1809">
        <v>1</v>
      </c>
      <c r="AC16" s="1809">
        <v>1</v>
      </c>
    </row>
    <row r="17" spans="1:29" ht="15">
      <c r="A17" s="423"/>
      <c r="B17" s="446" t="s">
        <v>2631</v>
      </c>
      <c r="C17" s="2662">
        <f>估价对象房地状况!C16</f>
        <v>0</v>
      </c>
      <c r="D17" s="445">
        <v>100</v>
      </c>
      <c r="E17" s="447"/>
      <c r="F17" s="445">
        <f>SUMIF(90:90,E18,91:91)-SUMIF(90:90,C18,91:91)+100</f>
        <v>100</v>
      </c>
      <c r="G17" s="447"/>
      <c r="H17" s="450">
        <f>SUMIF(90:90,G18,91:91)-SUMIF(90:90,C18,91:91)+100</f>
        <v>100</v>
      </c>
      <c r="I17" s="449"/>
      <c r="J17" s="450">
        <f>SUMIF(90:90,I18,91:91)-SUMIF(90:90,C18,91:91)+100</f>
        <v>100</v>
      </c>
      <c r="K17" s="668"/>
      <c r="L17" s="1138"/>
      <c r="M17" s="1129"/>
      <c r="N17" s="1129"/>
      <c r="O17" s="1137"/>
      <c r="P17" s="3220"/>
      <c r="Q17" s="1808" t="str">
        <f>B17</f>
        <v>商业繁华度</v>
      </c>
      <c r="R17" s="769" t="s">
        <v>17</v>
      </c>
      <c r="S17" s="770">
        <f>F17</f>
        <v>100</v>
      </c>
      <c r="T17" s="769" t="s">
        <v>17</v>
      </c>
      <c r="U17" s="770">
        <f>H17</f>
        <v>100</v>
      </c>
      <c r="V17" s="769" t="s">
        <v>17</v>
      </c>
      <c r="W17" s="770">
        <f>J17</f>
        <v>100</v>
      </c>
      <c r="X17" s="1811"/>
      <c r="Y17" s="3220"/>
      <c r="Z17" s="1812" t="str">
        <f>Q17</f>
        <v>商业繁华度</v>
      </c>
      <c r="AA17" s="1809">
        <f t="shared" si="3"/>
        <v>1</v>
      </c>
      <c r="AB17" s="1809">
        <f t="shared" si="4"/>
        <v>1</v>
      </c>
      <c r="AC17" s="1809">
        <f t="shared" si="5"/>
        <v>1</v>
      </c>
    </row>
    <row r="18" spans="1:29" ht="15">
      <c r="A18" s="423"/>
      <c r="B18" s="451"/>
      <c r="C18" s="2606"/>
      <c r="D18" s="445"/>
      <c r="E18" s="2608"/>
      <c r="F18" s="445"/>
      <c r="G18" s="2608"/>
      <c r="H18" s="443"/>
      <c r="I18" s="2607"/>
      <c r="J18" s="443"/>
      <c r="K18" s="667"/>
      <c r="L18" s="1138"/>
      <c r="M18" s="1129"/>
      <c r="N18" s="1129"/>
      <c r="O18" s="1137"/>
      <c r="P18" s="3220"/>
      <c r="Q18" s="1808"/>
      <c r="R18" s="769"/>
      <c r="S18" s="770"/>
      <c r="T18" s="769"/>
      <c r="U18" s="770"/>
      <c r="V18" s="769"/>
      <c r="W18" s="770"/>
      <c r="X18" s="1811"/>
      <c r="Y18" s="3220"/>
      <c r="Z18" s="1812"/>
      <c r="AA18" s="1809">
        <v>1</v>
      </c>
      <c r="AB18" s="1809">
        <v>1</v>
      </c>
      <c r="AC18" s="1809">
        <v>1</v>
      </c>
    </row>
    <row r="19" spans="1:29" ht="15">
      <c r="A19" s="423"/>
      <c r="B19" s="446" t="s">
        <v>2665</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c r="L19" s="1138"/>
      <c r="M19" s="1129"/>
      <c r="N19" s="1129"/>
      <c r="O19" s="1137"/>
      <c r="P19" s="3220"/>
      <c r="Q19" s="1808" t="str">
        <f>B19</f>
        <v>办公集聚程度</v>
      </c>
      <c r="R19" s="769" t="s">
        <v>17</v>
      </c>
      <c r="S19" s="770">
        <f>F19</f>
        <v>100</v>
      </c>
      <c r="T19" s="769" t="s">
        <v>17</v>
      </c>
      <c r="U19" s="770">
        <f>H19</f>
        <v>100</v>
      </c>
      <c r="V19" s="769" t="s">
        <v>17</v>
      </c>
      <c r="W19" s="770">
        <f>J19</f>
        <v>100</v>
      </c>
      <c r="X19" s="1811"/>
      <c r="Y19" s="3220"/>
      <c r="Z19" s="1812" t="str">
        <f>Q19</f>
        <v>办公集聚程度</v>
      </c>
      <c r="AA19" s="1809">
        <f t="shared" si="3"/>
        <v>1</v>
      </c>
      <c r="AB19" s="1809">
        <f t="shared" si="4"/>
        <v>1</v>
      </c>
      <c r="AC19" s="1809">
        <f t="shared" si="5"/>
        <v>1</v>
      </c>
    </row>
    <row r="20" spans="1:29" ht="15">
      <c r="A20" s="423"/>
      <c r="B20" s="451"/>
      <c r="C20" s="442"/>
      <c r="D20" s="443"/>
      <c r="E20" s="2603"/>
      <c r="F20" s="443"/>
      <c r="G20" s="2603"/>
      <c r="H20" s="443"/>
      <c r="I20" s="2602"/>
      <c r="J20" s="443"/>
      <c r="K20" s="667"/>
      <c r="L20" s="1138"/>
      <c r="M20" s="1129"/>
      <c r="N20" s="1129"/>
      <c r="O20" s="1137"/>
      <c r="P20" s="3220"/>
      <c r="Q20" s="1808"/>
      <c r="R20" s="769"/>
      <c r="S20" s="770"/>
      <c r="T20" s="769"/>
      <c r="U20" s="770"/>
      <c r="V20" s="769"/>
      <c r="W20" s="770"/>
      <c r="X20" s="1811"/>
      <c r="Y20" s="3220"/>
      <c r="Z20" s="1812"/>
      <c r="AA20" s="1809">
        <v>1</v>
      </c>
      <c r="AB20" s="1809">
        <v>1</v>
      </c>
      <c r="AC20" s="1809">
        <v>1</v>
      </c>
    </row>
    <row r="21" spans="1:29" ht="15">
      <c r="A21" s="423"/>
      <c r="B21" s="446" t="s">
        <v>2687</v>
      </c>
      <c r="C21" s="2605">
        <f>估价对象房地状况!C18</f>
        <v>0</v>
      </c>
      <c r="D21" s="445">
        <v>100</v>
      </c>
      <c r="E21" s="447"/>
      <c r="F21" s="450">
        <f>SUMIF(94:94,E22,95:95)-SUMIF(94:94,C22,95:95)+100</f>
        <v>100</v>
      </c>
      <c r="G21" s="447"/>
      <c r="H21" s="445">
        <f>SUMIF(94:94,G22,95:95)-SUMIF(94:94,C22,95:95)+100</f>
        <v>100</v>
      </c>
      <c r="I21" s="449"/>
      <c r="J21" s="445">
        <f>SUMIF(94:94,I22,95:95)-SUMIF(94:94,C22,95:95)+100</f>
        <v>100</v>
      </c>
      <c r="K21" s="668"/>
      <c r="L21" s="1138"/>
      <c r="M21" s="1129"/>
      <c r="N21" s="1129"/>
      <c r="O21" s="1137"/>
      <c r="P21" s="3220"/>
      <c r="Q21" s="1808" t="str">
        <f>B21</f>
        <v>交通便捷度</v>
      </c>
      <c r="R21" s="769" t="s">
        <v>17</v>
      </c>
      <c r="S21" s="770">
        <f>F21</f>
        <v>100</v>
      </c>
      <c r="T21" s="769" t="s">
        <v>17</v>
      </c>
      <c r="U21" s="770">
        <f>H21</f>
        <v>100</v>
      </c>
      <c r="V21" s="769" t="s">
        <v>17</v>
      </c>
      <c r="W21" s="770">
        <f>J21</f>
        <v>100</v>
      </c>
      <c r="X21" s="1811"/>
      <c r="Y21" s="3220"/>
      <c r="Z21" s="1812" t="str">
        <f>Q21</f>
        <v>交通便捷度</v>
      </c>
      <c r="AA21" s="1809">
        <f t="shared" si="3"/>
        <v>1</v>
      </c>
      <c r="AB21" s="1809">
        <f t="shared" si="4"/>
        <v>1</v>
      </c>
      <c r="AC21" s="1809">
        <f t="shared" si="5"/>
        <v>1</v>
      </c>
    </row>
    <row r="22" spans="1:29" ht="15">
      <c r="A22" s="423"/>
      <c r="B22" s="1382"/>
      <c r="C22" s="442"/>
      <c r="D22" s="445"/>
      <c r="E22" s="2603"/>
      <c r="F22" s="443"/>
      <c r="G22" s="2603"/>
      <c r="H22" s="443"/>
      <c r="I22" s="2602"/>
      <c r="J22" s="443"/>
      <c r="K22" s="667"/>
      <c r="L22" s="1138"/>
      <c r="M22" s="1129"/>
      <c r="N22" s="1129"/>
      <c r="O22" s="1137"/>
      <c r="P22" s="3220"/>
      <c r="Q22" s="1808"/>
      <c r="R22" s="769"/>
      <c r="S22" s="770"/>
      <c r="T22" s="769"/>
      <c r="U22" s="770"/>
      <c r="V22" s="769"/>
      <c r="W22" s="770"/>
      <c r="X22" s="1811"/>
      <c r="Y22" s="3220"/>
      <c r="Z22" s="1812"/>
      <c r="AA22" s="1809">
        <v>1</v>
      </c>
      <c r="AB22" s="1809">
        <v>1</v>
      </c>
      <c r="AC22" s="1809">
        <v>1</v>
      </c>
    </row>
    <row r="23" spans="1:29" ht="15">
      <c r="A23" s="399"/>
      <c r="B23" s="446" t="s">
        <v>2726</v>
      </c>
      <c r="C23" s="1387">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38"/>
      <c r="M23" s="1129"/>
      <c r="N23" s="1129"/>
      <c r="O23" s="1137"/>
      <c r="P23" s="3220"/>
      <c r="Q23" s="1808" t="str">
        <f t="shared" ref="Q23:Q37" si="8">B23</f>
        <v>区域土地利用方向</v>
      </c>
      <c r="R23" s="769" t="s">
        <v>17</v>
      </c>
      <c r="S23" s="770">
        <f>F23</f>
        <v>100</v>
      </c>
      <c r="T23" s="769" t="s">
        <v>17</v>
      </c>
      <c r="U23" s="770">
        <f>H23</f>
        <v>100</v>
      </c>
      <c r="V23" s="769" t="s">
        <v>17</v>
      </c>
      <c r="W23" s="770">
        <f>J23</f>
        <v>100</v>
      </c>
      <c r="X23" s="1811"/>
      <c r="Y23" s="3220"/>
      <c r="Z23" s="1812" t="str">
        <f>Q23</f>
        <v>区域土地利用方向</v>
      </c>
      <c r="AA23" s="1809">
        <f t="shared" si="3"/>
        <v>1</v>
      </c>
      <c r="AB23" s="1809">
        <f t="shared" si="4"/>
        <v>1</v>
      </c>
      <c r="AC23" s="1809">
        <f t="shared" si="5"/>
        <v>1</v>
      </c>
    </row>
    <row r="24" spans="1:29" ht="15">
      <c r="A24" s="399"/>
      <c r="B24" s="451"/>
      <c r="C24" s="611"/>
      <c r="D24" s="443"/>
      <c r="E24" s="2603"/>
      <c r="F24" s="443"/>
      <c r="G24" s="2602"/>
      <c r="H24" s="443"/>
      <c r="I24" s="2602"/>
      <c r="J24" s="443"/>
      <c r="K24" s="807"/>
      <c r="L24" s="1138"/>
      <c r="M24" s="1129"/>
      <c r="N24" s="1129"/>
      <c r="O24" s="1137"/>
      <c r="P24" s="3220"/>
      <c r="Q24" s="1808"/>
      <c r="R24" s="769"/>
      <c r="S24" s="770"/>
      <c r="T24" s="769"/>
      <c r="U24" s="770"/>
      <c r="V24" s="769"/>
      <c r="W24" s="770"/>
      <c r="X24" s="1811"/>
      <c r="Y24" s="3220"/>
      <c r="Z24" s="1812"/>
      <c r="AA24" s="1809"/>
      <c r="AB24" s="1809"/>
      <c r="AC24" s="1809"/>
    </row>
    <row r="25" spans="1:29" ht="27">
      <c r="A25" s="399"/>
      <c r="B25" s="1382" t="s">
        <v>2727</v>
      </c>
      <c r="C25" s="2662">
        <f>估价对象房地状况!C20</f>
        <v>0</v>
      </c>
      <c r="D25" s="445">
        <v>100</v>
      </c>
      <c r="E25" s="447"/>
      <c r="F25" s="445">
        <f>SUMIF(98:98,E26,99:99)-SUMIF(98:98,C26,99:99)+100</f>
        <v>100</v>
      </c>
      <c r="G25" s="447"/>
      <c r="H25" s="445">
        <f>SUMIF(98:98,G26,99:99)-SUMIF(98:98,C26,99:99)+100</f>
        <v>100</v>
      </c>
      <c r="I25" s="449"/>
      <c r="J25" s="445">
        <f>SUMIF(98:98,I26,99:99)-SUMIF(98:98,C26,99:99)+100</f>
        <v>100</v>
      </c>
      <c r="K25" s="668"/>
      <c r="L25" s="1138"/>
      <c r="M25" s="1129"/>
      <c r="N25" s="1129"/>
      <c r="O25" s="1137"/>
      <c r="P25" s="3220"/>
      <c r="Q25" s="1808" t="str">
        <f t="shared" si="8"/>
        <v>自然及人文环境状况</v>
      </c>
      <c r="R25" s="769" t="s">
        <v>17</v>
      </c>
      <c r="S25" s="770">
        <f>F25</f>
        <v>100</v>
      </c>
      <c r="T25" s="769" t="s">
        <v>17</v>
      </c>
      <c r="U25" s="770">
        <f>H25</f>
        <v>100</v>
      </c>
      <c r="V25" s="769" t="s">
        <v>17</v>
      </c>
      <c r="W25" s="770">
        <f>J25</f>
        <v>100</v>
      </c>
      <c r="X25" s="1811"/>
      <c r="Y25" s="3220"/>
      <c r="Z25" s="1812" t="str">
        <f>Q25</f>
        <v>自然及人文环境状况</v>
      </c>
      <c r="AA25" s="1809">
        <f t="shared" si="3"/>
        <v>1</v>
      </c>
      <c r="AB25" s="1809">
        <f t="shared" si="4"/>
        <v>1</v>
      </c>
      <c r="AC25" s="1809">
        <f t="shared" si="5"/>
        <v>1</v>
      </c>
    </row>
    <row r="26" spans="1:29" ht="15">
      <c r="A26" s="399"/>
      <c r="B26" s="451"/>
      <c r="C26" s="442"/>
      <c r="D26" s="443"/>
      <c r="E26" s="2609"/>
      <c r="F26" s="443"/>
      <c r="G26" s="2609"/>
      <c r="H26" s="443"/>
      <c r="I26" s="442"/>
      <c r="J26" s="443"/>
      <c r="K26" s="667"/>
      <c r="L26" s="1138"/>
      <c r="M26" s="1129"/>
      <c r="N26" s="1129"/>
      <c r="O26" s="1137"/>
      <c r="P26" s="3220"/>
      <c r="Q26" s="1808"/>
      <c r="R26" s="769"/>
      <c r="S26" s="770"/>
      <c r="T26" s="769"/>
      <c r="U26" s="770"/>
      <c r="V26" s="769"/>
      <c r="W26" s="770"/>
      <c r="X26" s="1811"/>
      <c r="Y26" s="3220"/>
      <c r="Z26" s="1812"/>
      <c r="AA26" s="1809">
        <v>1</v>
      </c>
      <c r="AB26" s="1809">
        <v>1</v>
      </c>
      <c r="AC26" s="1809">
        <v>1</v>
      </c>
    </row>
    <row r="27" spans="1:29" s="115" customFormat="1" ht="15">
      <c r="A27" s="644"/>
      <c r="B27" s="1382" t="s">
        <v>2632</v>
      </c>
      <c r="C27" s="2605">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100</v>
      </c>
      <c r="K27" s="668"/>
      <c r="L27" s="1130"/>
      <c r="M27" s="1131"/>
      <c r="N27" s="1131"/>
      <c r="O27" s="1132"/>
      <c r="P27" s="3220"/>
      <c r="Q27" s="1793" t="str">
        <f t="shared" si="8"/>
        <v>公共配套设施</v>
      </c>
      <c r="R27" s="765" t="s">
        <v>17</v>
      </c>
      <c r="S27" s="766">
        <f>F27</f>
        <v>100</v>
      </c>
      <c r="T27" s="765" t="s">
        <v>17</v>
      </c>
      <c r="U27" s="766">
        <f>H27</f>
        <v>100</v>
      </c>
      <c r="V27" s="765" t="s">
        <v>17</v>
      </c>
      <c r="W27" s="766">
        <f>J27</f>
        <v>100</v>
      </c>
      <c r="X27" s="767"/>
      <c r="Y27" s="3220"/>
      <c r="Z27" s="55" t="str">
        <f>Q27</f>
        <v>公共配套设施</v>
      </c>
      <c r="AA27" s="1809">
        <f>D27/F27</f>
        <v>1</v>
      </c>
      <c r="AB27" s="1809">
        <f>D27/H27</f>
        <v>1</v>
      </c>
      <c r="AC27" s="1809">
        <f>D27/J27</f>
        <v>1</v>
      </c>
    </row>
    <row r="28" spans="1:29" s="115" customFormat="1" ht="15">
      <c r="A28" s="644"/>
      <c r="B28" s="451"/>
      <c r="C28" s="2698"/>
      <c r="D28" s="443"/>
      <c r="E28" s="2609"/>
      <c r="F28" s="443"/>
      <c r="G28" s="2609"/>
      <c r="H28" s="443"/>
      <c r="I28" s="442"/>
      <c r="J28" s="443"/>
      <c r="K28" s="667"/>
      <c r="L28" s="1130"/>
      <c r="M28" s="1131"/>
      <c r="N28" s="1131"/>
      <c r="O28" s="1132"/>
      <c r="P28" s="3220"/>
      <c r="Q28" s="1793"/>
      <c r="R28" s="765"/>
      <c r="S28" s="766"/>
      <c r="T28" s="765"/>
      <c r="U28" s="766"/>
      <c r="V28" s="765"/>
      <c r="W28" s="766"/>
      <c r="X28" s="767"/>
      <c r="Y28" s="3220"/>
      <c r="Z28" s="55"/>
      <c r="AA28" s="1809">
        <v>1</v>
      </c>
      <c r="AB28" s="1809">
        <v>1</v>
      </c>
      <c r="AC28" s="1809">
        <v>1</v>
      </c>
    </row>
    <row r="29" spans="1:29" s="115" customFormat="1" ht="15">
      <c r="A29" s="644"/>
      <c r="B29" s="1382" t="s">
        <v>2633</v>
      </c>
      <c r="C29" s="2605">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100</v>
      </c>
      <c r="K29" s="668"/>
      <c r="L29" s="1130"/>
      <c r="M29" s="1131"/>
      <c r="N29" s="1131"/>
      <c r="O29" s="1132"/>
      <c r="P29" s="3220"/>
      <c r="Q29" s="1793" t="str">
        <f t="shared" ref="Q29" si="9">B29</f>
        <v>基础设施水平</v>
      </c>
      <c r="R29" s="765" t="s">
        <v>17</v>
      </c>
      <c r="S29" s="766">
        <f>F29</f>
        <v>100</v>
      </c>
      <c r="T29" s="765" t="s">
        <v>17</v>
      </c>
      <c r="U29" s="766">
        <f>H29</f>
        <v>100</v>
      </c>
      <c r="V29" s="765" t="s">
        <v>17</v>
      </c>
      <c r="W29" s="766">
        <f>J29</f>
        <v>100</v>
      </c>
      <c r="X29" s="767"/>
      <c r="Y29" s="3220"/>
      <c r="Z29" s="55" t="str">
        <f>Q29</f>
        <v>基础设施水平</v>
      </c>
      <c r="AA29" s="1809">
        <f>D29/F29</f>
        <v>1</v>
      </c>
      <c r="AB29" s="1809">
        <f>D29/H29</f>
        <v>1</v>
      </c>
      <c r="AC29" s="1809">
        <f>D29/J29</f>
        <v>1</v>
      </c>
    </row>
    <row r="30" spans="1:29" s="115" customFormat="1" ht="15">
      <c r="A30" s="644"/>
      <c r="B30" s="451"/>
      <c r="C30" s="2698"/>
      <c r="D30" s="443"/>
      <c r="E30" s="2699"/>
      <c r="F30" s="443"/>
      <c r="G30" s="2699"/>
      <c r="H30" s="443"/>
      <c r="I30" s="2699"/>
      <c r="J30" s="443"/>
      <c r="K30" s="667"/>
      <c r="L30" s="1130"/>
      <c r="M30" s="1131"/>
      <c r="N30" s="1131"/>
      <c r="O30" s="1132"/>
      <c r="P30" s="3220"/>
      <c r="Q30" s="1793"/>
      <c r="R30" s="765"/>
      <c r="S30" s="766"/>
      <c r="T30" s="765"/>
      <c r="U30" s="766"/>
      <c r="V30" s="765"/>
      <c r="W30" s="766"/>
      <c r="X30" s="767"/>
      <c r="Y30" s="3220"/>
      <c r="Z30" s="55"/>
      <c r="AA30" s="1809">
        <v>1</v>
      </c>
      <c r="AB30" s="1809">
        <v>1</v>
      </c>
      <c r="AC30" s="1809">
        <v>1</v>
      </c>
    </row>
    <row r="31" spans="1:29" ht="15">
      <c r="A31" s="423"/>
      <c r="B31" s="451" t="s">
        <v>2634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8"/>
      <c r="M31" s="1129"/>
      <c r="N31" s="1129"/>
      <c r="O31" s="1137"/>
      <c r="P31" s="3220"/>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20"/>
      <c r="Z31" s="1812" t="str">
        <f t="shared" ref="Z31:Z45" si="13">Q31</f>
        <v>临街状况</v>
      </c>
      <c r="AA31" s="1809">
        <f t="shared" si="3"/>
        <v>1</v>
      </c>
      <c r="AB31" s="1809">
        <f t="shared" si="4"/>
        <v>1</v>
      </c>
      <c r="AC31" s="1809">
        <f t="shared" si="5"/>
        <v>1</v>
      </c>
    </row>
    <row r="32" spans="1:29" ht="27">
      <c r="A32" s="423"/>
      <c r="B32" s="1382" t="s">
        <v>2669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8"/>
      <c r="M32" s="1129"/>
      <c r="N32" s="1129"/>
      <c r="O32" s="1137"/>
      <c r="P32" s="3220"/>
      <c r="Q32" s="1808" t="str">
        <f t="shared" si="8"/>
        <v>毗邻道路的类型与等级</v>
      </c>
      <c r="R32" s="769" t="s">
        <v>17</v>
      </c>
      <c r="S32" s="770">
        <f t="shared" si="10"/>
        <v>100</v>
      </c>
      <c r="T32" s="769" t="s">
        <v>17</v>
      </c>
      <c r="U32" s="770">
        <f t="shared" si="11"/>
        <v>100</v>
      </c>
      <c r="V32" s="769" t="s">
        <v>17</v>
      </c>
      <c r="W32" s="770">
        <f t="shared" si="12"/>
        <v>100</v>
      </c>
      <c r="X32" s="1811"/>
      <c r="Y32" s="3220"/>
      <c r="Z32" s="1812" t="str">
        <f t="shared" si="13"/>
        <v>毗邻道路的类型与等级</v>
      </c>
      <c r="AA32" s="1809">
        <f t="shared" si="3"/>
        <v>1</v>
      </c>
      <c r="AB32" s="1809">
        <f t="shared" si="4"/>
        <v>1</v>
      </c>
      <c r="AC32" s="1809">
        <f t="shared" si="5"/>
        <v>1</v>
      </c>
    </row>
    <row r="33" spans="1:29" ht="15">
      <c r="A33" s="423"/>
      <c r="B33" s="451"/>
      <c r="C33" s="442"/>
      <c r="D33" s="443"/>
      <c r="E33" s="2609"/>
      <c r="F33" s="443"/>
      <c r="G33" s="2609"/>
      <c r="H33" s="443"/>
      <c r="I33" s="442"/>
      <c r="J33" s="443"/>
      <c r="K33" s="608"/>
      <c r="L33" s="1138"/>
      <c r="M33" s="1129"/>
      <c r="N33" s="1129"/>
      <c r="O33" s="1137"/>
      <c r="P33" s="3220"/>
      <c r="Q33" s="1808"/>
      <c r="R33" s="769"/>
      <c r="S33" s="770"/>
      <c r="T33" s="769"/>
      <c r="U33" s="770"/>
      <c r="V33" s="769"/>
      <c r="W33" s="770"/>
      <c r="X33" s="1811"/>
      <c r="Y33" s="3220"/>
      <c r="Z33" s="1812"/>
      <c r="AA33" s="1809">
        <v>1</v>
      </c>
      <c r="AB33" s="1809">
        <v>1</v>
      </c>
      <c r="AC33" s="1809">
        <v>1</v>
      </c>
    </row>
    <row r="34" spans="1:29" ht="15">
      <c r="A34" s="423"/>
      <c r="B34" s="417" t="s">
        <v>2728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220"/>
      <c r="Q34" s="1808" t="str">
        <f t="shared" si="8"/>
        <v>土地级别</v>
      </c>
      <c r="R34" s="769" t="s">
        <v>17</v>
      </c>
      <c r="S34" s="770">
        <f t="shared" si="10"/>
        <v>100</v>
      </c>
      <c r="T34" s="769" t="s">
        <v>17</v>
      </c>
      <c r="U34" s="770">
        <f t="shared" si="11"/>
        <v>100</v>
      </c>
      <c r="V34" s="769" t="s">
        <v>17</v>
      </c>
      <c r="W34" s="770">
        <f t="shared" si="12"/>
        <v>100</v>
      </c>
      <c r="X34" s="1811"/>
      <c r="Y34" s="3220"/>
      <c r="Z34" s="1812" t="str">
        <f t="shared" si="13"/>
        <v>土地级别</v>
      </c>
      <c r="AA34" s="1809">
        <f t="shared" si="3"/>
        <v>1</v>
      </c>
      <c r="AB34" s="1809">
        <f t="shared" si="4"/>
        <v>1</v>
      </c>
      <c r="AC34" s="1809">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220"/>
      <c r="Q35" s="1808">
        <f t="shared" si="8"/>
        <v>111</v>
      </c>
      <c r="R35" s="769" t="s">
        <v>17</v>
      </c>
      <c r="S35" s="770">
        <f t="shared" si="10"/>
        <v>100</v>
      </c>
      <c r="T35" s="769" t="s">
        <v>17</v>
      </c>
      <c r="U35" s="770">
        <f t="shared" si="11"/>
        <v>100</v>
      </c>
      <c r="V35" s="769" t="s">
        <v>17</v>
      </c>
      <c r="W35" s="770">
        <f t="shared" si="12"/>
        <v>100</v>
      </c>
      <c r="X35" s="1811"/>
      <c r="Y35" s="3220"/>
      <c r="Z35" s="1812">
        <f t="shared" si="13"/>
        <v>111</v>
      </c>
      <c r="AA35" s="1809">
        <f t="shared" si="3"/>
        <v>1</v>
      </c>
      <c r="AB35" s="1809">
        <f t="shared" si="4"/>
        <v>1</v>
      </c>
      <c r="AC35" s="1809">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21" t="s">
        <v>2543</v>
      </c>
      <c r="Q36" s="1808">
        <f t="shared" si="8"/>
        <v>111</v>
      </c>
      <c r="R36" s="769" t="s">
        <v>17</v>
      </c>
      <c r="S36" s="770">
        <f t="shared" si="10"/>
        <v>100</v>
      </c>
      <c r="T36" s="769" t="s">
        <v>17</v>
      </c>
      <c r="U36" s="770">
        <f t="shared" si="11"/>
        <v>100</v>
      </c>
      <c r="V36" s="769" t="s">
        <v>17</v>
      </c>
      <c r="W36" s="770">
        <f t="shared" si="12"/>
        <v>100</v>
      </c>
      <c r="X36" s="1811"/>
      <c r="Y36" s="3222" t="s">
        <v>2543</v>
      </c>
      <c r="Z36" s="1812">
        <f t="shared" si="13"/>
        <v>111</v>
      </c>
      <c r="AA36" s="1809">
        <f t="shared" si="3"/>
        <v>1</v>
      </c>
      <c r="AB36" s="1809">
        <f t="shared" si="4"/>
        <v>1</v>
      </c>
      <c r="AC36" s="1809">
        <f t="shared" si="5"/>
        <v>1</v>
      </c>
    </row>
    <row r="37" spans="1:29" s="466" customFormat="1" ht="15.75" thickBot="1">
      <c r="A37" s="671"/>
      <c r="B37" s="1386">
        <v>111</v>
      </c>
      <c r="C37" s="673"/>
      <c r="D37" s="134">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222"/>
      <c r="Q37" s="1808">
        <f t="shared" si="8"/>
        <v>111</v>
      </c>
      <c r="R37" s="772" t="s">
        <v>17</v>
      </c>
      <c r="S37" s="773">
        <f t="shared" si="10"/>
        <v>100</v>
      </c>
      <c r="T37" s="772" t="s">
        <v>17</v>
      </c>
      <c r="U37" s="773">
        <f t="shared" si="11"/>
        <v>100</v>
      </c>
      <c r="V37" s="772" t="s">
        <v>17</v>
      </c>
      <c r="W37" s="773">
        <f t="shared" si="12"/>
        <v>100</v>
      </c>
      <c r="X37" s="774"/>
      <c r="Y37" s="3222"/>
      <c r="Z37" s="775">
        <f t="shared" si="13"/>
        <v>111</v>
      </c>
      <c r="AA37" s="1809">
        <f t="shared" si="3"/>
        <v>1</v>
      </c>
      <c r="AB37" s="1809">
        <f t="shared" si="4"/>
        <v>1</v>
      </c>
      <c r="AC37" s="1809">
        <f t="shared" si="5"/>
        <v>1</v>
      </c>
    </row>
    <row r="38" spans="1:29" ht="15">
      <c r="A38" s="467" t="s">
        <v>2541</v>
      </c>
      <c r="B38" s="451" t="s">
        <v>2729</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38"/>
      <c r="M38" s="1129"/>
      <c r="N38" s="1129"/>
      <c r="O38" s="1137"/>
      <c r="P38" s="3222"/>
      <c r="Q38" s="1808" t="str">
        <f>B38</f>
        <v>宗地面积</v>
      </c>
      <c r="R38" s="769" t="s">
        <v>17</v>
      </c>
      <c r="S38" s="770" t="e">
        <f t="shared" si="10"/>
        <v>#N/A</v>
      </c>
      <c r="T38" s="769" t="s">
        <v>17</v>
      </c>
      <c r="U38" s="770" t="e">
        <f t="shared" si="11"/>
        <v>#N/A</v>
      </c>
      <c r="V38" s="769" t="s">
        <v>17</v>
      </c>
      <c r="W38" s="770" t="e">
        <f t="shared" si="12"/>
        <v>#N/A</v>
      </c>
      <c r="X38" s="1811"/>
      <c r="Y38" s="3222"/>
      <c r="Z38" s="1812" t="str">
        <f t="shared" si="13"/>
        <v>宗地面积</v>
      </c>
      <c r="AA38" s="1809" t="e">
        <f t="shared" si="3"/>
        <v>#N/A</v>
      </c>
      <c r="AB38" s="1809" t="e">
        <f t="shared" si="4"/>
        <v>#N/A</v>
      </c>
      <c r="AC38" s="1809" t="e">
        <f t="shared" si="5"/>
        <v>#N/A</v>
      </c>
    </row>
    <row r="39" spans="1:29" ht="15">
      <c r="A39" s="467"/>
      <c r="B39" s="417" t="s">
        <v>2730</v>
      </c>
      <c r="C39" s="2611"/>
      <c r="D39" s="430">
        <v>100</v>
      </c>
      <c r="E39" s="2611"/>
      <c r="F39" s="430">
        <f>SUMIF(119:119,E39,120:120)-SUMIF(119:119,C39,120:120)+100</f>
        <v>100</v>
      </c>
      <c r="G39" s="2611"/>
      <c r="H39" s="430">
        <f>SUMIF(119:119,G39,120:120)-SUMIF(119:119,C39,120:120)+100</f>
        <v>100</v>
      </c>
      <c r="I39" s="2611"/>
      <c r="J39" s="430">
        <f>SUMIF(119:119,I39,120:120)-SUMIF(119:119,C39,120:120)+100</f>
        <v>100</v>
      </c>
      <c r="K39" s="607"/>
      <c r="L39" s="1138"/>
      <c r="M39" s="1129"/>
      <c r="N39" s="1129"/>
      <c r="O39" s="1137"/>
      <c r="P39" s="3222"/>
      <c r="Q39" s="1808" t="str">
        <f t="shared" ref="Q39:Q45" si="14">B39</f>
        <v>宗地形状</v>
      </c>
      <c r="R39" s="769" t="s">
        <v>17</v>
      </c>
      <c r="S39" s="770">
        <f t="shared" si="10"/>
        <v>100</v>
      </c>
      <c r="T39" s="769" t="s">
        <v>17</v>
      </c>
      <c r="U39" s="770">
        <f t="shared" si="11"/>
        <v>100</v>
      </c>
      <c r="V39" s="769" t="s">
        <v>17</v>
      </c>
      <c r="W39" s="770">
        <f t="shared" si="12"/>
        <v>100</v>
      </c>
      <c r="X39" s="1811"/>
      <c r="Y39" s="3222"/>
      <c r="Z39" s="1812" t="str">
        <f t="shared" si="13"/>
        <v>宗地形状</v>
      </c>
      <c r="AA39" s="1809">
        <f t="shared" si="3"/>
        <v>1</v>
      </c>
      <c r="AB39" s="1809">
        <f t="shared" si="4"/>
        <v>1</v>
      </c>
      <c r="AC39" s="1809">
        <f t="shared" si="5"/>
        <v>1</v>
      </c>
    </row>
    <row r="40" spans="1:29" ht="15">
      <c r="A40" s="467"/>
      <c r="B40" s="417" t="s">
        <v>2731</v>
      </c>
      <c r="C40" s="2611"/>
      <c r="D40" s="430">
        <v>100</v>
      </c>
      <c r="E40" s="2611"/>
      <c r="F40" s="430">
        <f>SUMIF(121:121,E40,122:122)-SUMIF(121:121,C40,122:122)+100</f>
        <v>100</v>
      </c>
      <c r="G40" s="2611"/>
      <c r="H40" s="430">
        <f>SUMIF(121:121,G40,122:122)-SUMIF(121:121,C40,122:122)+100</f>
        <v>100</v>
      </c>
      <c r="I40" s="2611"/>
      <c r="J40" s="430">
        <f>SUMIF(121:121,I40,122:122)-SUMIF(121:121,C40,122:122)+100</f>
        <v>100</v>
      </c>
      <c r="K40" s="607"/>
      <c r="L40" s="1138"/>
      <c r="M40" s="1129"/>
      <c r="N40" s="1129"/>
      <c r="O40" s="1137"/>
      <c r="P40" s="3222"/>
      <c r="Q40" s="1808" t="str">
        <f t="shared" si="14"/>
        <v>临街宽度及深度</v>
      </c>
      <c r="R40" s="769" t="s">
        <v>17</v>
      </c>
      <c r="S40" s="770">
        <f t="shared" si="10"/>
        <v>100</v>
      </c>
      <c r="T40" s="769" t="s">
        <v>17</v>
      </c>
      <c r="U40" s="770">
        <f t="shared" si="11"/>
        <v>100</v>
      </c>
      <c r="V40" s="769" t="s">
        <v>17</v>
      </c>
      <c r="W40" s="770">
        <f t="shared" si="12"/>
        <v>100</v>
      </c>
      <c r="X40" s="1811"/>
      <c r="Y40" s="3222"/>
      <c r="Z40" s="1812" t="str">
        <f t="shared" si="13"/>
        <v>临街宽度及深度</v>
      </c>
      <c r="AA40" s="1809">
        <f t="shared" si="3"/>
        <v>1</v>
      </c>
      <c r="AB40" s="1809">
        <f t="shared" si="4"/>
        <v>1</v>
      </c>
      <c r="AC40" s="1809">
        <f t="shared" si="5"/>
        <v>1</v>
      </c>
    </row>
    <row r="41" spans="1:29" s="115" customFormat="1" ht="15">
      <c r="A41" s="468"/>
      <c r="B41" s="417" t="s">
        <v>2732</v>
      </c>
      <c r="C41" s="2700"/>
      <c r="D41" s="133">
        <v>100</v>
      </c>
      <c r="E41" s="2700"/>
      <c r="F41" s="430">
        <f>SUMIF(123:123,E41,124:124)-SUMIF(123:123,C41,124:124)+100</f>
        <v>100</v>
      </c>
      <c r="G41" s="2700"/>
      <c r="H41" s="430">
        <f>SUMIF(123:123,G41,124:124)-SUMIF(123:123,C41,124:124)+100</f>
        <v>100</v>
      </c>
      <c r="I41" s="2700"/>
      <c r="J41" s="430">
        <f>SUMIF(123:123,I41,124:124)-SUMIF(123:123,C41,124:124)+100</f>
        <v>100</v>
      </c>
      <c r="K41" s="607"/>
      <c r="L41" s="1130"/>
      <c r="M41" s="1131"/>
      <c r="N41" s="1131"/>
      <c r="O41" s="1132"/>
      <c r="P41" s="3222"/>
      <c r="Q41" s="1808" t="str">
        <f t="shared" si="14"/>
        <v>宗地开发程度</v>
      </c>
      <c r="R41" s="765" t="s">
        <v>17</v>
      </c>
      <c r="S41" s="766">
        <f t="shared" si="10"/>
        <v>100</v>
      </c>
      <c r="T41" s="765" t="s">
        <v>17</v>
      </c>
      <c r="U41" s="766">
        <f t="shared" si="11"/>
        <v>100</v>
      </c>
      <c r="V41" s="765" t="s">
        <v>17</v>
      </c>
      <c r="W41" s="766">
        <f t="shared" si="12"/>
        <v>100</v>
      </c>
      <c r="X41" s="767"/>
      <c r="Y41" s="3222"/>
      <c r="Z41" s="55" t="str">
        <f t="shared" si="13"/>
        <v>宗地开发程度</v>
      </c>
      <c r="AA41" s="768">
        <f t="shared" si="3"/>
        <v>1</v>
      </c>
      <c r="AB41" s="768">
        <f t="shared" si="4"/>
        <v>1</v>
      </c>
      <c r="AC41" s="768">
        <f t="shared" si="5"/>
        <v>1</v>
      </c>
    </row>
    <row r="42" spans="1:29" ht="15">
      <c r="A42" s="467"/>
      <c r="B42" s="417" t="s">
        <v>2733</v>
      </c>
      <c r="C42" s="2611"/>
      <c r="D42" s="430">
        <v>100</v>
      </c>
      <c r="E42" s="2611"/>
      <c r="F42" s="430">
        <f>SUMIF(125:125,E42,126:126)-SUMIF(125:125,C42,126:126)+100</f>
        <v>100</v>
      </c>
      <c r="G42" s="2611"/>
      <c r="H42" s="430">
        <f>SUMIF(125:125,G42,126:126)-SUMIF(125:125,C42,126:126)+100</f>
        <v>100</v>
      </c>
      <c r="I42" s="2611"/>
      <c r="J42" s="430">
        <f>SUMIF(125:125,I42,126:126)-SUMIF(125:125,C42,126:126)+100</f>
        <v>100</v>
      </c>
      <c r="K42" s="607"/>
      <c r="L42" s="1138"/>
      <c r="M42" s="1129"/>
      <c r="N42" s="1129"/>
      <c r="O42" s="1137"/>
      <c r="P42" s="3222" t="s">
        <v>2543</v>
      </c>
      <c r="Q42" s="1808" t="str">
        <f t="shared" si="14"/>
        <v>工程地质条件</v>
      </c>
      <c r="R42" s="769" t="s">
        <v>17</v>
      </c>
      <c r="S42" s="770">
        <f t="shared" si="10"/>
        <v>100</v>
      </c>
      <c r="T42" s="769" t="s">
        <v>17</v>
      </c>
      <c r="U42" s="770">
        <f t="shared" si="11"/>
        <v>100</v>
      </c>
      <c r="V42" s="769" t="s">
        <v>17</v>
      </c>
      <c r="W42" s="770">
        <f t="shared" si="12"/>
        <v>100</v>
      </c>
      <c r="X42" s="1811"/>
      <c r="Y42" s="3222" t="s">
        <v>2543</v>
      </c>
      <c r="Z42" s="1812" t="str">
        <f t="shared" si="13"/>
        <v>工程地质条件</v>
      </c>
      <c r="AA42" s="1809">
        <f t="shared" si="3"/>
        <v>1</v>
      </c>
      <c r="AB42" s="1809">
        <f t="shared" si="4"/>
        <v>1</v>
      </c>
      <c r="AC42" s="1809">
        <f t="shared" si="5"/>
        <v>1</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222"/>
      <c r="Q43" s="1808">
        <f t="shared" si="14"/>
        <v>111</v>
      </c>
      <c r="R43" s="769" t="s">
        <v>17</v>
      </c>
      <c r="S43" s="770">
        <f t="shared" si="10"/>
        <v>100</v>
      </c>
      <c r="T43" s="769" t="s">
        <v>17</v>
      </c>
      <c r="U43" s="770">
        <f t="shared" si="11"/>
        <v>100</v>
      </c>
      <c r="V43" s="769" t="s">
        <v>17</v>
      </c>
      <c r="W43" s="770">
        <f t="shared" si="12"/>
        <v>100</v>
      </c>
      <c r="X43" s="1811"/>
      <c r="Y43" s="3222"/>
      <c r="Z43" s="1812">
        <f t="shared" si="13"/>
        <v>111</v>
      </c>
      <c r="AA43" s="1809">
        <f t="shared" si="3"/>
        <v>1</v>
      </c>
      <c r="AB43" s="1809">
        <f t="shared" si="4"/>
        <v>1</v>
      </c>
      <c r="AC43" s="1809">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222"/>
      <c r="Q44" s="1808">
        <f t="shared" si="14"/>
        <v>111</v>
      </c>
      <c r="R44" s="769" t="s">
        <v>17</v>
      </c>
      <c r="S44" s="770">
        <f t="shared" si="10"/>
        <v>100</v>
      </c>
      <c r="T44" s="769" t="s">
        <v>17</v>
      </c>
      <c r="U44" s="770">
        <f t="shared" si="11"/>
        <v>100</v>
      </c>
      <c r="V44" s="769" t="s">
        <v>17</v>
      </c>
      <c r="W44" s="770">
        <f t="shared" si="12"/>
        <v>100</v>
      </c>
      <c r="X44" s="1811"/>
      <c r="Y44" s="3222"/>
      <c r="Z44" s="1812">
        <f t="shared" si="13"/>
        <v>111</v>
      </c>
      <c r="AA44" s="1809">
        <f t="shared" si="3"/>
        <v>1</v>
      </c>
      <c r="AB44" s="1809">
        <f t="shared" si="4"/>
        <v>1</v>
      </c>
      <c r="AC44" s="1809">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222"/>
      <c r="Q45" s="1808">
        <f t="shared" si="14"/>
        <v>111</v>
      </c>
      <c r="R45" s="772" t="s">
        <v>17</v>
      </c>
      <c r="S45" s="773">
        <f t="shared" si="10"/>
        <v>100</v>
      </c>
      <c r="T45" s="772" t="s">
        <v>17</v>
      </c>
      <c r="U45" s="773">
        <f t="shared" si="11"/>
        <v>100</v>
      </c>
      <c r="V45" s="772" t="s">
        <v>17</v>
      </c>
      <c r="W45" s="773">
        <f t="shared" si="12"/>
        <v>100</v>
      </c>
      <c r="X45" s="774"/>
      <c r="Y45" s="3222"/>
      <c r="Z45" s="775">
        <f t="shared" si="13"/>
        <v>111</v>
      </c>
      <c r="AA45" s="1809">
        <f t="shared" si="3"/>
        <v>1</v>
      </c>
      <c r="AB45" s="1809">
        <f t="shared" si="4"/>
        <v>1</v>
      </c>
      <c r="AC45" s="1809">
        <f t="shared" si="5"/>
        <v>1</v>
      </c>
    </row>
    <row r="46" spans="1:29" ht="15">
      <c r="A46" s="474" t="s">
        <v>2698</v>
      </c>
      <c r="B46" s="2702" t="s">
        <v>2734</v>
      </c>
      <c r="C46" s="677" t="s">
        <v>1</v>
      </c>
      <c r="D46" s="476"/>
      <c r="E46" s="477"/>
      <c r="F46" s="478"/>
      <c r="G46" s="479"/>
      <c r="H46" s="480"/>
      <c r="I46" s="477"/>
      <c r="J46" s="480"/>
      <c r="K46" s="778"/>
      <c r="L46" s="1141"/>
      <c r="M46" s="1142"/>
      <c r="N46" s="1129"/>
      <c r="O46" s="1142"/>
      <c r="P46" s="3217" t="str">
        <f>A46</f>
        <v>成交单价</v>
      </c>
      <c r="Q46" s="3217"/>
      <c r="R46" s="3223">
        <f>E46</f>
        <v>0</v>
      </c>
      <c r="S46" s="3223"/>
      <c r="T46" s="3223">
        <f>G46</f>
        <v>0</v>
      </c>
      <c r="U46" s="3223"/>
      <c r="V46" s="3223">
        <f>I46</f>
        <v>0</v>
      </c>
      <c r="W46" s="3223"/>
      <c r="X46" s="754"/>
      <c r="Y46" s="776"/>
      <c r="Z46" s="754"/>
      <c r="AA46" s="754"/>
      <c r="AB46" s="754"/>
      <c r="AC46" s="754"/>
    </row>
    <row r="47" spans="1:29" ht="15.75" thickBot="1">
      <c r="A47" s="481" t="s">
        <v>2647</v>
      </c>
      <c r="B47" s="678"/>
      <c r="C47" s="485" t="e">
        <f>R48</f>
        <v>#DIV/0!</v>
      </c>
      <c r="D47" s="484"/>
      <c r="E47" s="485" t="e">
        <f>R47</f>
        <v>#DIV/0!</v>
      </c>
      <c r="F47" s="486"/>
      <c r="G47" s="483" t="e">
        <f>T47</f>
        <v>#DIV/0!</v>
      </c>
      <c r="H47" s="484"/>
      <c r="I47" s="485" t="e">
        <f>V47</f>
        <v>#DIV/0!</v>
      </c>
      <c r="J47" s="484"/>
      <c r="K47" s="779"/>
      <c r="L47" s="1141"/>
      <c r="M47" s="1142"/>
      <c r="N47" s="1142"/>
      <c r="O47" s="1142"/>
      <c r="P47" s="3217" t="str">
        <f>A47</f>
        <v>比较价值（元/平方米）</v>
      </c>
      <c r="Q47" s="3217"/>
      <c r="R47" s="3210" t="e">
        <f>ROUND(PRODUCT(R46,AA7:AA45),0)</f>
        <v>#DIV/0!</v>
      </c>
      <c r="S47" s="3210"/>
      <c r="T47" s="3210" t="e">
        <f>ROUND(PRODUCT(T46,AB7:AB45),0)</f>
        <v>#DIV/0!</v>
      </c>
      <c r="U47" s="3210"/>
      <c r="V47" s="3210" t="e">
        <f>ROUND(PRODUCT(V46,AC7:AC45),0)</f>
        <v>#DIV/0!</v>
      </c>
      <c r="W47" s="3210"/>
      <c r="X47" s="754"/>
      <c r="Y47" s="754"/>
      <c r="Z47" s="754"/>
      <c r="AA47" s="754"/>
      <c r="AB47" s="754"/>
      <c r="AC47" s="754"/>
    </row>
    <row r="48" spans="1:29" ht="15.75" thickBot="1">
      <c r="A48" s="487" t="s">
        <v>2735</v>
      </c>
      <c r="B48" s="488"/>
      <c r="C48" s="489" t="e">
        <f>R48</f>
        <v>#DIV/0!</v>
      </c>
      <c r="D48" s="489"/>
      <c r="E48" s="489"/>
      <c r="F48" s="489"/>
      <c r="G48" s="489"/>
      <c r="H48" s="489"/>
      <c r="I48" s="489"/>
      <c r="J48" s="489"/>
      <c r="K48" s="780"/>
      <c r="L48" s="1141"/>
      <c r="M48" s="1142"/>
      <c r="N48" s="1142"/>
      <c r="O48" s="1142"/>
      <c r="P48" s="3211" t="str">
        <f>A48</f>
        <v>估价对象XX用房的比较价值（楼面单价，元/平方米）</v>
      </c>
      <c r="Q48" s="3212"/>
      <c r="R48" s="3213" t="e">
        <f>ROUND(AVERAGE(R47:V47),0)</f>
        <v>#DIV/0!</v>
      </c>
      <c r="S48" s="3213"/>
      <c r="T48" s="3213"/>
      <c r="U48" s="3213"/>
      <c r="V48" s="3213"/>
      <c r="W48" s="3213"/>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2649</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103"/>
      <c r="L51" s="1104"/>
      <c r="M51" s="1142"/>
      <c r="N51" s="1142"/>
      <c r="O51" s="1142"/>
    </row>
    <row r="52" spans="1:15" ht="13.5" customHeight="1">
      <c r="A52" s="1142"/>
      <c r="B52" s="1142"/>
      <c r="C52" s="492" t="s">
        <v>2650</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2651</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2736</v>
      </c>
      <c r="B55" s="680" t="s">
        <v>2737</v>
      </c>
      <c r="C55" s="2703" t="s">
        <v>2738</v>
      </c>
      <c r="D55" s="2704" t="s">
        <v>2739</v>
      </c>
      <c r="E55" s="681" t="s">
        <v>2740</v>
      </c>
      <c r="F55" s="1105" t="s">
        <v>2741</v>
      </c>
      <c r="G55" s="3214" t="s">
        <v>2742</v>
      </c>
      <c r="H55" s="3215"/>
      <c r="I55" s="141" t="s">
        <v>2743</v>
      </c>
      <c r="J55" s="2705">
        <f>项目基本情况!F35</f>
        <v>0</v>
      </c>
      <c r="K55" s="2706" t="s">
        <v>2744</v>
      </c>
      <c r="L55" s="1104"/>
      <c r="M55" s="1142"/>
      <c r="N55" s="1142"/>
      <c r="O55" s="1142"/>
    </row>
    <row r="56" spans="1:15" s="687" customFormat="1">
      <c r="A56" s="683" t="s">
        <v>2745</v>
      </c>
      <c r="B56" s="684" t="e">
        <f>C48</f>
        <v>#DIV/0!</v>
      </c>
      <c r="C56" s="685">
        <v>1</v>
      </c>
      <c r="D56" s="1161">
        <v>1</v>
      </c>
      <c r="E56" s="685">
        <f>'数据-汇总表'!E8+'数据-汇总表'!E9</f>
        <v>68001.889999999985</v>
      </c>
      <c r="F56" s="1101" t="e">
        <f t="shared" ref="F56:F65" si="15">ROUND(B56*E56/10000,0)</f>
        <v>#DIV/0!</v>
      </c>
      <c r="G56" s="3216"/>
      <c r="H56" s="3217"/>
      <c r="I56" s="1106">
        <v>1</v>
      </c>
      <c r="J56" s="1109">
        <v>1</v>
      </c>
      <c r="K56" s="1143"/>
      <c r="L56" s="939"/>
      <c r="M56" s="939"/>
      <c r="N56" s="939"/>
      <c r="O56" s="939"/>
    </row>
    <row r="57" spans="1:15" s="687" customFormat="1">
      <c r="A57" s="688" t="s">
        <v>2746</v>
      </c>
      <c r="B57" s="257" t="e">
        <f>ROUND($C$48*C57*D57,0)</f>
        <v>#DIV/0!</v>
      </c>
      <c r="C57" s="195">
        <f t="shared" ref="C57:C65" si="16">IF($C$55="北京市系数",I57,J57)</f>
        <v>0.7</v>
      </c>
      <c r="D57" s="1162">
        <v>0.25</v>
      </c>
      <c r="E57" s="689"/>
      <c r="F57" s="1101" t="e">
        <f t="shared" si="15"/>
        <v>#DIV/0!</v>
      </c>
      <c r="G57" s="3218" t="s">
        <v>2747</v>
      </c>
      <c r="H57" s="1102" t="str">
        <f>项目基本情况!B37</f>
        <v>七级</v>
      </c>
      <c r="I57" s="1106">
        <f>SUMIF(修正!A45:A56,H57,修正!B45:B56)</f>
        <v>0.7</v>
      </c>
      <c r="J57" s="1110"/>
      <c r="K57" s="1142"/>
      <c r="L57" s="939"/>
      <c r="M57" s="939"/>
      <c r="N57" s="939"/>
      <c r="O57" s="939"/>
    </row>
    <row r="58" spans="1:15" s="687" customFormat="1">
      <c r="A58" s="688" t="s">
        <v>2748</v>
      </c>
      <c r="B58" s="257" t="e">
        <f t="shared" ref="B58:B65" si="17">ROUND($C$48*C58*D58,0)</f>
        <v>#DIV/0!</v>
      </c>
      <c r="C58" s="195">
        <f t="shared" si="16"/>
        <v>0.4</v>
      </c>
      <c r="D58" s="1162">
        <v>0.25</v>
      </c>
      <c r="E58" s="689"/>
      <c r="F58" s="1101" t="e">
        <f t="shared" si="15"/>
        <v>#DIV/0!</v>
      </c>
      <c r="G58" s="3218"/>
      <c r="H58" s="1102" t="str">
        <f>项目基本情况!B37</f>
        <v>七级</v>
      </c>
      <c r="I58" s="1106">
        <f>SUMIF(修正!A45:A56,H58,修正!C45:C56)</f>
        <v>0.4</v>
      </c>
      <c r="J58" s="1110"/>
      <c r="K58" s="1143"/>
      <c r="L58" s="939"/>
      <c r="M58" s="939"/>
      <c r="N58" s="939"/>
      <c r="O58" s="939"/>
    </row>
    <row r="59" spans="1:15" s="687" customFormat="1">
      <c r="A59" s="688" t="s">
        <v>2749</v>
      </c>
      <c r="B59" s="257" t="e">
        <f t="shared" si="17"/>
        <v>#DIV/0!</v>
      </c>
      <c r="C59" s="195">
        <f t="shared" si="16"/>
        <v>0.28000000000000003</v>
      </c>
      <c r="D59" s="1162">
        <v>0.25</v>
      </c>
      <c r="E59" s="689"/>
      <c r="F59" s="1101" t="e">
        <f t="shared" si="15"/>
        <v>#DIV/0!</v>
      </c>
      <c r="G59" s="3218"/>
      <c r="H59" s="1102" t="str">
        <f>项目基本情况!B37</f>
        <v>七级</v>
      </c>
      <c r="I59" s="1106">
        <f>SUMIF(修正!A45:A56,H59,修正!D45:D56)</f>
        <v>0.28000000000000003</v>
      </c>
      <c r="J59" s="1110"/>
      <c r="K59" s="1142"/>
      <c r="L59" s="939"/>
      <c r="M59" s="939"/>
      <c r="N59" s="939"/>
      <c r="O59" s="939"/>
    </row>
    <row r="60" spans="1:15" s="687" customFormat="1">
      <c r="A60" s="688" t="s">
        <v>2750</v>
      </c>
      <c r="B60" s="257" t="e">
        <f t="shared" si="17"/>
        <v>#DIV/0!</v>
      </c>
      <c r="C60" s="195">
        <f t="shared" si="16"/>
        <v>0.25</v>
      </c>
      <c r="D60" s="1162">
        <v>0.25</v>
      </c>
      <c r="E60" s="689"/>
      <c r="F60" s="1101" t="e">
        <f t="shared" si="15"/>
        <v>#DIV/0!</v>
      </c>
      <c r="G60" s="3218"/>
      <c r="H60" s="1102" t="str">
        <f>项目基本情况!B37</f>
        <v>七级</v>
      </c>
      <c r="I60" s="1106">
        <f>SUMIF(修正!A45:A56,H60,修正!E45:E56)</f>
        <v>0.25</v>
      </c>
      <c r="J60" s="1110"/>
      <c r="K60" s="1143"/>
      <c r="L60" s="939"/>
      <c r="M60" s="939"/>
      <c r="N60" s="939"/>
      <c r="O60" s="939"/>
    </row>
    <row r="61" spans="1:15" s="687" customFormat="1">
      <c r="A61" s="688" t="s">
        <v>2751</v>
      </c>
      <c r="B61" s="257" t="e">
        <f t="shared" si="17"/>
        <v>#DIV/0!</v>
      </c>
      <c r="C61" s="195">
        <f t="shared" si="16"/>
        <v>0.25</v>
      </c>
      <c r="D61" s="1162">
        <v>0.25</v>
      </c>
      <c r="E61" s="256">
        <f>'数据-汇总表'!E11</f>
        <v>0</v>
      </c>
      <c r="F61" s="1101" t="e">
        <f t="shared" si="15"/>
        <v>#DIV/0!</v>
      </c>
      <c r="G61" s="2707" t="s">
        <v>2752</v>
      </c>
      <c r="H61" s="1102" t="str">
        <f>项目基本情况!C37</f>
        <v>七级</v>
      </c>
      <c r="I61" s="1106">
        <f>SUMIF(修正!A45:A56,H61,修正!F45:F56)</f>
        <v>0.25</v>
      </c>
      <c r="J61" s="1110"/>
      <c r="K61" s="1142"/>
      <c r="L61" s="939"/>
      <c r="M61" s="939"/>
      <c r="N61" s="939"/>
      <c r="O61" s="939"/>
    </row>
    <row r="62" spans="1:15" s="687" customFormat="1">
      <c r="A62" s="688" t="s">
        <v>2753</v>
      </c>
      <c r="B62" s="257" t="e">
        <f t="shared" si="17"/>
        <v>#DIV/0!</v>
      </c>
      <c r="C62" s="195">
        <f t="shared" si="16"/>
        <v>0.25</v>
      </c>
      <c r="D62" s="1162">
        <v>0.25</v>
      </c>
      <c r="E62" s="256">
        <f>'数据-汇总表'!E12</f>
        <v>0</v>
      </c>
      <c r="F62" s="1101" t="e">
        <f t="shared" si="15"/>
        <v>#DIV/0!</v>
      </c>
      <c r="G62" s="1107" t="s">
        <v>2754</v>
      </c>
      <c r="H62" s="1102" t="str">
        <f>IF(G62="商业",项目基本情况!B37,IF(G62="办公",项目基本情况!C37,IF(G62="住宅",项目基本情况!D37,项目基本情况!E37)))</f>
        <v>七级</v>
      </c>
      <c r="I62" s="1106">
        <f>SUMIF(修正!A45:A56,H62,修正!G45:G56)</f>
        <v>0.25</v>
      </c>
      <c r="J62" s="1110"/>
      <c r="K62" s="1143"/>
      <c r="L62" s="939"/>
      <c r="M62" s="939"/>
      <c r="N62" s="939"/>
      <c r="O62" s="939"/>
    </row>
    <row r="63" spans="1:15" s="687" customFormat="1">
      <c r="A63" s="688" t="s">
        <v>2755</v>
      </c>
      <c r="B63" s="257" t="e">
        <f t="shared" si="17"/>
        <v>#DIV/0!</v>
      </c>
      <c r="C63" s="195">
        <f t="shared" si="16"/>
        <v>0</v>
      </c>
      <c r="D63" s="1162">
        <v>0.25</v>
      </c>
      <c r="E63" s="256">
        <f>'数据-汇总表'!E13</f>
        <v>0</v>
      </c>
      <c r="F63" s="1101" t="e">
        <f t="shared" si="15"/>
        <v>#DIV/0!</v>
      </c>
      <c r="G63" s="1107" t="s">
        <v>2756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2757</v>
      </c>
      <c r="B64" s="257" t="e">
        <f t="shared" si="17"/>
        <v>#DIV/0!</v>
      </c>
      <c r="C64" s="195">
        <f t="shared" si="16"/>
        <v>0.2</v>
      </c>
      <c r="D64" s="1162">
        <v>0.25</v>
      </c>
      <c r="E64" s="256">
        <f>'数据-汇总表'!E14</f>
        <v>0</v>
      </c>
      <c r="F64" s="1101" t="e">
        <f t="shared" si="15"/>
        <v>#DIV/0!</v>
      </c>
      <c r="G64" s="2707" t="s">
        <v>2747</v>
      </c>
      <c r="H64" s="1102" t="str">
        <f>项目基本情况!B37</f>
        <v>七级</v>
      </c>
      <c r="I64" s="1106">
        <f>SUMIF(修正!A45:A56,H64,修正!H45:H56)</f>
        <v>0.2</v>
      </c>
      <c r="J64" s="1110"/>
      <c r="K64" s="1143"/>
      <c r="L64" s="939"/>
      <c r="M64" s="939"/>
      <c r="N64" s="939"/>
      <c r="O64" s="939"/>
    </row>
    <row r="65" spans="1:17" s="687" customFormat="1" ht="15" thickBot="1">
      <c r="A65" s="688" t="s">
        <v>2758</v>
      </c>
      <c r="B65" s="257" t="e">
        <f t="shared" si="17"/>
        <v>#DIV/0!</v>
      </c>
      <c r="C65" s="195">
        <f t="shared" si="16"/>
        <v>0.2</v>
      </c>
      <c r="D65" s="1162">
        <v>0.25</v>
      </c>
      <c r="E65" s="256">
        <f>'数据-汇总表'!E15</f>
        <v>0</v>
      </c>
      <c r="F65" s="1101" t="e">
        <f t="shared" si="15"/>
        <v>#DIV/0!</v>
      </c>
      <c r="G65" s="2708" t="s">
        <v>2752</v>
      </c>
      <c r="H65" s="1112" t="str">
        <f>项目基本情况!C37</f>
        <v>七级</v>
      </c>
      <c r="I65" s="1108">
        <f>SUMIF(修正!A45:A56,H65,修正!H45:H56)</f>
        <v>0.2</v>
      </c>
      <c r="J65" s="1111"/>
      <c r="K65" s="1142"/>
      <c r="L65" s="939"/>
      <c r="M65" s="939"/>
      <c r="N65" s="939"/>
      <c r="O65" s="939"/>
    </row>
    <row r="66" spans="1:17" s="687" customFormat="1" ht="13.5" thickBot="1">
      <c r="A66" s="690" t="s">
        <v>2759</v>
      </c>
      <c r="B66" s="691" t="s">
        <v>28</v>
      </c>
      <c r="C66" s="691" t="s">
        <v>29</v>
      </c>
      <c r="D66" s="691" t="s">
        <v>1029</v>
      </c>
      <c r="E66" s="691">
        <f>IF(B46="楼面地价",SUM(E56:E65),'数据-汇总表'!D3)</f>
        <v>68001.889999999985</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2018-8-1</v>
      </c>
      <c r="D68" s="756">
        <f>EDATE(C68,-3)</f>
        <v>43221</v>
      </c>
      <c r="E68" s="756">
        <f>EDATE(D68,-3)</f>
        <v>43132</v>
      </c>
      <c r="F68" s="756">
        <f t="shared" ref="F68:O68" si="18">EDATE(E68,-3)</f>
        <v>43040</v>
      </c>
      <c r="G68" s="756">
        <f t="shared" si="18"/>
        <v>42948</v>
      </c>
      <c r="H68" s="756">
        <f t="shared" si="18"/>
        <v>42856</v>
      </c>
      <c r="I68" s="756">
        <f t="shared" si="18"/>
        <v>42767</v>
      </c>
      <c r="J68" s="756">
        <f t="shared" si="18"/>
        <v>42675</v>
      </c>
      <c r="K68" s="756">
        <f t="shared" si="18"/>
        <v>42583</v>
      </c>
      <c r="L68" s="756">
        <f t="shared" si="18"/>
        <v>42491</v>
      </c>
      <c r="M68" s="756">
        <f t="shared" si="18"/>
        <v>42401</v>
      </c>
      <c r="N68" s="756">
        <f t="shared" si="18"/>
        <v>42309</v>
      </c>
      <c r="O68" s="756">
        <f t="shared" si="18"/>
        <v>42217</v>
      </c>
    </row>
    <row r="69" spans="1:17" ht="21.75" thickBot="1">
      <c r="A69" s="758" t="s">
        <v>2652</v>
      </c>
      <c r="B69" s="754"/>
      <c r="C69" s="759"/>
      <c r="D69" s="759"/>
      <c r="E69" s="759"/>
      <c r="F69" s="760"/>
      <c r="G69" s="760"/>
      <c r="H69" s="759"/>
      <c r="I69" s="759"/>
      <c r="J69" s="1157"/>
      <c r="K69" s="1158"/>
      <c r="L69" s="1159"/>
      <c r="M69" s="1157"/>
      <c r="N69" s="1157"/>
      <c r="O69" s="1157"/>
      <c r="P69" s="498"/>
      <c r="Q69" s="499"/>
    </row>
    <row r="70" spans="1:17" s="503" customFormat="1" ht="15">
      <c r="A70" s="2709" t="s">
        <v>2760</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2"/>
    </row>
    <row r="71" spans="1:17" s="115" customFormat="1" ht="30" customHeight="1">
      <c r="A71" s="2710" t="s">
        <v>2761</v>
      </c>
      <c r="B71" s="327" t="str">
        <f>"北京市平均增长率"&amp;TEXT(SUMIF('基准地价修正-商业'!N21:N25,A71,'基准地价修正-商业'!P21:P25),"0.00%")</f>
        <v>北京市平均增长率2.45%</v>
      </c>
      <c r="C71" s="598">
        <v>100</v>
      </c>
      <c r="D71" s="590"/>
      <c r="E71" s="590"/>
      <c r="F71" s="590"/>
      <c r="G71" s="590"/>
      <c r="H71" s="590"/>
      <c r="I71" s="590"/>
      <c r="J71" s="590"/>
      <c r="K71" s="590"/>
      <c r="L71" s="590"/>
      <c r="M71" s="1565"/>
      <c r="N71" s="590"/>
      <c r="O71" s="1566"/>
      <c r="P71" s="499"/>
    </row>
    <row r="72" spans="1:17" s="115" customFormat="1" ht="15.75" thickBot="1">
      <c r="A72" s="510" t="s">
        <v>2563</v>
      </c>
      <c r="B72" s="511"/>
      <c r="C72" s="512"/>
      <c r="D72" s="513"/>
      <c r="E72" s="513"/>
      <c r="F72" s="513"/>
      <c r="G72" s="513"/>
      <c r="H72" s="513"/>
      <c r="I72" s="513"/>
      <c r="J72" s="513"/>
      <c r="K72" s="513"/>
      <c r="L72" s="513"/>
      <c r="M72" s="514"/>
      <c r="N72" s="513"/>
      <c r="O72" s="1160"/>
      <c r="P72" s="499"/>
      <c r="Q72" s="499"/>
    </row>
    <row r="73" spans="1:17" s="115" customFormat="1" ht="15">
      <c r="A73" s="516" t="s">
        <v>2528</v>
      </c>
      <c r="B73" s="505"/>
      <c r="C73" s="517" t="s">
        <v>2630</v>
      </c>
      <c r="D73" s="518"/>
      <c r="E73" s="518"/>
      <c r="F73" s="518"/>
      <c r="G73" s="518"/>
      <c r="H73" s="518"/>
      <c r="I73" s="518"/>
      <c r="J73" s="518"/>
      <c r="K73" s="518"/>
      <c r="L73" s="519"/>
      <c r="M73" s="520"/>
      <c r="N73" s="1149"/>
      <c r="O73" s="1149"/>
      <c r="P73" s="521"/>
      <c r="Q73" s="499"/>
    </row>
    <row r="74" spans="1:17" s="115"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2566</v>
      </c>
      <c r="B75" s="523" t="s">
        <v>2532</v>
      </c>
      <c r="C75" s="525"/>
      <c r="D75" s="525"/>
      <c r="E75" s="525"/>
      <c r="F75" s="525"/>
      <c r="G75" s="525"/>
      <c r="H75" s="525"/>
      <c r="I75" s="525"/>
      <c r="J75" s="525"/>
      <c r="K75" s="526"/>
      <c r="L75" s="527"/>
      <c r="M75" s="528"/>
      <c r="N75" s="1150"/>
      <c r="O75" s="1150"/>
      <c r="P75" s="45"/>
      <c r="Q75" s="499"/>
    </row>
    <row r="76" spans="1:17" ht="15.75" thickBot="1">
      <c r="A76" s="529"/>
      <c r="B76" s="530"/>
      <c r="C76" s="531"/>
      <c r="D76" s="531"/>
      <c r="E76" s="531"/>
      <c r="F76" s="531"/>
      <c r="G76" s="531"/>
      <c r="H76" s="531"/>
      <c r="I76" s="531"/>
      <c r="J76" s="531"/>
      <c r="K76" s="531"/>
      <c r="L76" s="531"/>
      <c r="M76" s="532"/>
      <c r="N76" s="1151"/>
      <c r="O76" s="1151"/>
      <c r="P76" s="45"/>
      <c r="Q76" s="499"/>
    </row>
    <row r="77" spans="1:17" ht="27.75" thickTop="1">
      <c r="A77" s="529"/>
      <c r="B77" s="533" t="s">
        <v>2535</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2536</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51"/>
      <c r="O79" s="1151"/>
      <c r="P79" s="45"/>
      <c r="Q79" s="499"/>
    </row>
    <row r="80" spans="1:17" ht="15">
      <c r="A80" s="529"/>
      <c r="B80" s="543"/>
      <c r="C80" s="544"/>
      <c r="D80" s="544"/>
      <c r="E80" s="544"/>
      <c r="F80" s="544"/>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2537</v>
      </c>
      <c r="B88" s="523" t="s">
        <v>2574</v>
      </c>
      <c r="C88" s="568" t="s">
        <v>2575</v>
      </c>
      <c r="D88" s="568" t="s">
        <v>2576</v>
      </c>
      <c r="E88" s="568" t="s">
        <v>2577</v>
      </c>
      <c r="F88" s="568" t="s">
        <v>2578</v>
      </c>
      <c r="G88" s="568" t="s">
        <v>2579</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5"/>
      <c r="Q89" s="499"/>
    </row>
    <row r="90" spans="1:17" ht="15.75" thickTop="1">
      <c r="A90" s="529"/>
      <c r="B90" s="533" t="s">
        <v>2762</v>
      </c>
      <c r="C90" s="573" t="s">
        <v>2575</v>
      </c>
      <c r="D90" s="573" t="s">
        <v>2576</v>
      </c>
      <c r="E90" s="573" t="s">
        <v>2577</v>
      </c>
      <c r="F90" s="573" t="s">
        <v>2578</v>
      </c>
      <c r="G90" s="573" t="s">
        <v>2579</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2675</v>
      </c>
      <c r="C92" s="573" t="s">
        <v>2575</v>
      </c>
      <c r="D92" s="573" t="s">
        <v>2576</v>
      </c>
      <c r="E92" s="573" t="s">
        <v>2577</v>
      </c>
      <c r="F92" s="573" t="s">
        <v>2578</v>
      </c>
      <c r="G92" s="573" t="s">
        <v>2579</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2580</v>
      </c>
      <c r="C94" s="573" t="s">
        <v>2575</v>
      </c>
      <c r="D94" s="573" t="s">
        <v>2576</v>
      </c>
      <c r="E94" s="573" t="s">
        <v>2577</v>
      </c>
      <c r="F94" s="573" t="s">
        <v>2578</v>
      </c>
      <c r="G94" s="573" t="s">
        <v>2579</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5" customFormat="1" ht="15.75" thickTop="1">
      <c r="A96" s="574"/>
      <c r="B96" s="533" t="s">
        <v>2763</v>
      </c>
      <c r="C96" s="573" t="s">
        <v>2575</v>
      </c>
      <c r="D96" s="573" t="s">
        <v>2576</v>
      </c>
      <c r="E96" s="573" t="s">
        <v>2577</v>
      </c>
      <c r="F96" s="573" t="s">
        <v>2578</v>
      </c>
      <c r="G96" s="573" t="s">
        <v>2579</v>
      </c>
      <c r="H96" s="573"/>
      <c r="I96" s="573"/>
      <c r="J96" s="573"/>
      <c r="K96" s="573"/>
      <c r="L96" s="693"/>
      <c r="M96" s="617"/>
      <c r="N96" s="1149"/>
      <c r="O96" s="1149"/>
      <c r="P96" s="45"/>
      <c r="Q96" s="499"/>
    </row>
    <row r="97" spans="1:17" s="115"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5" customFormat="1" ht="27.75" thickTop="1">
      <c r="A98" s="574"/>
      <c r="B98" s="533" t="s">
        <v>2764</v>
      </c>
      <c r="C98" s="568" t="s">
        <v>2575</v>
      </c>
      <c r="D98" s="568" t="s">
        <v>2576</v>
      </c>
      <c r="E98" s="568" t="s">
        <v>2577</v>
      </c>
      <c r="F98" s="568" t="s">
        <v>2578</v>
      </c>
      <c r="G98" s="568" t="s">
        <v>2579</v>
      </c>
      <c r="H98" s="573"/>
      <c r="I98" s="573"/>
      <c r="J98" s="573"/>
      <c r="K98" s="573"/>
      <c r="L98" s="573"/>
      <c r="M98" s="617"/>
      <c r="N98" s="1149"/>
      <c r="O98" s="1149"/>
      <c r="P98" s="45"/>
      <c r="Q98" s="499"/>
    </row>
    <row r="99" spans="1:17" s="115" customFormat="1" ht="15.75" thickBot="1">
      <c r="A99" s="574"/>
      <c r="B99" s="538"/>
      <c r="C99" s="539">
        <v>100</v>
      </c>
      <c r="D99" s="539">
        <f>C99-$K25</f>
        <v>100</v>
      </c>
      <c r="E99" s="539">
        <f>D99-$K25</f>
        <v>100</v>
      </c>
      <c r="F99" s="539">
        <f>E99-$K25</f>
        <v>100</v>
      </c>
      <c r="G99" s="539">
        <f>F99-$K25</f>
        <v>100</v>
      </c>
      <c r="H99" s="539"/>
      <c r="I99" s="539"/>
      <c r="J99" s="539"/>
      <c r="K99" s="539"/>
      <c r="L99" s="539"/>
      <c r="M99" s="540"/>
      <c r="N99" s="1151"/>
      <c r="O99" s="1151"/>
      <c r="P99" s="45"/>
      <c r="Q99" s="499"/>
    </row>
    <row r="100" spans="1:17" s="466" customFormat="1" ht="15.75" thickTop="1">
      <c r="A100" s="548"/>
      <c r="B100" s="533" t="s">
        <v>2632</v>
      </c>
      <c r="C100" s="568" t="s">
        <v>2575</v>
      </c>
      <c r="D100" s="568" t="s">
        <v>2576</v>
      </c>
      <c r="E100" s="568" t="s">
        <v>2577</v>
      </c>
      <c r="F100" s="568" t="s">
        <v>2578</v>
      </c>
      <c r="G100" s="568" t="s">
        <v>2579</v>
      </c>
      <c r="H100" s="595"/>
      <c r="I100" s="595"/>
      <c r="J100" s="595"/>
      <c r="K100" s="595"/>
      <c r="L100" s="596"/>
      <c r="M100" s="597"/>
      <c r="N100" s="1152"/>
      <c r="O100" s="1152"/>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52"/>
      <c r="O101" s="1152"/>
      <c r="P101" s="553"/>
      <c r="Q101" s="554"/>
    </row>
    <row r="102" spans="1:17" s="466" customFormat="1" ht="15.75" thickTop="1">
      <c r="A102" s="548"/>
      <c r="B102" s="541" t="s">
        <v>2633</v>
      </c>
      <c r="C102" s="655" t="s">
        <v>2653</v>
      </c>
      <c r="D102" s="655" t="s">
        <v>2654</v>
      </c>
      <c r="E102" s="655" t="s">
        <v>2655</v>
      </c>
      <c r="F102" s="655" t="s">
        <v>2656</v>
      </c>
      <c r="G102" s="655" t="s">
        <v>2657</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2765</v>
      </c>
      <c r="D104" s="534" t="s">
        <v>2766</v>
      </c>
      <c r="E104" s="534" t="s">
        <v>2767</v>
      </c>
      <c r="F104" s="534" t="s">
        <v>2768</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2669</v>
      </c>
      <c r="C106" s="549"/>
      <c r="D106" s="549"/>
      <c r="E106" s="549"/>
      <c r="F106" s="549"/>
      <c r="G106" s="549"/>
      <c r="H106" s="578"/>
      <c r="I106" s="578"/>
      <c r="J106" s="578"/>
      <c r="K106" s="579"/>
      <c r="L106" s="580"/>
      <c r="M106" s="581"/>
      <c r="N106" s="1150"/>
      <c r="O106" s="1150"/>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51"/>
      <c r="O107" s="1151"/>
      <c r="P107" s="45"/>
      <c r="Q107" s="499"/>
    </row>
    <row r="108" spans="1:17" ht="15.75" thickTop="1">
      <c r="A108" s="529"/>
      <c r="B108" s="533" t="s">
        <v>2728</v>
      </c>
      <c r="C108" s="578"/>
      <c r="D108" s="578"/>
      <c r="E108" s="578"/>
      <c r="F108" s="578"/>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2541</v>
      </c>
      <c r="B116" s="523" t="s">
        <v>2769</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c r="D117" s="590"/>
      <c r="E117" s="590"/>
      <c r="F117" s="590"/>
      <c r="G117" s="590"/>
      <c r="H117" s="590"/>
      <c r="I117" s="590"/>
      <c r="J117" s="591"/>
      <c r="K117" s="591"/>
      <c r="L117" s="592"/>
      <c r="M117" s="593"/>
      <c r="N117" s="1150"/>
      <c r="O117" s="1150"/>
      <c r="P117" s="45"/>
      <c r="Q117" s="499"/>
    </row>
    <row r="118" spans="1:17" ht="15.75" thickBot="1">
      <c r="A118" s="529"/>
      <c r="B118" s="538"/>
      <c r="C118" s="565"/>
      <c r="D118" s="586"/>
      <c r="E118" s="586"/>
      <c r="F118" s="586"/>
      <c r="G118" s="586"/>
      <c r="H118" s="586"/>
      <c r="I118" s="586"/>
      <c r="J118" s="586"/>
      <c r="K118" s="586"/>
      <c r="L118" s="586"/>
      <c r="M118" s="587"/>
      <c r="N118" s="1151"/>
      <c r="O118" s="1151"/>
      <c r="P118" s="45"/>
      <c r="Q118" s="499"/>
    </row>
    <row r="119" spans="1:17" ht="15" thickTop="1">
      <c r="A119" s="594"/>
      <c r="B119" s="533" t="s">
        <v>2770</v>
      </c>
      <c r="C119" s="578"/>
      <c r="D119" s="578"/>
      <c r="E119" s="578"/>
      <c r="F119" s="578"/>
      <c r="G119" s="578"/>
      <c r="H119" s="578"/>
      <c r="I119" s="578"/>
      <c r="J119" s="578"/>
      <c r="K119" s="579"/>
      <c r="L119" s="580"/>
      <c r="M119" s="581"/>
      <c r="N119" s="1150"/>
      <c r="O119" s="1150"/>
      <c r="P119" s="45"/>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51"/>
      <c r="O120" s="1151"/>
      <c r="P120" s="45"/>
      <c r="Q120" s="499"/>
    </row>
    <row r="121" spans="1:17" ht="15" thickTop="1">
      <c r="A121" s="594"/>
      <c r="B121" s="533" t="s">
        <v>2771</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2772</v>
      </c>
      <c r="C123" s="549"/>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52"/>
      <c r="O124" s="1152"/>
      <c r="P124" s="553"/>
      <c r="Q124" s="554"/>
    </row>
    <row r="125" spans="1:17" ht="15" thickTop="1">
      <c r="A125" s="594"/>
      <c r="B125" s="533" t="s">
        <v>2773</v>
      </c>
      <c r="C125" s="549"/>
      <c r="D125" s="549"/>
      <c r="E125" s="578"/>
      <c r="F125" s="578"/>
      <c r="G125" s="578"/>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f>B43</f>
        <v>111</v>
      </c>
      <c r="C127" s="549"/>
      <c r="D127" s="549"/>
      <c r="E127" s="549"/>
      <c r="F127" s="549"/>
      <c r="G127" s="549"/>
      <c r="H127" s="578"/>
      <c r="I127" s="578"/>
      <c r="J127" s="578"/>
      <c r="K127" s="579"/>
      <c r="L127" s="580"/>
      <c r="M127" s="581"/>
      <c r="N127" s="1150"/>
      <c r="O127" s="1150"/>
      <c r="P127" s="45"/>
      <c r="Q127" s="499"/>
    </row>
    <row r="128" spans="1:17" ht="15.75" thickBot="1">
      <c r="A128" s="529"/>
      <c r="B128" s="538"/>
      <c r="C128" s="555"/>
      <c r="D128" s="555"/>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B2" sqref="B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2782</v>
      </c>
      <c r="B1" s="236"/>
      <c r="C1" s="240" t="s">
        <v>2783</v>
      </c>
      <c r="D1" s="383">
        <f>SUM(D29:D30,D33:D39)</f>
        <v>19128.989999999998</v>
      </c>
      <c r="E1" s="2715"/>
      <c r="F1" s="2715"/>
      <c r="G1" s="2715"/>
      <c r="H1" s="2715"/>
      <c r="I1" s="2715"/>
      <c r="J1" s="2715"/>
      <c r="K1" s="1368"/>
      <c r="L1" s="2716" t="s">
        <v>2784</v>
      </c>
      <c r="M1" s="1078">
        <f>SUMPRODUCT((区片价!B5:B9=I2)*(区片价!C3:F3=E2)*(区片价!C5:F9))</f>
        <v>0</v>
      </c>
      <c r="N1" s="1081">
        <f>SUMPRODUCT((因素修正幅度!B5:B9=I2)*(因素修正幅度!C3:F3=E2)*(因素修正幅度!C5:F9))</f>
        <v>0</v>
      </c>
      <c r="O1" s="2717"/>
      <c r="P1" s="2717"/>
      <c r="Q1" s="1368"/>
      <c r="R1" s="1600" t="s">
        <v>2785</v>
      </c>
      <c r="S1" s="1600" t="s">
        <v>2786</v>
      </c>
      <c r="T1" s="1600" t="s">
        <v>2787</v>
      </c>
      <c r="U1" s="1600" t="s">
        <v>2788</v>
      </c>
      <c r="V1" s="1600" t="s">
        <v>2789</v>
      </c>
      <c r="W1" s="1604"/>
      <c r="X1" s="1604"/>
      <c r="Y1" s="1604"/>
      <c r="Z1" s="1604"/>
      <c r="AA1" s="1604"/>
      <c r="AB1" s="1604"/>
      <c r="AC1" s="1605"/>
      <c r="AD1" s="1606"/>
      <c r="AE1" s="1606"/>
      <c r="AF1" s="1606"/>
      <c r="AG1" s="1606"/>
      <c r="AH1" s="1606"/>
      <c r="AI1" s="1606"/>
      <c r="AJ1" s="1607"/>
    </row>
    <row r="2" spans="1:36" ht="15.75">
      <c r="A2" s="240" t="s">
        <v>2790</v>
      </c>
      <c r="B2" s="243">
        <f ca="1">C26</f>
        <v>18786</v>
      </c>
      <c r="C2" s="2719" t="s">
        <v>2791</v>
      </c>
      <c r="D2" s="2720" t="s">
        <v>2792</v>
      </c>
      <c r="E2" s="2721" t="s">
        <v>1371</v>
      </c>
      <c r="F2" s="2720" t="s">
        <v>2793</v>
      </c>
      <c r="G2" s="2722" t="str">
        <f>IF(E2="商业",项目基本情况!B37,IF(E2="办公",项目基本情况!C37,IF(E2="住宅",项目基本情况!D37,项目基本情况!E37)))</f>
        <v>七级</v>
      </c>
      <c r="H2" s="2720" t="s">
        <v>2794</v>
      </c>
      <c r="I2" s="2722" t="str">
        <f>IF(E2="商业",项目基本情况!B38,IF(E2="办公",项目基本情况!C38,IF(E2="住宅",项目基本情况!D38,项目基本情况!E38)))</f>
        <v>Ⅶ-房1</v>
      </c>
      <c r="J2" s="2723"/>
      <c r="K2" s="1368"/>
      <c r="L2" s="2724" t="s">
        <v>2795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19128</v>
      </c>
      <c r="U2" s="1601"/>
      <c r="V2" s="1600">
        <f ca="1">ROUND(T2*U2/10000,0)</f>
        <v>0</v>
      </c>
      <c r="W2" s="1604"/>
      <c r="X2" s="1604"/>
      <c r="Y2" s="1604"/>
      <c r="Z2" s="1604"/>
      <c r="AA2" s="1604"/>
      <c r="AB2" s="1604"/>
      <c r="AC2" s="1605"/>
      <c r="AD2" s="1606"/>
      <c r="AE2" s="1606"/>
      <c r="AF2" s="1606"/>
      <c r="AG2" s="1606"/>
      <c r="AH2" s="1606"/>
      <c r="AI2" s="1606"/>
      <c r="AJ2" s="1607"/>
    </row>
    <row r="3" spans="1:36" ht="25.5">
      <c r="A3" s="242" t="s">
        <v>2796</v>
      </c>
      <c r="B3" s="243">
        <f ca="1">ROUND(B2*10000/D1,0)</f>
        <v>9821</v>
      </c>
      <c r="C3" s="2719" t="s">
        <v>2797</v>
      </c>
      <c r="D3" s="2720" t="s">
        <v>2798</v>
      </c>
      <c r="E3" s="2725" t="s">
        <v>3107</v>
      </c>
      <c r="F3" s="2726" t="s">
        <v>2799</v>
      </c>
      <c r="G3" s="911">
        <f>IF(F3="宗地容积率",'数据-汇总表'!I4,IF(F3="估价对象容积率",'数据-汇总表'!I6,'数据-汇总表'!I7))</f>
        <v>2.1</v>
      </c>
      <c r="H3" s="193" t="s">
        <v>2800</v>
      </c>
      <c r="I3" s="942"/>
      <c r="J3" s="2723" t="s">
        <v>2801</v>
      </c>
      <c r="K3" s="1368"/>
      <c r="L3" s="2724" t="s">
        <v>2802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13730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6"/>
      <c r="B4" s="3257"/>
      <c r="C4" s="3257"/>
      <c r="D4" s="3258"/>
      <c r="E4" s="3258"/>
      <c r="F4" s="3258"/>
      <c r="G4" s="3258"/>
      <c r="H4" s="3258"/>
      <c r="I4" s="3258"/>
      <c r="J4" s="3259"/>
      <c r="K4" s="1368"/>
      <c r="L4" s="2724" t="s">
        <v>2803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11077</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2804</v>
      </c>
      <c r="C5" s="912">
        <f>ROUND(IF(E2="商业",IF(F16="增加",C6*C7+C16,C6*C7-C16),IF(E2="住宅",IF(F16="增加",C6*C12+C16,C6*C12-C16),IF(F16="增加",C6+C16,C6-C16))),0)</f>
        <v>7194</v>
      </c>
      <c r="D5" s="1785">
        <f>ROUND(IF(E2="商业",IF(F16="增加",C6+C16,C6-C16)),0)</f>
        <v>7194</v>
      </c>
      <c r="E5" s="2729"/>
      <c r="F5" s="2729"/>
      <c r="G5" s="2730"/>
      <c r="H5" s="2730"/>
      <c r="I5" s="2730"/>
      <c r="J5" s="2731"/>
      <c r="K5" s="2732"/>
      <c r="L5" s="2724" t="s">
        <v>2805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8888</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2806</v>
      </c>
      <c r="B6" s="2738" t="s">
        <v>2807</v>
      </c>
      <c r="C6" s="913">
        <f>SUMIF(L1:L12,G2,M1:M12)</f>
        <v>7210</v>
      </c>
      <c r="D6" s="2739" t="s">
        <v>2808</v>
      </c>
      <c r="E6" s="2740"/>
      <c r="F6" s="2740"/>
      <c r="G6" s="2741"/>
      <c r="H6" s="2741"/>
      <c r="I6" s="2741"/>
      <c r="J6" s="2742"/>
      <c r="K6" s="1840"/>
      <c r="L6" s="2724" t="s">
        <v>2809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7568</v>
      </c>
      <c r="U6" s="1601"/>
      <c r="V6" s="1600">
        <f t="shared" ca="1" si="1"/>
        <v>0</v>
      </c>
      <c r="W6" s="1604"/>
      <c r="X6" s="1604"/>
      <c r="Y6" s="1604"/>
      <c r="Z6" s="1604"/>
      <c r="AA6" s="1604"/>
      <c r="AB6" s="1604"/>
      <c r="AC6" s="2733"/>
      <c r="AD6" s="2734"/>
      <c r="AE6" s="2734"/>
      <c r="AF6" s="2734"/>
      <c r="AG6" s="2734"/>
      <c r="AH6" s="2734"/>
      <c r="AI6" s="2734"/>
      <c r="AJ6" s="2735"/>
    </row>
    <row r="7" spans="1:36" ht="24" hidden="1">
      <c r="A7" s="3260" t="str">
        <f>IF(E2="商业",IF(C8="不临58条商业街","",2),"")</f>
        <v/>
      </c>
      <c r="B7" s="2743" t="s">
        <v>2810</v>
      </c>
      <c r="C7" s="914">
        <f>IF(C8="不临58条商业街",1,ROUND(1+(1.6*E8+1.2*E9+0.8*E10+0.4*E11)*C9,4))</f>
        <v>1</v>
      </c>
      <c r="D7" s="2744" t="s">
        <v>2811</v>
      </c>
      <c r="E7" s="943">
        <v>60</v>
      </c>
      <c r="F7" s="2745"/>
      <c r="G7" s="2746"/>
      <c r="H7" s="2746"/>
      <c r="I7" s="2746"/>
      <c r="J7" s="2747"/>
      <c r="K7" s="1840"/>
      <c r="L7" s="2724" t="s">
        <v>2812</v>
      </c>
      <c r="M7" s="1079">
        <f>SUMPRODUCT((区片价!B158:B205=I2)*(区片价!C3:F3=E2)*(区片价!C158:F205))</f>
        <v>7210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6655</v>
      </c>
      <c r="U7" s="1601"/>
      <c r="V7" s="1600">
        <f t="shared" ca="1" si="1"/>
        <v>0</v>
      </c>
      <c r="W7" s="1814" t="s">
        <v>2813</v>
      </c>
      <c r="X7" s="1602" t="str">
        <f>G2</f>
        <v>七级</v>
      </c>
      <c r="Y7" s="1602" t="s">
        <v>2814</v>
      </c>
      <c r="Z7" s="1603">
        <f>G3</f>
        <v>2.1</v>
      </c>
      <c r="AA7" s="1604"/>
      <c r="AB7" s="1604"/>
      <c r="AC7" s="1605"/>
      <c r="AD7" s="1606"/>
      <c r="AE7" s="1606"/>
      <c r="AF7" s="1606"/>
      <c r="AG7" s="1606"/>
      <c r="AH7" s="1606"/>
      <c r="AI7" s="1606"/>
      <c r="AJ7" s="1607"/>
    </row>
    <row r="8" spans="1:36" ht="25.5" hidden="1">
      <c r="A8" s="3261"/>
      <c r="B8" s="193" t="s">
        <v>2815</v>
      </c>
      <c r="C8" s="2748" t="s">
        <v>3092</v>
      </c>
      <c r="D8" s="915" t="s">
        <v>139</v>
      </c>
      <c r="E8" s="916">
        <f>ROUND(C11/E7,4)</f>
        <v>0</v>
      </c>
      <c r="F8" s="2749" t="s">
        <v>2816</v>
      </c>
      <c r="G8" s="2750"/>
      <c r="H8" s="2750"/>
      <c r="I8" s="2750"/>
      <c r="J8" s="2751"/>
      <c r="K8" s="1368"/>
      <c r="L8" s="2724" t="s">
        <v>2817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3" t="s">
        <v>2818</v>
      </c>
      <c r="X8" s="3254"/>
      <c r="Y8" s="1608" t="s">
        <v>2819</v>
      </c>
      <c r="Z8" s="1608" t="s">
        <v>2820</v>
      </c>
      <c r="AA8" s="1608" t="s">
        <v>2821</v>
      </c>
      <c r="AB8" s="1608" t="s">
        <v>2822</v>
      </c>
      <c r="AC8" s="1608" t="s">
        <v>2823</v>
      </c>
      <c r="AD8" s="1608" t="s">
        <v>2824</v>
      </c>
      <c r="AE8" s="1608" t="s">
        <v>2825</v>
      </c>
      <c r="AF8" s="1608" t="s">
        <v>2826</v>
      </c>
      <c r="AG8" s="1608" t="s">
        <v>2827</v>
      </c>
      <c r="AH8" s="1608" t="s">
        <v>2828</v>
      </c>
      <c r="AI8" s="1608" t="s">
        <v>2829</v>
      </c>
      <c r="AJ8" s="1608" t="s">
        <v>2830</v>
      </c>
    </row>
    <row r="9" spans="1:36" ht="15" hidden="1">
      <c r="A9" s="3261"/>
      <c r="B9" s="193" t="s">
        <v>2831</v>
      </c>
      <c r="C9" s="917">
        <f>SUMIF(修正!C59:C119,C8,修正!E59:E119)</f>
        <v>0</v>
      </c>
      <c r="D9" s="195" t="s">
        <v>140</v>
      </c>
      <c r="E9" s="195">
        <f>ROUND(C11/E7,4)</f>
        <v>0</v>
      </c>
      <c r="F9" s="2749" t="s">
        <v>2832</v>
      </c>
      <c r="G9" s="2750"/>
      <c r="H9" s="2750"/>
      <c r="I9" s="2750"/>
      <c r="J9" s="2751"/>
      <c r="K9" s="1368"/>
      <c r="L9" s="2724" t="s">
        <v>2833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5" t="s">
        <v>2834</v>
      </c>
      <c r="X9" s="1609" t="s">
        <v>2835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61"/>
      <c r="B10" s="193" t="s">
        <v>2836</v>
      </c>
      <c r="C10" s="195">
        <f>SUMIF(修正!C59:C119,C8,修正!F59:F119)</f>
        <v>0</v>
      </c>
      <c r="D10" s="195" t="s">
        <v>141</v>
      </c>
      <c r="E10" s="195">
        <f>ROUND(C11/E7,4)</f>
        <v>0</v>
      </c>
      <c r="F10" s="2749" t="s">
        <v>2837</v>
      </c>
      <c r="G10" s="2750"/>
      <c r="H10" s="2750"/>
      <c r="I10" s="2750"/>
      <c r="J10" s="2751"/>
      <c r="K10" s="1368"/>
      <c r="L10" s="2724" t="s">
        <v>2838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61"/>
      <c r="B11" s="2752" t="s">
        <v>2839</v>
      </c>
      <c r="C11" s="918">
        <f>C10/4</f>
        <v>0</v>
      </c>
      <c r="D11" s="918" t="s">
        <v>142</v>
      </c>
      <c r="E11" s="918">
        <f>ROUND(C11/E7,4)</f>
        <v>0</v>
      </c>
      <c r="F11" s="2753" t="s">
        <v>2840</v>
      </c>
      <c r="G11" s="2754"/>
      <c r="H11" s="2754"/>
      <c r="I11" s="2754"/>
      <c r="J11" s="2755"/>
      <c r="K11" s="1368"/>
      <c r="L11" s="2724" t="s">
        <v>2841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5" t="s">
        <v>2842</v>
      </c>
      <c r="X11" s="1612" t="s">
        <v>2843</v>
      </c>
      <c r="Y11" s="1613">
        <f>$G$3</f>
        <v>2.1</v>
      </c>
      <c r="Z11" s="1613">
        <f t="shared" ref="Z11:AJ11" si="3">$G$3</f>
        <v>2.1</v>
      </c>
      <c r="AA11" s="1613">
        <f t="shared" si="3"/>
        <v>2.1</v>
      </c>
      <c r="AB11" s="1613">
        <f t="shared" si="3"/>
        <v>2.1</v>
      </c>
      <c r="AC11" s="1613">
        <f t="shared" si="3"/>
        <v>2.1</v>
      </c>
      <c r="AD11" s="1613">
        <f t="shared" si="3"/>
        <v>2.1</v>
      </c>
      <c r="AE11" s="1613">
        <f t="shared" si="3"/>
        <v>2.1</v>
      </c>
      <c r="AF11" s="1613">
        <f t="shared" si="3"/>
        <v>2.1</v>
      </c>
      <c r="AG11" s="1613">
        <f t="shared" si="3"/>
        <v>2.1</v>
      </c>
      <c r="AH11" s="1613">
        <f t="shared" si="3"/>
        <v>2.1</v>
      </c>
      <c r="AI11" s="1613">
        <f t="shared" si="3"/>
        <v>2.1</v>
      </c>
      <c r="AJ11" s="1613">
        <f t="shared" si="3"/>
        <v>2.1</v>
      </c>
    </row>
    <row r="12" spans="1:36" ht="25.5" hidden="1" thickBot="1">
      <c r="A12" s="3260" t="s">
        <v>2844</v>
      </c>
      <c r="B12" s="2756" t="s">
        <v>2845</v>
      </c>
      <c r="C12" s="914">
        <f>ROUND(C15*D15*E15*F15*G15*H15*I15*J15,4)</f>
        <v>1</v>
      </c>
      <c r="D12" s="2757" t="s">
        <v>2846</v>
      </c>
      <c r="E12" s="2758"/>
      <c r="F12" s="2758"/>
      <c r="G12" s="2759"/>
      <c r="H12" s="2759"/>
      <c r="I12" s="2759"/>
      <c r="J12" s="2760"/>
      <c r="K12" s="1368"/>
      <c r="L12" s="2761" t="s">
        <v>2847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5"/>
      <c r="X12" s="1614" t="s">
        <v>2848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62"/>
      <c r="B13" s="2762" t="s">
        <v>2849</v>
      </c>
      <c r="C13" s="2763" t="s">
        <v>2850</v>
      </c>
      <c r="D13" s="1806" t="s">
        <v>2851</v>
      </c>
      <c r="E13" s="1806" t="s">
        <v>2852</v>
      </c>
      <c r="F13" s="30" t="s">
        <v>2853</v>
      </c>
      <c r="G13" s="2764" t="s">
        <v>2854</v>
      </c>
      <c r="H13" s="2764" t="s">
        <v>2854</v>
      </c>
      <c r="I13" s="2764" t="s">
        <v>2854</v>
      </c>
      <c r="J13" s="2765" t="s">
        <v>2854</v>
      </c>
      <c r="K13" s="1368"/>
      <c r="L13" s="1368"/>
      <c r="M13" s="1368"/>
      <c r="N13" s="1368"/>
      <c r="O13" s="1368"/>
      <c r="P13" s="1368"/>
      <c r="Q13" s="1368"/>
      <c r="R13" s="1600">
        <v>12</v>
      </c>
      <c r="S13" s="1601"/>
      <c r="T13" s="1600">
        <f t="shared" ca="1" si="0"/>
        <v>0</v>
      </c>
      <c r="U13" s="1601"/>
      <c r="V13" s="1600">
        <f t="shared" ca="1" si="1"/>
        <v>0</v>
      </c>
      <c r="W13" s="3255"/>
      <c r="X13" s="1614"/>
      <c r="Y13" s="1611">
        <f>(-0.163*(Y12^2)-0.59*Y12+7617)*(10^(-4))/Y11</f>
        <v>0.36271428571428571</v>
      </c>
      <c r="Z13" s="1611">
        <f t="shared" ref="Z13:AJ13" si="5">(-0.163*(Z12^2)-0.59*Z12+7617)*(10^(-4))/Z11</f>
        <v>0.36271428571428571</v>
      </c>
      <c r="AA13" s="1611">
        <f t="shared" si="5"/>
        <v>0.36271428571428571</v>
      </c>
      <c r="AB13" s="1611">
        <f t="shared" si="5"/>
        <v>0.36271428571428571</v>
      </c>
      <c r="AC13" s="1611">
        <f t="shared" si="5"/>
        <v>0.36271428571428571</v>
      </c>
      <c r="AD13" s="1611">
        <f t="shared" si="5"/>
        <v>0.36271428571428571</v>
      </c>
      <c r="AE13" s="1611">
        <f t="shared" si="5"/>
        <v>0.36271428571428571</v>
      </c>
      <c r="AF13" s="1611">
        <f t="shared" si="5"/>
        <v>0.36271428571428571</v>
      </c>
      <c r="AG13" s="1611">
        <f t="shared" si="5"/>
        <v>0.36271428571428571</v>
      </c>
      <c r="AH13" s="1611">
        <f t="shared" si="5"/>
        <v>0.36271428571428571</v>
      </c>
      <c r="AI13" s="1611">
        <f t="shared" si="5"/>
        <v>0.36271428571428571</v>
      </c>
      <c r="AJ13" s="1611">
        <f t="shared" si="5"/>
        <v>0.36271428571428571</v>
      </c>
    </row>
    <row r="14" spans="1:36" ht="15" hidden="1">
      <c r="A14" s="3262"/>
      <c r="B14" s="2766"/>
      <c r="C14" s="2767"/>
      <c r="D14" s="2768"/>
      <c r="E14" s="2768"/>
      <c r="F14" s="2769"/>
      <c r="G14" s="2770" t="s">
        <v>2855</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63"/>
      <c r="B15" s="2774" t="s">
        <v>2856</v>
      </c>
      <c r="C15" s="224">
        <f>IF(C14="有",1.1,1)</f>
        <v>1</v>
      </c>
      <c r="D15" s="224">
        <f>IF(D14="有",1.1,1)</f>
        <v>1</v>
      </c>
      <c r="E15" s="224">
        <f>IF(E14="有",1.1,1)</f>
        <v>1</v>
      </c>
      <c r="F15" s="224">
        <f>IF(F14="500米范围内",1.2,IF(F14="500-1000米",1.1,1))</f>
        <v>1</v>
      </c>
      <c r="G15" s="944">
        <v>1</v>
      </c>
      <c r="H15" s="944">
        <v>1</v>
      </c>
      <c r="I15" s="944">
        <v>1</v>
      </c>
      <c r="J15" s="945">
        <v>1</v>
      </c>
      <c r="K15" s="1368"/>
      <c r="L15" s="2775" t="s">
        <v>2792</v>
      </c>
      <c r="M15" s="915" t="s">
        <v>2857</v>
      </c>
      <c r="N15" s="915" t="s">
        <v>2858</v>
      </c>
      <c r="O15" s="915" t="s">
        <v>2859</v>
      </c>
      <c r="P15" s="2776" t="s">
        <v>2860</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0" t="s">
        <v>2861</v>
      </c>
      <c r="B16" s="2743" t="s">
        <v>2862</v>
      </c>
      <c r="C16" s="1799">
        <f>ROUND(SUM(G17:J17)/C17,0)</f>
        <v>16</v>
      </c>
      <c r="D16" s="2777" t="s">
        <v>2863</v>
      </c>
      <c r="E16" s="2778" t="s">
        <v>3094</v>
      </c>
      <c r="F16" s="2779" t="s">
        <v>3095</v>
      </c>
      <c r="G16" s="2780" t="s">
        <v>3050</v>
      </c>
      <c r="H16" s="2780"/>
      <c r="I16" s="2780"/>
      <c r="J16" s="2781"/>
      <c r="K16" s="1368"/>
      <c r="L16" s="2782" t="s">
        <v>2864</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1"/>
      <c r="B17" s="2783" t="s">
        <v>2865</v>
      </c>
      <c r="C17" s="919">
        <f>SUMPRODUCT((修正!A2:A5=E2)*(修正!B1:M1=G2)*(修正!B2:M5))</f>
        <v>2.5</v>
      </c>
      <c r="D17" s="2784" t="s">
        <v>2866</v>
      </c>
      <c r="E17" s="918" t="str">
        <f>IF(OR(G2="八级",G2="九级",G2="十级",G2="十一级",G2="十二级"),"五通一平","七通一平")</f>
        <v>七通一平</v>
      </c>
      <c r="F17" s="919" t="s">
        <v>2867</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2868</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2869</v>
      </c>
      <c r="C18" s="921">
        <f>SUMIF(修正!C18:C39,E3,修正!E18:E39)</f>
        <v>1.1000000000000001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2870</v>
      </c>
      <c r="C19" s="922">
        <f>ROUND(IF(H19="按公示增长率计算",SUMPRODUCT((地价!A3:A23=YEAR(G19)&amp;"-"&amp;ROUNDUP(MONTH(G19)/3,0))*(地价!X2:AB2=E2)*(地价!X3:AB23)),IF(H19="地价指数",M20/M19,(1+I19)^O19)),4)</f>
        <v>1.3052999999999999</v>
      </c>
      <c r="D19" s="2795" t="s">
        <v>2871</v>
      </c>
      <c r="E19" s="923">
        <v>41640</v>
      </c>
      <c r="F19" s="2795" t="s">
        <v>2872</v>
      </c>
      <c r="G19" s="924">
        <f>'数据-取费表'!B2</f>
        <v>43318</v>
      </c>
      <c r="H19" s="2796" t="s">
        <v>3096</v>
      </c>
      <c r="I19" s="925" t="str">
        <f>IF(H19="季度增幅（自定义）",SUMIF(N21:N24,E2,O21:O24),"")</f>
        <v/>
      </c>
      <c r="J19" s="2793"/>
      <c r="K19" s="1375"/>
      <c r="L19" s="2797" t="s">
        <v>2873</v>
      </c>
      <c r="M19" s="1732">
        <f>ROUND(SUMIF(地价!B2:F2,E2,地价!B23:F23),0)</f>
        <v>258</v>
      </c>
      <c r="N19" s="2798" t="s">
        <v>2874</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2875</v>
      </c>
      <c r="C20" s="927">
        <f ca="1">ROUND(POWER(1+G20,J20-I20)*(POWER(1+G20,I20)-1)/(POWER(1+G20,J20)-1),4)</f>
        <v>0.95930000000000004</v>
      </c>
      <c r="D20" s="2804" t="s">
        <v>2876</v>
      </c>
      <c r="E20" s="1766">
        <f ca="1">存贷款利率!D4/100</f>
        <v>4.3499999999999997E-2</v>
      </c>
      <c r="F20" s="2804" t="s">
        <v>2868</v>
      </c>
      <c r="G20" s="932">
        <f ca="1">SUMIF(M15:P15,E2,M17:P17)</f>
        <v>5.3999999999999999E-2</v>
      </c>
      <c r="H20" s="2804" t="s">
        <v>2877</v>
      </c>
      <c r="I20" s="933">
        <f>SUMIF('数据-取费表'!C6:C15,E2,'数据-取费表'!F6:F15)/COUNTIF('数据-取费表'!C6:C15,E2)</f>
        <v>35.119999999999997</v>
      </c>
      <c r="J20" s="934">
        <f>IF(E2="住宅",70,IF(E2="商业",40,50))</f>
        <v>40</v>
      </c>
      <c r="K20" s="1375"/>
      <c r="L20" s="2805" t="s">
        <v>2878</v>
      </c>
      <c r="M20" s="1733">
        <f>ROUND(SUMPRODUCT((地价!A4:A23=YEAR(G19)&amp;"-"&amp;ROUNDUP(MONTH(G19)/3,0))*(地价!B2:F2=E2)*(地价!B4:F23)),0)</f>
        <v>336</v>
      </c>
      <c r="N20" s="2806" t="s">
        <v>2879</v>
      </c>
      <c r="O20" s="2807" t="s">
        <v>2880</v>
      </c>
      <c r="P20" s="2808" t="s">
        <v>2881</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3093</v>
      </c>
      <c r="C21" s="935">
        <f>IF(B21="容积率修正",IF(G3&lt;=10,D22,J22),C23)</f>
        <v>1.0685</v>
      </c>
      <c r="D21" s="2811"/>
      <c r="E21" s="2811"/>
      <c r="F21" s="2811"/>
      <c r="G21" s="2811"/>
      <c r="H21" s="2811"/>
      <c r="I21" s="2811"/>
      <c r="J21" s="2812"/>
      <c r="K21" s="1375"/>
      <c r="N21" s="2813" t="s">
        <v>2882</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2883</v>
      </c>
      <c r="B22" s="2814" t="s">
        <v>2884</v>
      </c>
      <c r="C22" s="1808" t="s">
        <v>2885</v>
      </c>
      <c r="D22" s="1808">
        <f>IF(E22=G22,F22,IF(G3&lt;=10,ROUND(F22+(H22-F22)*(G3-E22)/(G22-E22),4),"——"))</f>
        <v>1.0685</v>
      </c>
      <c r="E22" s="911">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1">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8" t="s">
        <v>155</v>
      </c>
      <c r="J22" s="936" t="str">
        <f>IF(G3&gt;10,D113,"——")</f>
        <v>——</v>
      </c>
      <c r="K22" s="1375"/>
      <c r="N22" s="2813" t="s">
        <v>2886</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2887</v>
      </c>
      <c r="B23" s="2815" t="s">
        <v>2888</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2889</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2890</v>
      </c>
      <c r="C24" s="922">
        <f>SUMIF(A45:A88,E2,B45:B88)</f>
        <v>1.0362</v>
      </c>
      <c r="D24" s="2791"/>
      <c r="E24" s="2821"/>
      <c r="F24" s="2821"/>
      <c r="G24" s="2821"/>
      <c r="H24" s="2821"/>
      <c r="I24" s="2821"/>
      <c r="J24" s="2822"/>
      <c r="K24" s="1375"/>
      <c r="N24" s="2823" t="s">
        <v>2891</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2892</v>
      </c>
      <c r="C25" s="928"/>
      <c r="D25" s="2746"/>
      <c r="E25" s="2746"/>
      <c r="F25" s="2825"/>
      <c r="G25" s="2746"/>
      <c r="H25" s="2746"/>
      <c r="I25" s="2746"/>
      <c r="J25" s="2747"/>
      <c r="K25" s="1368"/>
      <c r="N25" s="2826" t="s">
        <v>2893</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2894</v>
      </c>
      <c r="C26" s="201">
        <f ca="1">E29+SUM(E33:E39)</f>
        <v>18786</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2895</v>
      </c>
      <c r="C27" s="929">
        <f ca="1">E30+SUM(I33:I39)</f>
        <v>810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2896</v>
      </c>
      <c r="C28" s="2838" t="s">
        <v>2897</v>
      </c>
      <c r="D28" s="2838" t="s">
        <v>2898</v>
      </c>
      <c r="E28" s="2839" t="s">
        <v>2899</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14.25">
      <c r="A29" s="2841"/>
      <c r="B29" s="2842" t="s">
        <v>2900</v>
      </c>
      <c r="C29" s="201">
        <f ca="1">ROUND(C5*C18*C19*C20*C21*C24,0)</f>
        <v>10971</v>
      </c>
      <c r="D29" s="2843">
        <f>面积!K11</f>
        <v>14169.46</v>
      </c>
      <c r="E29" s="940">
        <f ca="1">ROUND(C29*D29/10000,0)</f>
        <v>15545</v>
      </c>
      <c r="F29" s="2844" t="s">
        <v>2901</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2902</v>
      </c>
      <c r="C30" s="224">
        <f ca="1">ROUND(IF(E2="工业",C29*M39,C29*M38),0)</f>
        <v>2743</v>
      </c>
      <c r="D30" s="2849"/>
      <c r="E30" s="940">
        <f ca="1">ROUND(C30*D30/10000,0)</f>
        <v>0</v>
      </c>
      <c r="F30" s="2850" t="s">
        <v>2903</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2904</v>
      </c>
      <c r="C31" s="2855" t="s">
        <v>2905</v>
      </c>
      <c r="D31" s="2759"/>
      <c r="E31" s="2855"/>
      <c r="F31" s="2855"/>
      <c r="G31" s="2757" t="s">
        <v>2906</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2897</v>
      </c>
      <c r="D32" s="493" t="s">
        <v>2898</v>
      </c>
      <c r="E32" s="493" t="s">
        <v>2899</v>
      </c>
      <c r="F32" s="383" t="s">
        <v>2907</v>
      </c>
      <c r="G32" s="2858" t="s">
        <v>2897</v>
      </c>
      <c r="H32" s="2858" t="s">
        <v>2898</v>
      </c>
      <c r="I32" s="2858" t="s">
        <v>2899</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14.25">
      <c r="A33" s="3270" t="s">
        <v>2908</v>
      </c>
      <c r="B33" s="2859" t="s">
        <v>2909</v>
      </c>
      <c r="C33" s="201">
        <f ca="1">ROUND(D5*C19*C20*C24*F33,0)</f>
        <v>6534</v>
      </c>
      <c r="D33" s="2843">
        <f>面积!D29</f>
        <v>4959.53</v>
      </c>
      <c r="E33" s="195">
        <f ca="1">ROUND(C33*D33/10000,0)</f>
        <v>3241</v>
      </c>
      <c r="F33" s="195">
        <f>SUMIF(修正!A45:A56,G2,修正!B45:B56)</f>
        <v>0.7</v>
      </c>
      <c r="G33" s="195">
        <f t="shared" ref="G33" ca="1" si="6">ROUND(IF(E2="工业",C33*$M$39,C33*$M$38),0)</f>
        <v>1634</v>
      </c>
      <c r="H33" s="195">
        <f>D33</f>
        <v>4959.53</v>
      </c>
      <c r="I33" s="195">
        <f ca="1">ROUND(G33*H33/10000,0)</f>
        <v>810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1"/>
      <c r="B34" s="2763" t="s">
        <v>2910</v>
      </c>
      <c r="C34" s="201">
        <f ca="1">ROUND(D5*C19*C20*C24*F34,0)</f>
        <v>3734</v>
      </c>
      <c r="D34" s="2843"/>
      <c r="E34" s="195">
        <f t="shared" ref="E34:E39" ca="1" si="7">ROUND(C34*D34/10000,0)</f>
        <v>0</v>
      </c>
      <c r="F34" s="195">
        <f>SUMIF(修正!A45:A56,G2,修正!C45:C56)</f>
        <v>0.4</v>
      </c>
      <c r="G34" s="195">
        <f ca="1">ROUND(IF(E2="工业",C34*$M$39,C34*$M$38),0)</f>
        <v>934</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3" t="s">
        <v>2911</v>
      </c>
      <c r="C35" s="201">
        <f ca="1">ROUND(D5*C19*C20*C24*F35,0)</f>
        <v>2614</v>
      </c>
      <c r="D35" s="2843"/>
      <c r="E35" s="195">
        <f t="shared" ca="1" si="7"/>
        <v>0</v>
      </c>
      <c r="F35" s="195">
        <f>SUMIF(修正!A45:A56,G2,修正!D45:D56)</f>
        <v>0.28000000000000003</v>
      </c>
      <c r="G35" s="195">
        <f ca="1">ROUND(IF(E2="工业",C35*$M$39,C35*$M$38),0)</f>
        <v>654</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72"/>
      <c r="B36" s="2763" t="s">
        <v>2912</v>
      </c>
      <c r="C36" s="201">
        <f ca="1">ROUND(D5*C19*C20*C24*F36,0)</f>
        <v>2334</v>
      </c>
      <c r="D36" s="2843"/>
      <c r="E36" s="195">
        <f t="shared" ca="1" si="7"/>
        <v>0</v>
      </c>
      <c r="F36" s="195">
        <f>SUMIF(修正!A45:A56,G2,修正!E45:E56)</f>
        <v>0.25</v>
      </c>
      <c r="G36" s="195">
        <f ca="1">ROUND(IF(E2="工业",C36*$M$39,C36*$M$38),0)</f>
        <v>584</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2913</v>
      </c>
      <c r="C37" s="195">
        <f ca="1">ROUND(C5*C19*C20*C24*F37,0)</f>
        <v>2334</v>
      </c>
      <c r="D37" s="2843"/>
      <c r="E37" s="195">
        <f t="shared" ca="1" si="7"/>
        <v>0</v>
      </c>
      <c r="F37" s="201">
        <f>SUMIF(修正!A45:A56,G2,修正!F45:F56)</f>
        <v>0.25</v>
      </c>
      <c r="G37" s="195">
        <f ca="1">ROUND(IF(E2="工业",C37*$M$39,C37*$M$38),0)</f>
        <v>584</v>
      </c>
      <c r="H37" s="195">
        <f t="shared" si="8"/>
        <v>0</v>
      </c>
      <c r="I37" s="195">
        <f t="shared" ca="1" si="9"/>
        <v>0</v>
      </c>
      <c r="J37" s="2860"/>
      <c r="K37" s="1368"/>
      <c r="L37" s="2862" t="s">
        <v>2914</v>
      </c>
      <c r="M37" s="2863"/>
      <c r="N37" s="1368"/>
      <c r="O37" s="1368"/>
      <c r="P37" s="1368"/>
      <c r="Q37" s="1368"/>
      <c r="R37" s="1368"/>
      <c r="S37" s="1368"/>
      <c r="T37" s="1368"/>
      <c r="U37" s="1368"/>
      <c r="V37" s="1368"/>
      <c r="W37" s="1368"/>
      <c r="X37" s="1368"/>
      <c r="Y37" s="1368"/>
      <c r="Z37" s="1369"/>
    </row>
    <row r="38" spans="1:37">
      <c r="A38" s="2861"/>
      <c r="B38" s="2763" t="s">
        <v>2915</v>
      </c>
      <c r="C38" s="195">
        <f ca="1">ROUND(C5*C19*C20*C24*F38,0)</f>
        <v>2334</v>
      </c>
      <c r="D38" s="2843"/>
      <c r="E38" s="195">
        <f t="shared" ca="1" si="7"/>
        <v>0</v>
      </c>
      <c r="F38" s="201">
        <f>SUMIF(修正!A45:A56,G2,修正!G45:G56)</f>
        <v>0.25</v>
      </c>
      <c r="G38" s="195">
        <f ca="1">ROUND(IF(E2="工业",C38*$M$39,C38*$M$38),0)</f>
        <v>584</v>
      </c>
      <c r="H38" s="195">
        <f t="shared" si="8"/>
        <v>0</v>
      </c>
      <c r="I38" s="195">
        <f t="shared" ca="1" si="9"/>
        <v>0</v>
      </c>
      <c r="J38" s="2860"/>
      <c r="K38" s="1368"/>
      <c r="L38" s="1885" t="s">
        <v>2916</v>
      </c>
      <c r="M38" s="2864">
        <v>0.25</v>
      </c>
      <c r="N38" s="1368"/>
      <c r="O38" s="1368"/>
      <c r="P38" s="1368"/>
      <c r="Q38" s="1368"/>
      <c r="R38" s="1368"/>
      <c r="S38" s="1368"/>
      <c r="T38" s="1368"/>
      <c r="U38" s="1368"/>
      <c r="V38" s="1368"/>
      <c r="W38" s="1368"/>
      <c r="X38" s="1368"/>
      <c r="Y38" s="1368"/>
      <c r="Z38" s="1369"/>
    </row>
    <row r="39" spans="1:37" ht="13.5" thickBot="1">
      <c r="A39" s="2847"/>
      <c r="B39" s="2865" t="s">
        <v>2917</v>
      </c>
      <c r="C39" s="224">
        <f ca="1">ROUND(C5*C19*C20*C24*F39,0)</f>
        <v>1867</v>
      </c>
      <c r="D39" s="2996"/>
      <c r="E39" s="224">
        <f t="shared" ca="1" si="7"/>
        <v>0</v>
      </c>
      <c r="F39" s="930">
        <f>SUMIF(修正!A45:A56,G2,修正!H45:H56)</f>
        <v>0.2</v>
      </c>
      <c r="G39" s="224">
        <f ca="1">ROUND(IF(E2="工业",C39*$M$39,C39*$M$38),0)</f>
        <v>467</v>
      </c>
      <c r="H39" s="224">
        <f t="shared" si="8"/>
        <v>0</v>
      </c>
      <c r="I39" s="224">
        <f t="shared" ca="1" si="9"/>
        <v>0</v>
      </c>
      <c r="J39" s="2866"/>
      <c r="K39" s="1368"/>
      <c r="L39" s="2867" t="s">
        <v>2860</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2918</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2919</v>
      </c>
      <c r="B46" s="2873">
        <f>1+E48</f>
        <v>1.0362</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2920</v>
      </c>
      <c r="B47" s="1807" t="s">
        <v>2921</v>
      </c>
      <c r="C47" s="1807" t="s">
        <v>2922</v>
      </c>
      <c r="D47" s="1807" t="s">
        <v>2923</v>
      </c>
      <c r="E47" s="814" t="s">
        <v>2924</v>
      </c>
      <c r="F47" s="2877" t="s">
        <v>2925</v>
      </c>
      <c r="G47" s="1807" t="s">
        <v>754</v>
      </c>
      <c r="H47" s="2878" t="s">
        <v>2926</v>
      </c>
      <c r="I47" s="1807" t="s">
        <v>2927</v>
      </c>
      <c r="J47" s="598" t="s">
        <v>2575</v>
      </c>
      <c r="K47" s="598" t="s">
        <v>2576</v>
      </c>
      <c r="L47" s="598" t="s">
        <v>2577</v>
      </c>
      <c r="M47" s="598" t="s">
        <v>2578</v>
      </c>
      <c r="N47" s="598" t="s">
        <v>2579</v>
      </c>
      <c r="AA47" s="1369"/>
      <c r="AB47" s="1369"/>
      <c r="AC47" s="1369"/>
      <c r="AD47" s="1369"/>
      <c r="AE47" s="1369"/>
      <c r="AF47" s="1369"/>
      <c r="AG47" s="1369"/>
      <c r="AH47" s="1369"/>
      <c r="AI47" s="1369"/>
      <c r="AJ47" s="1369"/>
      <c r="AK47" s="1369"/>
    </row>
    <row r="48" spans="1:37" s="1368" customFormat="1" ht="24.75">
      <c r="A48" s="2876" t="s">
        <v>2928</v>
      </c>
      <c r="B48" s="2879">
        <f>估价对象房地状况!C4</f>
        <v>0</v>
      </c>
      <c r="C48" s="2768" t="s">
        <v>3112</v>
      </c>
      <c r="D48" s="1284">
        <f t="shared" ref="D48:D56" si="10">SUMIF($J$47:$N$47,C48,J48:N48)</f>
        <v>0</v>
      </c>
      <c r="E48" s="816">
        <f>ROUND(SUM(D48:D56),4)</f>
        <v>3.6200000000000003E-2</v>
      </c>
      <c r="F48" s="2499">
        <f>IF(E2="商业",SUMIF(L1:L12,G2,N1:N12),"——")</f>
        <v>0.13</v>
      </c>
      <c r="G48" s="1282">
        <f>H48</f>
        <v>2.1399999999999999E-2</v>
      </c>
      <c r="H48" s="1286">
        <f t="shared" ref="H48:H56" si="11">IFERROR(ROUNDDOWN($F$48*I48/2,4),"——")</f>
        <v>2.1399999999999999E-2</v>
      </c>
      <c r="I48" s="815">
        <v>0.33</v>
      </c>
      <c r="J48" s="1283">
        <f t="shared" ref="J48:J56" si="12">K48+$G48</f>
        <v>4.2799999999999998E-2</v>
      </c>
      <c r="K48" s="1283">
        <f t="shared" ref="K48:K56" si="13">$L48+$G48</f>
        <v>2.1399999999999999E-2</v>
      </c>
      <c r="L48" s="1283">
        <v>0</v>
      </c>
      <c r="M48" s="1283">
        <f t="shared" ref="M48:N56" si="14">L48-$G48</f>
        <v>-2.1399999999999999E-2</v>
      </c>
      <c r="N48" s="1283">
        <f t="shared" si="14"/>
        <v>-4.2799999999999998E-2</v>
      </c>
      <c r="AA48" s="1369"/>
      <c r="AB48" s="1369"/>
      <c r="AC48" s="1369"/>
      <c r="AD48" s="1369"/>
      <c r="AE48" s="1369"/>
      <c r="AF48" s="1369"/>
      <c r="AG48" s="1369"/>
      <c r="AH48" s="1369"/>
      <c r="AI48" s="1369"/>
      <c r="AJ48" s="1369"/>
      <c r="AK48" s="1369"/>
    </row>
    <row r="49" spans="1:37" s="1368" customFormat="1" ht="14.25">
      <c r="A49" s="2876" t="s">
        <v>2929</v>
      </c>
      <c r="B49" s="2880">
        <f>估价对象房地状况!C18</f>
        <v>0</v>
      </c>
      <c r="C49" s="2768" t="s">
        <v>3113</v>
      </c>
      <c r="D49" s="1284">
        <f t="shared" si="10"/>
        <v>1.6199999999999999E-2</v>
      </c>
      <c r="E49" s="817"/>
      <c r="F49" s="2499"/>
      <c r="G49" s="1282">
        <f t="shared" ref="G49:G56" si="15">H49</f>
        <v>1.6199999999999999E-2</v>
      </c>
      <c r="H49" s="1286">
        <f t="shared" si="11"/>
        <v>1.6199999999999999E-2</v>
      </c>
      <c r="I49" s="815">
        <v>0.25</v>
      </c>
      <c r="J49" s="1283">
        <f t="shared" si="12"/>
        <v>3.2399999999999998E-2</v>
      </c>
      <c r="K49" s="1283">
        <f t="shared" si="13"/>
        <v>1.6199999999999999E-2</v>
      </c>
      <c r="L49" s="1283">
        <v>0</v>
      </c>
      <c r="M49" s="1283">
        <f t="shared" si="14"/>
        <v>-1.6199999999999999E-2</v>
      </c>
      <c r="N49" s="1283">
        <f t="shared" si="14"/>
        <v>-3.2399999999999998E-2</v>
      </c>
      <c r="AA49" s="1369"/>
      <c r="AB49" s="1369"/>
      <c r="AC49" s="1369"/>
      <c r="AD49" s="1369"/>
      <c r="AE49" s="1369"/>
      <c r="AF49" s="1369"/>
      <c r="AG49" s="1369"/>
      <c r="AH49" s="1369"/>
      <c r="AI49" s="1369"/>
      <c r="AJ49" s="1369"/>
      <c r="AK49" s="1369"/>
    </row>
    <row r="50" spans="1:37" s="1368" customFormat="1" ht="24">
      <c r="A50" s="2876" t="s">
        <v>2930</v>
      </c>
      <c r="B50" s="2880">
        <f>估价对象房地状况!C19</f>
        <v>0</v>
      </c>
      <c r="C50" s="2768" t="s">
        <v>3113</v>
      </c>
      <c r="D50" s="1284">
        <f t="shared" si="10"/>
        <v>3.2000000000000002E-3</v>
      </c>
      <c r="E50" s="817"/>
      <c r="F50" s="2499"/>
      <c r="G50" s="1282">
        <f t="shared" si="15"/>
        <v>3.2000000000000002E-3</v>
      </c>
      <c r="H50" s="1286">
        <f t="shared" si="11"/>
        <v>3.2000000000000002E-3</v>
      </c>
      <c r="I50" s="815">
        <v>0.05</v>
      </c>
      <c r="J50" s="1283">
        <f t="shared" si="12"/>
        <v>6.4000000000000003E-3</v>
      </c>
      <c r="K50" s="1283">
        <f t="shared" si="13"/>
        <v>3.2000000000000002E-3</v>
      </c>
      <c r="L50" s="1283">
        <v>0</v>
      </c>
      <c r="M50" s="1283">
        <f t="shared" si="14"/>
        <v>-3.2000000000000002E-3</v>
      </c>
      <c r="N50" s="1283">
        <f t="shared" si="14"/>
        <v>-6.4000000000000003E-3</v>
      </c>
      <c r="AA50" s="1369"/>
      <c r="AB50" s="1369"/>
      <c r="AC50" s="1369"/>
      <c r="AD50" s="1369"/>
      <c r="AE50" s="1369"/>
      <c r="AF50" s="1369"/>
      <c r="AG50" s="1369"/>
      <c r="AH50" s="1369"/>
      <c r="AI50" s="1369"/>
      <c r="AJ50" s="1369"/>
      <c r="AK50" s="1369"/>
    </row>
    <row r="51" spans="1:37" s="1368" customFormat="1" ht="36.75">
      <c r="A51" s="2876" t="s">
        <v>2931</v>
      </c>
      <c r="B51" s="2881" t="s">
        <v>2932</v>
      </c>
      <c r="C51" s="2768" t="s">
        <v>3113</v>
      </c>
      <c r="D51" s="1284">
        <f t="shared" si="10"/>
        <v>3.2000000000000002E-3</v>
      </c>
      <c r="E51" s="817"/>
      <c r="F51" s="2499"/>
      <c r="G51" s="1282">
        <f t="shared" si="15"/>
        <v>3.2000000000000002E-3</v>
      </c>
      <c r="H51" s="1286">
        <f t="shared" si="11"/>
        <v>3.2000000000000002E-3</v>
      </c>
      <c r="I51" s="815">
        <v>0.05</v>
      </c>
      <c r="J51" s="1283">
        <f t="shared" si="12"/>
        <v>6.4000000000000003E-3</v>
      </c>
      <c r="K51" s="1283">
        <f t="shared" si="13"/>
        <v>3.2000000000000002E-3</v>
      </c>
      <c r="L51" s="1283">
        <v>0</v>
      </c>
      <c r="M51" s="1283">
        <f t="shared" si="14"/>
        <v>-3.2000000000000002E-3</v>
      </c>
      <c r="N51" s="1283">
        <f t="shared" si="14"/>
        <v>-6.4000000000000003E-3</v>
      </c>
      <c r="AA51" s="1369"/>
      <c r="AB51" s="1369"/>
      <c r="AC51" s="1369"/>
      <c r="AD51" s="1369"/>
      <c r="AE51" s="1369"/>
      <c r="AF51" s="1369"/>
      <c r="AG51" s="1369"/>
      <c r="AH51" s="1369"/>
      <c r="AI51" s="1369"/>
      <c r="AJ51" s="1369"/>
      <c r="AK51" s="1369"/>
    </row>
    <row r="52" spans="1:37" s="1368" customFormat="1" ht="24">
      <c r="A52" s="2876" t="s">
        <v>2933</v>
      </c>
      <c r="B52" s="2880">
        <f>估价对象房地状况!C24</f>
        <v>0</v>
      </c>
      <c r="C52" s="2768" t="s">
        <v>3113</v>
      </c>
      <c r="D52" s="1284">
        <f t="shared" si="10"/>
        <v>5.1999999999999998E-3</v>
      </c>
      <c r="E52" s="817"/>
      <c r="F52" s="2499"/>
      <c r="G52" s="1282">
        <f t="shared" si="15"/>
        <v>5.1999999999999998E-3</v>
      </c>
      <c r="H52" s="1286">
        <f t="shared" si="11"/>
        <v>5.1999999999999998E-3</v>
      </c>
      <c r="I52" s="815">
        <v>0.08</v>
      </c>
      <c r="J52" s="1283">
        <f t="shared" si="12"/>
        <v>1.04E-2</v>
      </c>
      <c r="K52" s="1283">
        <f t="shared" si="13"/>
        <v>5.1999999999999998E-3</v>
      </c>
      <c r="L52" s="1283">
        <v>0</v>
      </c>
      <c r="M52" s="1283">
        <f t="shared" si="14"/>
        <v>-5.1999999999999998E-3</v>
      </c>
      <c r="N52" s="1283">
        <f t="shared" si="14"/>
        <v>-1.04E-2</v>
      </c>
      <c r="AA52" s="1369"/>
      <c r="AB52" s="1369"/>
      <c r="AC52" s="1369"/>
      <c r="AD52" s="1369"/>
      <c r="AE52" s="1369"/>
      <c r="AF52" s="1369"/>
      <c r="AG52" s="1369"/>
      <c r="AH52" s="1369"/>
      <c r="AI52" s="1369"/>
      <c r="AJ52" s="1369"/>
      <c r="AK52" s="1369"/>
    </row>
    <row r="53" spans="1:37" s="1368" customFormat="1" ht="24">
      <c r="A53" s="2876" t="s">
        <v>2934</v>
      </c>
      <c r="B53" s="2882" t="s">
        <v>2935</v>
      </c>
      <c r="C53" s="2768" t="s">
        <v>3113</v>
      </c>
      <c r="D53" s="1284">
        <f t="shared" si="10"/>
        <v>1.9E-3</v>
      </c>
      <c r="E53" s="817"/>
      <c r="F53" s="2499"/>
      <c r="G53" s="1282">
        <f t="shared" si="15"/>
        <v>1.9E-3</v>
      </c>
      <c r="H53" s="1286">
        <f t="shared" si="11"/>
        <v>1.9E-3</v>
      </c>
      <c r="I53" s="815">
        <v>0.03</v>
      </c>
      <c r="J53" s="1283">
        <f t="shared" si="12"/>
        <v>3.8E-3</v>
      </c>
      <c r="K53" s="1283">
        <f t="shared" si="13"/>
        <v>1.9E-3</v>
      </c>
      <c r="L53" s="1283">
        <v>0</v>
      </c>
      <c r="M53" s="1283">
        <f t="shared" si="14"/>
        <v>-1.9E-3</v>
      </c>
      <c r="N53" s="1283">
        <f t="shared" si="14"/>
        <v>-3.8E-3</v>
      </c>
      <c r="AA53" s="1369"/>
      <c r="AB53" s="1369"/>
      <c r="AC53" s="1369"/>
      <c r="AD53" s="1369"/>
      <c r="AE53" s="1369"/>
      <c r="AF53" s="1369"/>
      <c r="AG53" s="1369"/>
      <c r="AH53" s="1369"/>
      <c r="AI53" s="1369"/>
      <c r="AJ53" s="1369"/>
      <c r="AK53" s="1369"/>
    </row>
    <row r="54" spans="1:37" s="1368" customFormat="1" ht="24">
      <c r="A54" s="2883" t="s">
        <v>2936</v>
      </c>
      <c r="B54" s="1723">
        <f>估价对象房地状况!C21</f>
        <v>0</v>
      </c>
      <c r="C54" s="2768" t="s">
        <v>3112</v>
      </c>
      <c r="D54" s="1284">
        <f t="shared" si="10"/>
        <v>0</v>
      </c>
      <c r="E54" s="817"/>
      <c r="F54" s="2499"/>
      <c r="G54" s="1282">
        <f t="shared" si="15"/>
        <v>3.2000000000000002E-3</v>
      </c>
      <c r="H54" s="1286">
        <f t="shared" si="11"/>
        <v>3.2000000000000002E-3</v>
      </c>
      <c r="I54" s="815">
        <v>0.05</v>
      </c>
      <c r="J54" s="1283">
        <f t="shared" si="12"/>
        <v>6.4000000000000003E-3</v>
      </c>
      <c r="K54" s="1283">
        <f t="shared" si="13"/>
        <v>3.2000000000000002E-3</v>
      </c>
      <c r="L54" s="1283">
        <v>0</v>
      </c>
      <c r="M54" s="1283">
        <f t="shared" si="14"/>
        <v>-3.2000000000000002E-3</v>
      </c>
      <c r="N54" s="1283">
        <f t="shared" si="14"/>
        <v>-6.4000000000000003E-3</v>
      </c>
      <c r="AA54" s="1369"/>
      <c r="AB54" s="1369"/>
      <c r="AC54" s="1369"/>
      <c r="AD54" s="1369"/>
      <c r="AE54" s="1369"/>
      <c r="AF54" s="1369"/>
      <c r="AG54" s="1369"/>
      <c r="AH54" s="1369"/>
      <c r="AI54" s="1369"/>
      <c r="AJ54" s="1369"/>
      <c r="AK54" s="1369"/>
    </row>
    <row r="55" spans="1:37" s="1368" customFormat="1" ht="24">
      <c r="A55" s="2883" t="s">
        <v>2937</v>
      </c>
      <c r="B55" s="2880">
        <f>估价对象房地状况!C22</f>
        <v>0</v>
      </c>
      <c r="C55" s="2768" t="s">
        <v>3113</v>
      </c>
      <c r="D55" s="1284">
        <f t="shared" si="10"/>
        <v>6.4999999999999997E-3</v>
      </c>
      <c r="E55" s="817"/>
      <c r="F55" s="2499"/>
      <c r="G55" s="1282">
        <f t="shared" si="15"/>
        <v>6.4999999999999997E-3</v>
      </c>
      <c r="H55" s="1286">
        <f t="shared" si="11"/>
        <v>6.4999999999999997E-3</v>
      </c>
      <c r="I55" s="815">
        <v>0.1</v>
      </c>
      <c r="J55" s="1283">
        <f t="shared" si="12"/>
        <v>1.2999999999999999E-2</v>
      </c>
      <c r="K55" s="1283">
        <f t="shared" si="13"/>
        <v>6.4999999999999997E-3</v>
      </c>
      <c r="L55" s="1283">
        <v>0</v>
      </c>
      <c r="M55" s="1283">
        <f t="shared" si="14"/>
        <v>-6.4999999999999997E-3</v>
      </c>
      <c r="N55" s="1283">
        <f t="shared" si="14"/>
        <v>-1.2999999999999999E-2</v>
      </c>
      <c r="AA55" s="1369"/>
      <c r="AB55" s="1369"/>
      <c r="AC55" s="1369"/>
      <c r="AD55" s="1369"/>
      <c r="AE55" s="1369"/>
      <c r="AF55" s="1369"/>
      <c r="AG55" s="1369"/>
      <c r="AH55" s="1369"/>
      <c r="AI55" s="1369"/>
      <c r="AJ55" s="1369"/>
      <c r="AK55" s="1369"/>
    </row>
    <row r="56" spans="1:37" s="1368" customFormat="1" ht="24.75" thickBot="1">
      <c r="A56" s="2884" t="s">
        <v>2938</v>
      </c>
      <c r="B56" s="2885">
        <f>估价对象房地状况!C20</f>
        <v>0</v>
      </c>
      <c r="C56" s="2768" t="s">
        <v>3112</v>
      </c>
      <c r="D56" s="1284">
        <f t="shared" si="10"/>
        <v>0</v>
      </c>
      <c r="E56" s="820"/>
      <c r="F56" s="2499"/>
      <c r="G56" s="1282">
        <f t="shared" si="15"/>
        <v>3.8999999999999998E-3</v>
      </c>
      <c r="H56" s="1286">
        <f t="shared" si="11"/>
        <v>3.8999999999999998E-3</v>
      </c>
      <c r="I56" s="819">
        <v>0.06</v>
      </c>
      <c r="J56" s="1283">
        <f t="shared" si="12"/>
        <v>7.7999999999999996E-3</v>
      </c>
      <c r="K56" s="1283">
        <f t="shared" si="13"/>
        <v>3.8999999999999998E-3</v>
      </c>
      <c r="L56" s="1283">
        <v>0</v>
      </c>
      <c r="M56" s="1283">
        <f t="shared" si="14"/>
        <v>-3.8999999999999998E-3</v>
      </c>
      <c r="N56" s="1283">
        <f t="shared" si="14"/>
        <v>-7.7999999999999996E-3</v>
      </c>
      <c r="AA56" s="1369"/>
      <c r="AB56" s="1369"/>
      <c r="AC56" s="1369"/>
      <c r="AD56" s="1369"/>
      <c r="AE56" s="1369"/>
      <c r="AF56" s="1369"/>
      <c r="AG56" s="1369"/>
      <c r="AH56" s="1369"/>
      <c r="AI56" s="1369"/>
      <c r="AJ56" s="1369"/>
      <c r="AK56" s="1369"/>
    </row>
    <row r="57" spans="1:37" s="1368" customFormat="1" ht="15">
      <c r="A57" s="2872" t="s">
        <v>2939</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2920</v>
      </c>
      <c r="B58" s="1807"/>
      <c r="C58" s="1807" t="s">
        <v>2922</v>
      </c>
      <c r="D58" s="1807" t="s">
        <v>2923</v>
      </c>
      <c r="E58" s="814" t="s">
        <v>2924</v>
      </c>
      <c r="F58" s="2877" t="s">
        <v>2940</v>
      </c>
      <c r="G58" s="1807" t="s">
        <v>754</v>
      </c>
      <c r="H58" s="2878" t="s">
        <v>2926</v>
      </c>
      <c r="I58" s="1807" t="s">
        <v>2927</v>
      </c>
      <c r="J58" s="598" t="s">
        <v>2575</v>
      </c>
      <c r="K58" s="598" t="s">
        <v>2576</v>
      </c>
      <c r="L58" s="598" t="s">
        <v>2577</v>
      </c>
      <c r="M58" s="598" t="s">
        <v>2578</v>
      </c>
      <c r="N58" s="598" t="s">
        <v>2579</v>
      </c>
      <c r="AA58" s="1369"/>
      <c r="AB58" s="1369"/>
      <c r="AC58" s="1369"/>
      <c r="AD58" s="1369"/>
      <c r="AE58" s="1369"/>
      <c r="AF58" s="1369"/>
      <c r="AG58" s="1369"/>
      <c r="AH58" s="1369"/>
      <c r="AI58" s="1369"/>
      <c r="AJ58" s="1369"/>
      <c r="AK58" s="1369"/>
    </row>
    <row r="59" spans="1:37" s="1368" customFormat="1" ht="24">
      <c r="A59" s="2876" t="s">
        <v>2941</v>
      </c>
      <c r="B59" s="2879">
        <f>估价对象房地状况!C17</f>
        <v>0</v>
      </c>
      <c r="C59" s="2768"/>
      <c r="D59" s="1284">
        <f t="shared" ref="D59:D67" si="16">SUMIF($J$58:$N$58,C59,J59:N59)</f>
        <v>0</v>
      </c>
      <c r="E59" s="816">
        <f>ROUND(SUM(D59:D67),4)</f>
        <v>0</v>
      </c>
      <c r="F59" s="2499" t="str">
        <f>IF(E2="办公",SUMIF(L1:L12,G2,N1:N12),"——")</f>
        <v>——</v>
      </c>
      <c r="G59" s="1282"/>
      <c r="H59" s="1286" t="str">
        <f t="shared" ref="H59:H67" si="17">IFERROR(ROUNDDOWN($F$59*I59/2,4),"——")</f>
        <v>——</v>
      </c>
      <c r="I59" s="815">
        <v>0.24</v>
      </c>
      <c r="J59" s="1283">
        <f t="shared" ref="J59:J67" si="18">K59+$G59</f>
        <v>0</v>
      </c>
      <c r="K59" s="1283">
        <f t="shared" ref="K59:K67" si="19">$L59+$G59</f>
        <v>0</v>
      </c>
      <c r="L59" s="1283">
        <v>0</v>
      </c>
      <c r="M59" s="1283">
        <f t="shared" ref="M59:N67" si="20">L59-$G59</f>
        <v>0</v>
      </c>
      <c r="N59" s="1283">
        <f t="shared" si="20"/>
        <v>0</v>
      </c>
      <c r="AA59" s="1369"/>
      <c r="AB59" s="1369"/>
      <c r="AC59" s="1369"/>
      <c r="AD59" s="1369"/>
      <c r="AE59" s="1369"/>
      <c r="AF59" s="1369"/>
      <c r="AG59" s="1369"/>
      <c r="AH59" s="1369"/>
      <c r="AI59" s="1369"/>
      <c r="AJ59" s="1369"/>
      <c r="AK59" s="1369"/>
    </row>
    <row r="60" spans="1:37" s="1368" customFormat="1" ht="14.25">
      <c r="A60" s="2876" t="s">
        <v>2929</v>
      </c>
      <c r="B60" s="2880">
        <f>估价对象房地状况!C18</f>
        <v>0</v>
      </c>
      <c r="C60" s="2768"/>
      <c r="D60" s="1284">
        <f t="shared" si="16"/>
        <v>0</v>
      </c>
      <c r="E60" s="817"/>
      <c r="F60" s="2499"/>
      <c r="G60" s="1282"/>
      <c r="H60" s="1286" t="str">
        <f t="shared" si="17"/>
        <v>——</v>
      </c>
      <c r="I60" s="815">
        <v>0.3</v>
      </c>
      <c r="J60" s="1283">
        <f t="shared" si="18"/>
        <v>0</v>
      </c>
      <c r="K60" s="1283">
        <f t="shared" si="19"/>
        <v>0</v>
      </c>
      <c r="L60" s="1283">
        <v>0</v>
      </c>
      <c r="M60" s="1283">
        <f t="shared" si="20"/>
        <v>0</v>
      </c>
      <c r="N60" s="1283">
        <f t="shared" si="20"/>
        <v>0</v>
      </c>
      <c r="AA60" s="1369"/>
      <c r="AB60" s="1369"/>
      <c r="AC60" s="1369"/>
      <c r="AD60" s="1369"/>
      <c r="AE60" s="1369"/>
      <c r="AF60" s="1369"/>
      <c r="AG60" s="1369"/>
      <c r="AH60" s="1369"/>
      <c r="AI60" s="1369"/>
      <c r="AJ60" s="1369"/>
      <c r="AK60" s="1369"/>
    </row>
    <row r="61" spans="1:37" s="1368" customFormat="1" ht="24">
      <c r="A61" s="2876" t="s">
        <v>2930</v>
      </c>
      <c r="B61" s="2880">
        <f>估价对象房地状况!C19</f>
        <v>0</v>
      </c>
      <c r="C61" s="2768"/>
      <c r="D61" s="1284">
        <f t="shared" si="16"/>
        <v>0</v>
      </c>
      <c r="E61" s="817"/>
      <c r="F61" s="2499"/>
      <c r="G61" s="1282"/>
      <c r="H61" s="1286" t="str">
        <f t="shared" si="17"/>
        <v>——</v>
      </c>
      <c r="I61" s="815">
        <v>0.08</v>
      </c>
      <c r="J61" s="1283">
        <f t="shared" si="18"/>
        <v>0</v>
      </c>
      <c r="K61" s="1283">
        <f t="shared" si="19"/>
        <v>0</v>
      </c>
      <c r="L61" s="1283">
        <v>0</v>
      </c>
      <c r="M61" s="1283">
        <f t="shared" si="20"/>
        <v>0</v>
      </c>
      <c r="N61" s="1283">
        <f t="shared" si="20"/>
        <v>0</v>
      </c>
      <c r="AA61" s="1369"/>
      <c r="AB61" s="1369"/>
      <c r="AC61" s="1369"/>
      <c r="AD61" s="1369"/>
      <c r="AE61" s="1369"/>
      <c r="AF61" s="1369"/>
      <c r="AG61" s="1369"/>
      <c r="AH61" s="1369"/>
      <c r="AI61" s="1369"/>
      <c r="AJ61" s="1369"/>
      <c r="AK61" s="1369"/>
    </row>
    <row r="62" spans="1:37" s="1368" customFormat="1" ht="36.75">
      <c r="A62" s="2876" t="s">
        <v>2931</v>
      </c>
      <c r="B62" s="2881" t="s">
        <v>2932</v>
      </c>
      <c r="C62" s="2768"/>
      <c r="D62" s="1284">
        <f t="shared" si="16"/>
        <v>0</v>
      </c>
      <c r="E62" s="817"/>
      <c r="F62" s="2499"/>
      <c r="G62" s="1282"/>
      <c r="H62" s="1286" t="str">
        <f t="shared" si="17"/>
        <v>——</v>
      </c>
      <c r="I62" s="815">
        <v>0.04</v>
      </c>
      <c r="J62" s="1283">
        <f t="shared" si="18"/>
        <v>0</v>
      </c>
      <c r="K62" s="1283">
        <f t="shared" si="19"/>
        <v>0</v>
      </c>
      <c r="L62" s="1283">
        <v>0</v>
      </c>
      <c r="M62" s="1283">
        <f t="shared" si="20"/>
        <v>0</v>
      </c>
      <c r="N62" s="1283">
        <f t="shared" si="20"/>
        <v>0</v>
      </c>
      <c r="AA62" s="1369"/>
      <c r="AB62" s="1369"/>
      <c r="AC62" s="1369"/>
      <c r="AD62" s="1369"/>
      <c r="AE62" s="1369"/>
      <c r="AF62" s="1369"/>
      <c r="AG62" s="1369"/>
      <c r="AH62" s="1369"/>
      <c r="AI62" s="1369"/>
      <c r="AJ62" s="1369"/>
      <c r="AK62" s="1369"/>
    </row>
    <row r="63" spans="1:37" s="1368" customFormat="1" ht="24">
      <c r="A63" s="2876" t="s">
        <v>2933</v>
      </c>
      <c r="B63" s="2880">
        <f>估价对象房地状况!C24</f>
        <v>0</v>
      </c>
      <c r="C63" s="2768"/>
      <c r="D63" s="1284">
        <f t="shared" si="16"/>
        <v>0</v>
      </c>
      <c r="E63" s="817"/>
      <c r="F63" s="2499"/>
      <c r="G63" s="1282"/>
      <c r="H63" s="1286" t="str">
        <f t="shared" si="17"/>
        <v>——</v>
      </c>
      <c r="I63" s="815">
        <v>0.05</v>
      </c>
      <c r="J63" s="1283">
        <f t="shared" si="18"/>
        <v>0</v>
      </c>
      <c r="K63" s="1283">
        <f t="shared" si="19"/>
        <v>0</v>
      </c>
      <c r="L63" s="1283">
        <v>0</v>
      </c>
      <c r="M63" s="1283">
        <f t="shared" si="20"/>
        <v>0</v>
      </c>
      <c r="N63" s="1283">
        <f t="shared" si="20"/>
        <v>0</v>
      </c>
      <c r="AA63" s="1369"/>
      <c r="AB63" s="1369"/>
      <c r="AC63" s="1369"/>
      <c r="AD63" s="1369"/>
      <c r="AE63" s="1369"/>
      <c r="AF63" s="1369"/>
      <c r="AG63" s="1369"/>
      <c r="AH63" s="1369"/>
      <c r="AI63" s="1369"/>
      <c r="AJ63" s="1369"/>
      <c r="AK63" s="1369"/>
    </row>
    <row r="64" spans="1:37" s="1368" customFormat="1" ht="24">
      <c r="A64" s="2876" t="s">
        <v>2934</v>
      </c>
      <c r="B64" s="2882" t="s">
        <v>2935</v>
      </c>
      <c r="C64" s="2768"/>
      <c r="D64" s="1284">
        <f t="shared" si="16"/>
        <v>0</v>
      </c>
      <c r="E64" s="817"/>
      <c r="F64" s="2499"/>
      <c r="G64" s="1282"/>
      <c r="H64" s="1286" t="str">
        <f t="shared" si="17"/>
        <v>——</v>
      </c>
      <c r="I64" s="815">
        <v>0.05</v>
      </c>
      <c r="J64" s="1283">
        <f t="shared" si="18"/>
        <v>0</v>
      </c>
      <c r="K64" s="1283">
        <f t="shared" si="19"/>
        <v>0</v>
      </c>
      <c r="L64" s="1283">
        <v>0</v>
      </c>
      <c r="M64" s="1283">
        <f t="shared" si="20"/>
        <v>0</v>
      </c>
      <c r="N64" s="1283">
        <f t="shared" si="20"/>
        <v>0</v>
      </c>
      <c r="AA64" s="1369"/>
      <c r="AB64" s="1369"/>
      <c r="AC64" s="1369"/>
      <c r="AD64" s="1369"/>
      <c r="AE64" s="1369"/>
      <c r="AF64" s="1369"/>
      <c r="AG64" s="1369"/>
      <c r="AH64" s="1369"/>
      <c r="AI64" s="1369"/>
      <c r="AJ64" s="1369"/>
      <c r="AK64" s="1369"/>
    </row>
    <row r="65" spans="1:37" s="1368" customFormat="1" ht="24">
      <c r="A65" s="2876" t="s">
        <v>2936</v>
      </c>
      <c r="B65" s="1723">
        <f>估价对象房地状况!C21</f>
        <v>0</v>
      </c>
      <c r="C65" s="2768"/>
      <c r="D65" s="1284">
        <f t="shared" si="16"/>
        <v>0</v>
      </c>
      <c r="E65" s="817"/>
      <c r="F65" s="2499"/>
      <c r="G65" s="1282"/>
      <c r="H65" s="1286" t="str">
        <f t="shared" si="17"/>
        <v>——</v>
      </c>
      <c r="I65" s="815">
        <v>0.06</v>
      </c>
      <c r="J65" s="1283">
        <f t="shared" si="18"/>
        <v>0</v>
      </c>
      <c r="K65" s="1283">
        <f t="shared" si="19"/>
        <v>0</v>
      </c>
      <c r="L65" s="1283">
        <v>0</v>
      </c>
      <c r="M65" s="1283">
        <f t="shared" si="20"/>
        <v>0</v>
      </c>
      <c r="N65" s="1283">
        <f t="shared" si="20"/>
        <v>0</v>
      </c>
      <c r="AA65" s="1369"/>
      <c r="AB65" s="1369"/>
      <c r="AC65" s="1369"/>
      <c r="AD65" s="1369"/>
      <c r="AE65" s="1369"/>
      <c r="AF65" s="1369"/>
      <c r="AG65" s="1369"/>
      <c r="AH65" s="1369"/>
      <c r="AI65" s="1369"/>
      <c r="AJ65" s="1369"/>
      <c r="AK65" s="1369"/>
    </row>
    <row r="66" spans="1:37" s="1368" customFormat="1" ht="24">
      <c r="A66" s="2876" t="s">
        <v>2937</v>
      </c>
      <c r="B66" s="1723">
        <f>估价对象房地状况!C22</f>
        <v>0</v>
      </c>
      <c r="C66" s="2768"/>
      <c r="D66" s="1284">
        <f t="shared" si="16"/>
        <v>0</v>
      </c>
      <c r="E66" s="817"/>
      <c r="F66" s="2499"/>
      <c r="G66" s="1282"/>
      <c r="H66" s="1286" t="str">
        <f t="shared" si="17"/>
        <v>——</v>
      </c>
      <c r="I66" s="815">
        <v>0.12</v>
      </c>
      <c r="J66" s="1283">
        <f t="shared" si="18"/>
        <v>0</v>
      </c>
      <c r="K66" s="1283">
        <f t="shared" si="19"/>
        <v>0</v>
      </c>
      <c r="L66" s="1283">
        <v>0</v>
      </c>
      <c r="M66" s="1283">
        <f t="shared" si="20"/>
        <v>0</v>
      </c>
      <c r="N66" s="1283">
        <f t="shared" si="20"/>
        <v>0</v>
      </c>
      <c r="AA66" s="1369"/>
      <c r="AB66" s="1369"/>
      <c r="AC66" s="1369"/>
      <c r="AD66" s="1369"/>
      <c r="AE66" s="1369"/>
      <c r="AF66" s="1369"/>
      <c r="AG66" s="1369"/>
      <c r="AH66" s="1369"/>
      <c r="AI66" s="1369"/>
      <c r="AJ66" s="1369"/>
      <c r="AK66" s="1369"/>
    </row>
    <row r="67" spans="1:37" s="1368" customFormat="1" ht="24.75" thickBot="1">
      <c r="A67" s="2884" t="s">
        <v>2938</v>
      </c>
      <c r="B67" s="2886">
        <f>估价对象房地状况!C20</f>
        <v>0</v>
      </c>
      <c r="C67" s="2768"/>
      <c r="D67" s="1284">
        <f t="shared" si="16"/>
        <v>0</v>
      </c>
      <c r="E67" s="820"/>
      <c r="F67" s="2499"/>
      <c r="G67" s="1282"/>
      <c r="H67" s="1286" t="str">
        <f t="shared" si="17"/>
        <v>——</v>
      </c>
      <c r="I67" s="819">
        <v>0.06</v>
      </c>
      <c r="J67" s="1283">
        <f t="shared" si="18"/>
        <v>0</v>
      </c>
      <c r="K67" s="1283">
        <f t="shared" si="19"/>
        <v>0</v>
      </c>
      <c r="L67" s="1283">
        <v>0</v>
      </c>
      <c r="M67" s="1283">
        <f t="shared" si="20"/>
        <v>0</v>
      </c>
      <c r="N67" s="1283">
        <f t="shared" si="20"/>
        <v>0</v>
      </c>
      <c r="AA67" s="1369"/>
      <c r="AB67" s="1369"/>
      <c r="AC67" s="1369"/>
      <c r="AD67" s="1369"/>
      <c r="AE67" s="1369"/>
      <c r="AF67" s="1369"/>
      <c r="AG67" s="1369"/>
      <c r="AH67" s="1369"/>
      <c r="AI67" s="1369"/>
      <c r="AJ67" s="1369"/>
      <c r="AK67" s="1369"/>
    </row>
    <row r="68" spans="1:37" s="1368" customFormat="1" ht="15">
      <c r="A68" s="2872" t="s">
        <v>2942</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2920</v>
      </c>
      <c r="B69" s="1807"/>
      <c r="C69" s="1807" t="s">
        <v>2922</v>
      </c>
      <c r="D69" s="1807" t="s">
        <v>2923</v>
      </c>
      <c r="E69" s="814" t="s">
        <v>2924</v>
      </c>
      <c r="F69" s="2877" t="s">
        <v>2940</v>
      </c>
      <c r="G69" s="1807" t="s">
        <v>754</v>
      </c>
      <c r="H69" s="2878" t="s">
        <v>2926</v>
      </c>
      <c r="I69" s="1807" t="s">
        <v>2927</v>
      </c>
      <c r="J69" s="598" t="s">
        <v>2575</v>
      </c>
      <c r="K69" s="598" t="s">
        <v>2576</v>
      </c>
      <c r="L69" s="598" t="s">
        <v>2577</v>
      </c>
      <c r="M69" s="598" t="s">
        <v>2578</v>
      </c>
      <c r="N69" s="598" t="s">
        <v>2579</v>
      </c>
      <c r="AA69" s="1369"/>
      <c r="AB69" s="1369"/>
      <c r="AC69" s="1369"/>
      <c r="AD69" s="1369"/>
      <c r="AE69" s="1369"/>
      <c r="AF69" s="1369"/>
      <c r="AG69" s="1369"/>
      <c r="AH69" s="1369"/>
      <c r="AI69" s="1369"/>
      <c r="AJ69" s="1369"/>
      <c r="AK69" s="1369"/>
    </row>
    <row r="70" spans="1:37" s="1368" customFormat="1" ht="24">
      <c r="A70" s="2876" t="s">
        <v>2943</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2929</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2930</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2944</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2936</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2937</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2934</v>
      </c>
      <c r="B76" s="2882" t="s">
        <v>2935</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2938</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2945</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2946</v>
      </c>
      <c r="B79" s="2873">
        <f>1+E81</f>
        <v>1</v>
      </c>
      <c r="C79" s="809"/>
      <c r="D79" s="809"/>
      <c r="E79" s="810"/>
      <c r="F79" s="2875"/>
      <c r="G79" s="6"/>
      <c r="H79" s="6"/>
      <c r="I79" s="6"/>
      <c r="J79" s="7"/>
      <c r="K79" s="7"/>
      <c r="L79" s="7"/>
      <c r="M79" s="7"/>
      <c r="N79" s="7"/>
      <c r="Z79" s="2718"/>
      <c r="AA79" s="2794"/>
      <c r="AG79" s="1370"/>
      <c r="AK79" s="2794"/>
    </row>
    <row r="80" spans="1:37" ht="24.75">
      <c r="A80" s="2876" t="s">
        <v>2920</v>
      </c>
      <c r="B80" s="1807"/>
      <c r="C80" s="1807" t="s">
        <v>2922</v>
      </c>
      <c r="D80" s="1807" t="s">
        <v>2923</v>
      </c>
      <c r="E80" s="814" t="s">
        <v>2924</v>
      </c>
      <c r="F80" s="2877" t="s">
        <v>2940</v>
      </c>
      <c r="G80" s="1807" t="s">
        <v>754</v>
      </c>
      <c r="H80" s="2878" t="s">
        <v>2926</v>
      </c>
      <c r="I80" s="1807" t="s">
        <v>2927</v>
      </c>
      <c r="J80" s="598" t="s">
        <v>2575</v>
      </c>
      <c r="K80" s="598" t="s">
        <v>2576</v>
      </c>
      <c r="L80" s="598" t="s">
        <v>2577</v>
      </c>
      <c r="M80" s="598" t="s">
        <v>2578</v>
      </c>
      <c r="N80" s="598" t="s">
        <v>2579</v>
      </c>
      <c r="Z80" s="2718"/>
      <c r="AA80" s="2794"/>
      <c r="AG80" s="1370"/>
      <c r="AK80" s="2794"/>
    </row>
    <row r="81" spans="1:37" ht="24">
      <c r="A81" s="2876" t="s">
        <v>2947</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2929</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2930</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2944</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2936</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2937</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2934</v>
      </c>
      <c r="B87" s="2882" t="s">
        <v>2948</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2949</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64" t="s">
        <v>2950</v>
      </c>
      <c r="B90" s="3264"/>
      <c r="C90" s="3264"/>
      <c r="D90" s="3264"/>
      <c r="E90" s="3264"/>
      <c r="F90" s="3264"/>
      <c r="G90" s="3264"/>
      <c r="H90" s="3264"/>
      <c r="I90" s="3264"/>
      <c r="J90" s="3264"/>
      <c r="K90" s="2890"/>
      <c r="L90" s="2890"/>
      <c r="M90" s="2890"/>
      <c r="N90" s="2890"/>
    </row>
    <row r="91" spans="1:37">
      <c r="A91" s="3266" t="s">
        <v>2951</v>
      </c>
      <c r="B91" s="3266" t="s">
        <v>2952</v>
      </c>
      <c r="C91" s="2844" t="s">
        <v>2953</v>
      </c>
      <c r="D91" s="2845"/>
      <c r="E91" s="2845"/>
      <c r="F91" s="2845"/>
      <c r="G91" s="2845"/>
      <c r="H91" s="2845"/>
      <c r="I91" s="2845"/>
      <c r="J91" s="2891"/>
      <c r="K91" s="2892"/>
      <c r="L91" s="2892"/>
      <c r="M91" s="2892"/>
      <c r="N91" s="2892"/>
    </row>
    <row r="92" spans="1:37">
      <c r="A92" s="3266"/>
      <c r="B92" s="3266"/>
      <c r="C92" s="940" t="s">
        <v>2819</v>
      </c>
      <c r="D92" s="940" t="s">
        <v>2820</v>
      </c>
      <c r="E92" s="940" t="s">
        <v>2821</v>
      </c>
      <c r="F92" s="940" t="s">
        <v>2822</v>
      </c>
      <c r="G92" s="940" t="s">
        <v>2823</v>
      </c>
      <c r="H92" s="940" t="s">
        <v>2824</v>
      </c>
      <c r="I92" s="940" t="s">
        <v>2825</v>
      </c>
      <c r="J92" s="940" t="s">
        <v>2826</v>
      </c>
      <c r="K92" s="940" t="s">
        <v>2827</v>
      </c>
      <c r="L92" s="940" t="s">
        <v>2828</v>
      </c>
      <c r="M92" s="940" t="s">
        <v>2829</v>
      </c>
      <c r="N92" s="940" t="s">
        <v>2830</v>
      </c>
    </row>
    <row r="93" spans="1:37">
      <c r="A93" s="3267" t="s">
        <v>2954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8"/>
      <c r="B99" s="2893" t="s">
        <v>2835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6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7" t="s">
        <v>2955</v>
      </c>
      <c r="B101" s="2897" t="s">
        <v>2956</v>
      </c>
      <c r="C101" s="2898">
        <f>$G$3</f>
        <v>2.1</v>
      </c>
      <c r="D101" s="2898">
        <f t="shared" ref="D101:N101" si="32">$G$3</f>
        <v>2.1</v>
      </c>
      <c r="E101" s="2898">
        <f t="shared" si="32"/>
        <v>2.1</v>
      </c>
      <c r="F101" s="2898">
        <f t="shared" si="32"/>
        <v>2.1</v>
      </c>
      <c r="G101" s="2898">
        <f t="shared" si="32"/>
        <v>2.1</v>
      </c>
      <c r="H101" s="2898">
        <f t="shared" si="32"/>
        <v>2.1</v>
      </c>
      <c r="I101" s="2898">
        <f t="shared" si="32"/>
        <v>2.1</v>
      </c>
      <c r="J101" s="2898">
        <f t="shared" si="32"/>
        <v>2.1</v>
      </c>
      <c r="K101" s="2898">
        <f t="shared" si="32"/>
        <v>2.1</v>
      </c>
      <c r="L101" s="2898">
        <f t="shared" si="32"/>
        <v>2.1</v>
      </c>
      <c r="M101" s="2898">
        <f t="shared" si="32"/>
        <v>2.1</v>
      </c>
      <c r="N101" s="2898">
        <f t="shared" si="32"/>
        <v>2.1</v>
      </c>
    </row>
    <row r="102" spans="1:14">
      <c r="A102" s="3268"/>
      <c r="B102" s="2893">
        <v>1</v>
      </c>
      <c r="C102" s="2894">
        <f>1.9362/C101</f>
        <v>0.92199999999999993</v>
      </c>
      <c r="D102" s="2894">
        <f>1.9362/D101</f>
        <v>0.92199999999999993</v>
      </c>
      <c r="E102" s="2894">
        <f>1.8629/E101</f>
        <v>0.88709523809523805</v>
      </c>
      <c r="F102" s="2894">
        <f>1.8629/F101</f>
        <v>0.88709523809523805</v>
      </c>
      <c r="G102" s="2894">
        <f>1.8629/G101</f>
        <v>0.88709523809523805</v>
      </c>
      <c r="H102" s="2894">
        <f>1.8629/H101</f>
        <v>0.88709523809523805</v>
      </c>
      <c r="I102" s="2894">
        <f>1.8629/I101</f>
        <v>0.88709523809523805</v>
      </c>
      <c r="J102" s="2894">
        <f>1.942/J101</f>
        <v>0.92476190476190467</v>
      </c>
      <c r="K102" s="2894">
        <f>1.942/K101</f>
        <v>0.92476190476190467</v>
      </c>
      <c r="L102" s="2894">
        <f>1.942/L101</f>
        <v>0.92476190476190467</v>
      </c>
      <c r="M102" s="2894">
        <f>1.942/M101</f>
        <v>0.92476190476190467</v>
      </c>
      <c r="N102" s="2894">
        <f>1.942/N101</f>
        <v>0.92476190476190467</v>
      </c>
    </row>
    <row r="103" spans="1:14">
      <c r="A103" s="3268"/>
      <c r="B103" s="2893">
        <v>2</v>
      </c>
      <c r="C103" s="2894">
        <f>1.4198/C101</f>
        <v>0.67609523809523808</v>
      </c>
      <c r="D103" s="2894">
        <f>1.4198/D101</f>
        <v>0.67609523809523808</v>
      </c>
      <c r="E103" s="2894">
        <f>1.3372/E101</f>
        <v>0.63676190476190475</v>
      </c>
      <c r="F103" s="2894">
        <f>1.3372/F101</f>
        <v>0.63676190476190475</v>
      </c>
      <c r="G103" s="2894">
        <f>1.3372/G101</f>
        <v>0.63676190476190475</v>
      </c>
      <c r="H103" s="2894">
        <f>1.3372/H101</f>
        <v>0.63676190476190475</v>
      </c>
      <c r="I103" s="2894">
        <f>1.3372/I101</f>
        <v>0.63676190476190475</v>
      </c>
      <c r="J103" s="2894">
        <f>1.2799/J101</f>
        <v>0.6094761904761905</v>
      </c>
      <c r="K103" s="2894">
        <f>1.2799/K101</f>
        <v>0.6094761904761905</v>
      </c>
      <c r="L103" s="2894">
        <f>1.2799/L101</f>
        <v>0.6094761904761905</v>
      </c>
      <c r="M103" s="2894">
        <f>1.2799/M101</f>
        <v>0.6094761904761905</v>
      </c>
      <c r="N103" s="2894">
        <f>1.2799/N101</f>
        <v>0.6094761904761905</v>
      </c>
    </row>
    <row r="104" spans="1:14">
      <c r="A104" s="3268"/>
      <c r="B104" s="2893">
        <v>3</v>
      </c>
      <c r="C104" s="2894">
        <f>1.1594/C101</f>
        <v>0.55209523809523808</v>
      </c>
      <c r="D104" s="2894">
        <f>1.1594/D101</f>
        <v>0.55209523809523808</v>
      </c>
      <c r="E104" s="2894">
        <f>1.0788/E101</f>
        <v>0.51371428571428568</v>
      </c>
      <c r="F104" s="2894">
        <f>1.0788/F101</f>
        <v>0.51371428571428568</v>
      </c>
      <c r="G104" s="2894">
        <f>1.0788/G101</f>
        <v>0.51371428571428568</v>
      </c>
      <c r="H104" s="2894">
        <f>1.0788/H101</f>
        <v>0.51371428571428568</v>
      </c>
      <c r="I104" s="2894">
        <f>1.0788/I101</f>
        <v>0.51371428571428568</v>
      </c>
      <c r="J104" s="2894">
        <f>1.0072/J101</f>
        <v>0.47961904761904767</v>
      </c>
      <c r="K104" s="2894">
        <f>1.0072/K101</f>
        <v>0.47961904761904767</v>
      </c>
      <c r="L104" s="2894">
        <f>1.0072/L101</f>
        <v>0.47961904761904767</v>
      </c>
      <c r="M104" s="2894">
        <f>1.0072/M101</f>
        <v>0.47961904761904767</v>
      </c>
      <c r="N104" s="2894">
        <f>1.0072/N101</f>
        <v>0.47961904761904767</v>
      </c>
    </row>
    <row r="105" spans="1:14">
      <c r="A105" s="3268"/>
      <c r="B105" s="2893">
        <v>4</v>
      </c>
      <c r="C105" s="2894">
        <f>0.9622/C101</f>
        <v>0.4581904761904762</v>
      </c>
      <c r="D105" s="2894">
        <f>0.9622/D101</f>
        <v>0.4581904761904762</v>
      </c>
      <c r="E105" s="2894">
        <f>0.8656/E101</f>
        <v>0.41219047619047616</v>
      </c>
      <c r="F105" s="2894">
        <f>0.8656/F101</f>
        <v>0.41219047619047616</v>
      </c>
      <c r="G105" s="2894">
        <f>0.8656/G101</f>
        <v>0.41219047619047616</v>
      </c>
      <c r="H105" s="2894">
        <f>0.8656/H101</f>
        <v>0.41219047619047616</v>
      </c>
      <c r="I105" s="2894">
        <f>0.8656/I101</f>
        <v>0.41219047619047616</v>
      </c>
      <c r="J105" s="2894">
        <f>0.7525/J101</f>
        <v>0.35833333333333328</v>
      </c>
      <c r="K105" s="2894">
        <f>0.7525/K101</f>
        <v>0.35833333333333328</v>
      </c>
      <c r="L105" s="2894">
        <f>0.7525/L101</f>
        <v>0.35833333333333328</v>
      </c>
      <c r="M105" s="2894">
        <f>0.7525/M101</f>
        <v>0.35833333333333328</v>
      </c>
      <c r="N105" s="2894">
        <f>0.7525/N101</f>
        <v>0.35833333333333328</v>
      </c>
    </row>
    <row r="106" spans="1:14">
      <c r="A106" s="3268"/>
      <c r="B106" s="2893">
        <v>5</v>
      </c>
      <c r="C106" s="2894">
        <f>0.8417/C101</f>
        <v>0.40080952380952378</v>
      </c>
      <c r="D106" s="2894">
        <f>0.8417/D101</f>
        <v>0.40080952380952378</v>
      </c>
      <c r="E106" s="2894">
        <f>0.7371/E101</f>
        <v>0.35099999999999998</v>
      </c>
      <c r="F106" s="2894">
        <f>0.7371/F101</f>
        <v>0.35099999999999998</v>
      </c>
      <c r="G106" s="2894">
        <f>0.7371/G101</f>
        <v>0.35099999999999998</v>
      </c>
      <c r="H106" s="2894">
        <f>0.7371/H101</f>
        <v>0.35099999999999998</v>
      </c>
      <c r="I106" s="2894">
        <f>0.7371/I101</f>
        <v>0.35099999999999998</v>
      </c>
      <c r="J106" s="2894">
        <f>0.5659/J101</f>
        <v>0.26947619047619042</v>
      </c>
      <c r="K106" s="2894">
        <f>0.5659/K101</f>
        <v>0.26947619047619042</v>
      </c>
      <c r="L106" s="2894">
        <f>0.5659/L101</f>
        <v>0.26947619047619042</v>
      </c>
      <c r="M106" s="2894">
        <f>0.5659/M101</f>
        <v>0.26947619047619042</v>
      </c>
      <c r="N106" s="2894">
        <f>0.5659/N101</f>
        <v>0.26947619047619042</v>
      </c>
    </row>
    <row r="107" spans="1:14">
      <c r="A107" s="3268"/>
      <c r="B107" s="2893">
        <v>6</v>
      </c>
      <c r="C107" s="2894">
        <f>0.7608/C101</f>
        <v>0.36228571428571427</v>
      </c>
      <c r="D107" s="2894">
        <f>0.7608/D101</f>
        <v>0.36228571428571427</v>
      </c>
      <c r="E107" s="2894">
        <f>0.6482/E101</f>
        <v>0.30866666666666664</v>
      </c>
      <c r="F107" s="2894">
        <f>0.6482/F101</f>
        <v>0.30866666666666664</v>
      </c>
      <c r="G107" s="2894">
        <f>0.6482/G101</f>
        <v>0.30866666666666664</v>
      </c>
      <c r="H107" s="2894">
        <f>0.6482/H101</f>
        <v>0.30866666666666664</v>
      </c>
      <c r="I107" s="2894">
        <f>0.6482/I101</f>
        <v>0.30866666666666664</v>
      </c>
      <c r="J107" s="2894">
        <f>0.4525/J101</f>
        <v>0.21547619047619046</v>
      </c>
      <c r="K107" s="2894">
        <f>0.4525/K101</f>
        <v>0.21547619047619046</v>
      </c>
      <c r="L107" s="2894">
        <f>0.4525/L101</f>
        <v>0.21547619047619046</v>
      </c>
      <c r="M107" s="2894">
        <f>0.4525/M101</f>
        <v>0.21547619047619046</v>
      </c>
      <c r="N107" s="2894">
        <f>0.4525/N101</f>
        <v>0.21547619047619046</v>
      </c>
    </row>
    <row r="108" spans="1:14">
      <c r="A108" s="3268"/>
      <c r="B108" s="3180" t="s">
        <v>2957</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69"/>
      <c r="B109" s="3181"/>
      <c r="C109" s="2896">
        <f>(-0.163*(C108^2)-0.59*C108+7617)*(10^(-4))/C101</f>
        <v>0.36271428571428571</v>
      </c>
      <c r="D109" s="2896">
        <f>(-0.163*(D108^2)-0.59*D108+7617)*(10^(-4))/D101</f>
        <v>0.36271428571428571</v>
      </c>
      <c r="E109" s="2896">
        <f>(-0.161*(E108^2)-7.509*E108+6533)*(10^(-4))/E101</f>
        <v>0.31109523809523809</v>
      </c>
      <c r="F109" s="2896">
        <f>(-0.161*(F108^2)-7.509*F108+6533)*(10^(-4))/F101</f>
        <v>0.31109523809523809</v>
      </c>
      <c r="G109" s="2896">
        <f>(-0.161*(G108^2)-7.509*G108+6533)*(10^(-4))/G101</f>
        <v>0.31109523809523809</v>
      </c>
      <c r="H109" s="2896">
        <f>(-0.161*(H108^2)-7.509*H108+6533)*(10^(-4))/H101</f>
        <v>0.31109523809523809</v>
      </c>
      <c r="I109" s="2896">
        <f>(-0.161*(I108^2)-7.509*I108+6533)*(10^(-4))/I101</f>
        <v>0.31109523809523809</v>
      </c>
      <c r="J109" s="2896">
        <f>(-0.214*(J108^2)-21.991*J108+4665)*(10^(-4))/J101</f>
        <v>0.22214285714285714</v>
      </c>
      <c r="K109" s="2896">
        <f>(-0.214*(K108^2)-21.991*K108+4665)*(10^(-4))/K101</f>
        <v>0.22214285714285714</v>
      </c>
      <c r="L109" s="2896">
        <f>(-0.214*(L108^2)-21.991*L108+4665)*(10^(-4))/L101</f>
        <v>0.22214285714285714</v>
      </c>
      <c r="M109" s="2896">
        <f>(-0.214*(M108^2)-21.991*M108+4665)*(10^(-4))/M101</f>
        <v>0.22214285714285714</v>
      </c>
      <c r="N109" s="2896">
        <f>(-0.214*(N108^2)-21.991*N108+4665)*(10^(-4))/N101</f>
        <v>0.22214285714285714</v>
      </c>
    </row>
    <row r="110" spans="1:14">
      <c r="A110" s="3265" t="s">
        <v>2958</v>
      </c>
      <c r="B110" s="3265"/>
      <c r="C110" s="3265"/>
      <c r="D110" s="3265"/>
      <c r="E110" s="3265"/>
      <c r="F110" s="3265"/>
      <c r="G110" s="3265"/>
      <c r="H110" s="3265"/>
      <c r="I110" s="3265"/>
      <c r="J110" s="3265"/>
      <c r="K110" s="2899"/>
      <c r="L110" s="2899"/>
      <c r="M110" s="2899"/>
      <c r="N110" s="2899"/>
    </row>
    <row r="112" spans="1:14" ht="13.5" thickBot="1"/>
    <row r="113" spans="1:13" ht="25.5" thickBot="1">
      <c r="A113" s="898" t="s">
        <v>2959</v>
      </c>
      <c r="B113" s="1285">
        <f>G3</f>
        <v>2.1</v>
      </c>
      <c r="C113" s="899" t="s">
        <v>2960</v>
      </c>
      <c r="D113" s="900">
        <f>SUMPRODUCT((A115:A118=F113)*(B114:M114=H113)*B115:M118)</f>
        <v>0.81020000000000003</v>
      </c>
      <c r="E113" s="2722" t="s">
        <v>2792</v>
      </c>
      <c r="F113" s="2901" t="str">
        <f>E2</f>
        <v>商业</v>
      </c>
      <c r="G113" s="2722" t="s">
        <v>2793</v>
      </c>
      <c r="H113" s="2901" t="str">
        <f>G2</f>
        <v>七级</v>
      </c>
      <c r="I113" s="2722"/>
      <c r="J113" s="2902"/>
      <c r="K113" s="2902"/>
      <c r="L113" s="2902"/>
      <c r="M113" s="2902"/>
    </row>
    <row r="114" spans="1:13">
      <c r="A114" s="903"/>
      <c r="B114" s="2903" t="s">
        <v>2961</v>
      </c>
      <c r="C114" s="2903" t="s">
        <v>2962</v>
      </c>
      <c r="D114" s="2903" t="s">
        <v>2963</v>
      </c>
      <c r="E114" s="2904" t="s">
        <v>2964</v>
      </c>
      <c r="F114" s="2904" t="s">
        <v>2965</v>
      </c>
      <c r="G114" s="2904" t="s">
        <v>2966</v>
      </c>
      <c r="H114" s="2905" t="s">
        <v>2967</v>
      </c>
      <c r="I114" s="2905" t="s">
        <v>2968</v>
      </c>
      <c r="J114" s="2906" t="s">
        <v>2969</v>
      </c>
      <c r="K114" s="2906" t="s">
        <v>2970</v>
      </c>
      <c r="L114" s="2906" t="s">
        <v>2971</v>
      </c>
      <c r="M114" s="2907" t="s">
        <v>2972</v>
      </c>
    </row>
    <row r="115" spans="1:13">
      <c r="A115" s="904" t="s">
        <v>2857</v>
      </c>
      <c r="B115" s="905">
        <f>ROUND(0.9335-0.0094*B113,4)</f>
        <v>0.91379999999999995</v>
      </c>
      <c r="C115" s="905">
        <f>B115</f>
        <v>0.91379999999999995</v>
      </c>
      <c r="D115" s="905">
        <f>ROUND(0.8331-0.0109*B113,4)</f>
        <v>0.81020000000000003</v>
      </c>
      <c r="E115" s="905">
        <f>D115</f>
        <v>0.81020000000000003</v>
      </c>
      <c r="F115" s="905">
        <f>E115</f>
        <v>0.81020000000000003</v>
      </c>
      <c r="G115" s="905">
        <f>F115</f>
        <v>0.81020000000000003</v>
      </c>
      <c r="H115" s="905">
        <f>G115</f>
        <v>0.81020000000000003</v>
      </c>
      <c r="I115" s="905">
        <f>ROUND(0.689-0.0155*B113,4)</f>
        <v>0.65649999999999997</v>
      </c>
      <c r="J115" s="905">
        <f t="shared" ref="J115:M118" si="34">I115</f>
        <v>0.65649999999999997</v>
      </c>
      <c r="K115" s="905">
        <f t="shared" si="34"/>
        <v>0.65649999999999997</v>
      </c>
      <c r="L115" s="905">
        <f t="shared" si="34"/>
        <v>0.65649999999999997</v>
      </c>
      <c r="M115" s="906">
        <f t="shared" si="34"/>
        <v>0.65649999999999997</v>
      </c>
    </row>
    <row r="116" spans="1:13">
      <c r="A116" s="904" t="s">
        <v>2858</v>
      </c>
      <c r="B116" s="905">
        <f>ROUND(0.949-0.012*B113,4)</f>
        <v>0.92379999999999995</v>
      </c>
      <c r="C116" s="905">
        <f>B116</f>
        <v>0.92379999999999995</v>
      </c>
      <c r="D116" s="905">
        <f>ROUND(0.8567-0.013*B113,4)</f>
        <v>0.82940000000000003</v>
      </c>
      <c r="E116" s="905">
        <f t="shared" ref="E116:H117" si="35">D116</f>
        <v>0.82940000000000003</v>
      </c>
      <c r="F116" s="905">
        <f t="shared" si="35"/>
        <v>0.82940000000000003</v>
      </c>
      <c r="G116" s="905">
        <f t="shared" si="35"/>
        <v>0.82940000000000003</v>
      </c>
      <c r="H116" s="905">
        <f t="shared" si="35"/>
        <v>0.82940000000000003</v>
      </c>
      <c r="I116" s="905">
        <f>ROUND(0.7694-0.014*B113,4)</f>
        <v>0.74</v>
      </c>
      <c r="J116" s="905">
        <f t="shared" si="34"/>
        <v>0.74</v>
      </c>
      <c r="K116" s="905">
        <f t="shared" si="34"/>
        <v>0.74</v>
      </c>
      <c r="L116" s="905">
        <f t="shared" si="34"/>
        <v>0.74</v>
      </c>
      <c r="M116" s="906">
        <f t="shared" si="34"/>
        <v>0.74</v>
      </c>
    </row>
    <row r="117" spans="1:13">
      <c r="A117" s="904" t="s">
        <v>2859</v>
      </c>
      <c r="B117" s="905">
        <f>ROUND(0.8808-0.006*B113,4)</f>
        <v>0.86819999999999997</v>
      </c>
      <c r="C117" s="905">
        <f>B117</f>
        <v>0.86819999999999997</v>
      </c>
      <c r="D117" s="905">
        <f>ROUND(0.8748-0.008*B113,4)</f>
        <v>0.85799999999999998</v>
      </c>
      <c r="E117" s="905">
        <f t="shared" si="35"/>
        <v>0.85799999999999998</v>
      </c>
      <c r="F117" s="905">
        <f t="shared" si="35"/>
        <v>0.85799999999999998</v>
      </c>
      <c r="G117" s="905">
        <f t="shared" si="35"/>
        <v>0.85799999999999998</v>
      </c>
      <c r="H117" s="905">
        <f t="shared" si="35"/>
        <v>0.85799999999999998</v>
      </c>
      <c r="I117" s="905">
        <f>ROUND(0.7412-0.0095*B113,4)</f>
        <v>0.72130000000000005</v>
      </c>
      <c r="J117" s="905">
        <f t="shared" si="34"/>
        <v>0.72130000000000005</v>
      </c>
      <c r="K117" s="905">
        <f t="shared" si="34"/>
        <v>0.72130000000000005</v>
      </c>
      <c r="L117" s="905">
        <f t="shared" si="34"/>
        <v>0.72130000000000005</v>
      </c>
      <c r="M117" s="906">
        <f t="shared" si="34"/>
        <v>0.72130000000000005</v>
      </c>
    </row>
    <row r="118" spans="1:13" ht="13.5" thickBot="1">
      <c r="A118" s="709" t="s">
        <v>2860</v>
      </c>
      <c r="B118" s="907">
        <f>ROUND(0.7275-0.01*B113,4)</f>
        <v>0.70650000000000002</v>
      </c>
      <c r="C118" s="907">
        <f>B118</f>
        <v>0.70650000000000002</v>
      </c>
      <c r="D118" s="907">
        <f>ROUND(0.7043-0.012*B113,4)</f>
        <v>0.67910000000000004</v>
      </c>
      <c r="E118" s="907">
        <f>D118</f>
        <v>0.67910000000000004</v>
      </c>
      <c r="F118" s="907">
        <f>E118</f>
        <v>0.67910000000000004</v>
      </c>
      <c r="G118" s="907">
        <f>ROUND(0.6299-0.0122*B113,4)</f>
        <v>0.60429999999999995</v>
      </c>
      <c r="H118" s="907">
        <f>G118</f>
        <v>0.60429999999999995</v>
      </c>
      <c r="I118" s="907">
        <f>ROUND(0.5667-0.0136*B113,4)</f>
        <v>0.53810000000000002</v>
      </c>
      <c r="J118" s="907">
        <f t="shared" si="34"/>
        <v>0.53810000000000002</v>
      </c>
      <c r="K118" s="907">
        <f t="shared" si="34"/>
        <v>0.53810000000000002</v>
      </c>
      <c r="L118" s="907">
        <f t="shared" si="34"/>
        <v>0.53810000000000002</v>
      </c>
      <c r="M118" s="908">
        <f t="shared" si="34"/>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2782</v>
      </c>
      <c r="B1" s="236"/>
      <c r="C1" s="240" t="s">
        <v>2783</v>
      </c>
      <c r="D1" s="383">
        <f>SUM(D29:D30,D33:D39)</f>
        <v>72746.819999999978</v>
      </c>
      <c r="E1" s="2715"/>
      <c r="F1" s="2715"/>
      <c r="G1" s="2715"/>
      <c r="H1" s="2715"/>
      <c r="I1" s="2715"/>
      <c r="J1" s="2715"/>
      <c r="K1" s="1368"/>
      <c r="L1" s="2716" t="s">
        <v>2784</v>
      </c>
      <c r="M1" s="1078">
        <f>SUMPRODUCT((区片价!B5:B9=I2)*(区片价!C3:F3=E2)*(区片价!C5:F9))</f>
        <v>0</v>
      </c>
      <c r="N1" s="1081">
        <f>SUMPRODUCT((因素修正幅度!B5:B9=I2)*(因素修正幅度!C3:F3=E2)*(因素修正幅度!C5:F9))</f>
        <v>0</v>
      </c>
      <c r="O1" s="2717"/>
      <c r="P1" s="2717"/>
      <c r="Q1" s="1368"/>
      <c r="R1" s="1600" t="s">
        <v>2785</v>
      </c>
      <c r="S1" s="1600" t="s">
        <v>2786</v>
      </c>
      <c r="T1" s="1600" t="s">
        <v>2787</v>
      </c>
      <c r="U1" s="1600" t="s">
        <v>2788</v>
      </c>
      <c r="V1" s="1600" t="s">
        <v>2789</v>
      </c>
      <c r="W1" s="1604"/>
      <c r="X1" s="1604"/>
      <c r="Y1" s="1604"/>
      <c r="Z1" s="1604"/>
      <c r="AA1" s="1604"/>
      <c r="AB1" s="1604"/>
      <c r="AC1" s="1605"/>
      <c r="AD1" s="1606"/>
      <c r="AE1" s="1606"/>
      <c r="AF1" s="1606"/>
      <c r="AG1" s="1606"/>
      <c r="AH1" s="1606"/>
      <c r="AI1" s="1606"/>
      <c r="AJ1" s="1607"/>
    </row>
    <row r="2" spans="1:36" ht="15.75">
      <c r="A2" s="240" t="s">
        <v>2790</v>
      </c>
      <c r="B2" s="243">
        <f ca="1">C26</f>
        <v>57605</v>
      </c>
      <c r="C2" s="2719" t="s">
        <v>2791</v>
      </c>
      <c r="D2" s="2720" t="s">
        <v>2792</v>
      </c>
      <c r="E2" s="2721" t="s">
        <v>27</v>
      </c>
      <c r="F2" s="2720" t="s">
        <v>2793</v>
      </c>
      <c r="G2" s="2722" t="str">
        <f>IF(E2="商业",项目基本情况!B37,IF(E2="办公",项目基本情况!C37,IF(E2="住宅",项目基本情况!D37,项目基本情况!E37)))</f>
        <v>七级</v>
      </c>
      <c r="H2" s="2720" t="s">
        <v>2794</v>
      </c>
      <c r="I2" s="2722" t="str">
        <f>IF(E2="商业",项目基本情况!B38,IF(E2="办公",项目基本情况!C38,IF(E2="住宅",项目基本情况!D38,项目基本情况!E38)))</f>
        <v>Ⅶ-房1</v>
      </c>
      <c r="J2" s="2723"/>
      <c r="K2" s="1368"/>
      <c r="L2" s="2724" t="s">
        <v>2795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17681</v>
      </c>
      <c r="U2" s="1601"/>
      <c r="V2" s="1600">
        <f ca="1">ROUND(T2*U2/10000,0)</f>
        <v>0</v>
      </c>
      <c r="W2" s="1604"/>
      <c r="X2" s="1604"/>
      <c r="Y2" s="1604"/>
      <c r="Z2" s="1604"/>
      <c r="AA2" s="1604"/>
      <c r="AB2" s="1604"/>
      <c r="AC2" s="1605"/>
      <c r="AD2" s="1606"/>
      <c r="AE2" s="1606"/>
      <c r="AF2" s="1606"/>
      <c r="AG2" s="1606"/>
      <c r="AH2" s="1606"/>
      <c r="AI2" s="1606"/>
      <c r="AJ2" s="1607"/>
    </row>
    <row r="3" spans="1:36" ht="25.5">
      <c r="A3" s="242" t="s">
        <v>2796</v>
      </c>
      <c r="B3" s="243">
        <f ca="1">ROUND(B2*10000/D1,0)</f>
        <v>7919</v>
      </c>
      <c r="C3" s="2719" t="s">
        <v>2797</v>
      </c>
      <c r="D3" s="2720" t="s">
        <v>2798</v>
      </c>
      <c r="E3" s="2725" t="s">
        <v>3091</v>
      </c>
      <c r="F3" s="2726" t="s">
        <v>2799</v>
      </c>
      <c r="G3" s="911">
        <f>IF(F3="宗地容积率",'数据-汇总表'!I4,IF(F3="估价对象容积率",'数据-汇总表'!I6,'数据-汇总表'!I7))</f>
        <v>2.1</v>
      </c>
      <c r="H3" s="193" t="s">
        <v>2800</v>
      </c>
      <c r="I3" s="942"/>
      <c r="J3" s="2723" t="s">
        <v>2801</v>
      </c>
      <c r="K3" s="1368"/>
      <c r="L3" s="2724" t="s">
        <v>2802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12692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6"/>
      <c r="B4" s="3257"/>
      <c r="C4" s="3257"/>
      <c r="D4" s="3258"/>
      <c r="E4" s="3258"/>
      <c r="F4" s="3258"/>
      <c r="G4" s="3258"/>
      <c r="H4" s="3258"/>
      <c r="I4" s="3258"/>
      <c r="J4" s="3259"/>
      <c r="K4" s="1368"/>
      <c r="L4" s="2724" t="s">
        <v>2803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10239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2804</v>
      </c>
      <c r="C5" s="912">
        <f>ROUND(IF(E2="商业",IF(F16="增加",C6*C7+C16,C6*C7-C16),IF(E2="住宅",IF(F16="增加",C6*C12+C16,C6*C12-C16),IF(F16="增加",C6+C16,C6-C16))),0)</f>
        <v>7154</v>
      </c>
      <c r="D5" s="1785">
        <f>ROUND(IF(E2="商业",IF(F16="增加",C6+C16,C6-C16)),0)</f>
        <v>0</v>
      </c>
      <c r="E5" s="2729"/>
      <c r="F5" s="2729"/>
      <c r="G5" s="2730"/>
      <c r="H5" s="2730"/>
      <c r="I5" s="2730"/>
      <c r="J5" s="2731"/>
      <c r="K5" s="2732"/>
      <c r="L5" s="2724" t="s">
        <v>2805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8216</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2806</v>
      </c>
      <c r="B6" s="2738" t="s">
        <v>2807</v>
      </c>
      <c r="C6" s="913">
        <f>SUMIF(L1:L12,G2,M1:M12)</f>
        <v>7170</v>
      </c>
      <c r="D6" s="2739" t="s">
        <v>2808</v>
      </c>
      <c r="E6" s="2740"/>
      <c r="F6" s="2740"/>
      <c r="G6" s="2741"/>
      <c r="H6" s="2741"/>
      <c r="I6" s="2741"/>
      <c r="J6" s="2742"/>
      <c r="K6" s="1840"/>
      <c r="L6" s="2724" t="s">
        <v>2809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6996</v>
      </c>
      <c r="U6" s="1601"/>
      <c r="V6" s="1600">
        <f t="shared" ca="1" si="1"/>
        <v>0</v>
      </c>
      <c r="W6" s="1604"/>
      <c r="X6" s="1604"/>
      <c r="Y6" s="1604"/>
      <c r="Z6" s="1604"/>
      <c r="AA6" s="1604"/>
      <c r="AB6" s="1604"/>
      <c r="AC6" s="2733"/>
      <c r="AD6" s="2734"/>
      <c r="AE6" s="2734"/>
      <c r="AF6" s="2734"/>
      <c r="AG6" s="2734"/>
      <c r="AH6" s="2734"/>
      <c r="AI6" s="2734"/>
      <c r="AJ6" s="2735"/>
    </row>
    <row r="7" spans="1:36" ht="24" hidden="1">
      <c r="A7" s="3260" t="str">
        <f>IF(E2="商业",IF(C8="不临58条商业街","",2),"")</f>
        <v/>
      </c>
      <c r="B7" s="2743" t="s">
        <v>2810</v>
      </c>
      <c r="C7" s="914">
        <f>IF(C8="不临58条商业街",1,ROUND(1+(1.6*E8+1.2*E9+0.8*E10+0.4*E11)*C9,4))</f>
        <v>1</v>
      </c>
      <c r="D7" s="2744" t="s">
        <v>2811</v>
      </c>
      <c r="E7" s="943">
        <v>60</v>
      </c>
      <c r="F7" s="2745"/>
      <c r="G7" s="2746"/>
      <c r="H7" s="2746"/>
      <c r="I7" s="2746"/>
      <c r="J7" s="2747"/>
      <c r="K7" s="1840"/>
      <c r="L7" s="2724" t="s">
        <v>2812</v>
      </c>
      <c r="M7" s="1079">
        <f>SUMPRODUCT((区片价!B158:B205=I2)*(区片价!C3:F3=E2)*(区片价!C158:F205))</f>
        <v>7170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6152</v>
      </c>
      <c r="U7" s="1601"/>
      <c r="V7" s="1600">
        <f t="shared" ca="1" si="1"/>
        <v>0</v>
      </c>
      <c r="W7" s="2973" t="s">
        <v>2813</v>
      </c>
      <c r="X7" s="1602" t="str">
        <f>G2</f>
        <v>七级</v>
      </c>
      <c r="Y7" s="1602" t="s">
        <v>2814</v>
      </c>
      <c r="Z7" s="1603">
        <f>G3</f>
        <v>2.1</v>
      </c>
      <c r="AA7" s="1604"/>
      <c r="AB7" s="1604"/>
      <c r="AC7" s="1605"/>
      <c r="AD7" s="1606"/>
      <c r="AE7" s="1606"/>
      <c r="AF7" s="1606"/>
      <c r="AG7" s="1606"/>
      <c r="AH7" s="1606"/>
      <c r="AI7" s="1606"/>
      <c r="AJ7" s="1607"/>
    </row>
    <row r="8" spans="1:36" ht="25.5" hidden="1">
      <c r="A8" s="3261"/>
      <c r="B8" s="193" t="s">
        <v>2815</v>
      </c>
      <c r="C8" s="2748" t="s">
        <v>3092</v>
      </c>
      <c r="D8" s="915" t="s">
        <v>139</v>
      </c>
      <c r="E8" s="916">
        <f>ROUND(C11/E7,4)</f>
        <v>0</v>
      </c>
      <c r="F8" s="2749" t="s">
        <v>2816</v>
      </c>
      <c r="G8" s="2750"/>
      <c r="H8" s="2750"/>
      <c r="I8" s="2750"/>
      <c r="J8" s="2751"/>
      <c r="K8" s="1368"/>
      <c r="L8" s="2724" t="s">
        <v>2817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53" t="s">
        <v>2818</v>
      </c>
      <c r="X8" s="3254"/>
      <c r="Y8" s="1608" t="s">
        <v>2819</v>
      </c>
      <c r="Z8" s="1608" t="s">
        <v>2820</v>
      </c>
      <c r="AA8" s="1608" t="s">
        <v>2821</v>
      </c>
      <c r="AB8" s="1608" t="s">
        <v>2822</v>
      </c>
      <c r="AC8" s="1608" t="s">
        <v>2823</v>
      </c>
      <c r="AD8" s="1608" t="s">
        <v>2824</v>
      </c>
      <c r="AE8" s="1608" t="s">
        <v>2825</v>
      </c>
      <c r="AF8" s="1608" t="s">
        <v>2826</v>
      </c>
      <c r="AG8" s="1608" t="s">
        <v>2827</v>
      </c>
      <c r="AH8" s="1608" t="s">
        <v>2828</v>
      </c>
      <c r="AI8" s="1608" t="s">
        <v>2829</v>
      </c>
      <c r="AJ8" s="1608" t="s">
        <v>2830</v>
      </c>
    </row>
    <row r="9" spans="1:36" ht="15" hidden="1">
      <c r="A9" s="3261"/>
      <c r="B9" s="193" t="s">
        <v>2831</v>
      </c>
      <c r="C9" s="917">
        <f>SUMIF(修正!C59:C119,C8,修正!E59:E119)</f>
        <v>0</v>
      </c>
      <c r="D9" s="195" t="s">
        <v>140</v>
      </c>
      <c r="E9" s="195">
        <f>ROUND(C11/E7,4)</f>
        <v>0</v>
      </c>
      <c r="F9" s="2749" t="s">
        <v>2832</v>
      </c>
      <c r="G9" s="2750"/>
      <c r="H9" s="2750"/>
      <c r="I9" s="2750"/>
      <c r="J9" s="2751"/>
      <c r="K9" s="1368"/>
      <c r="L9" s="2724" t="s">
        <v>2833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55" t="s">
        <v>2834</v>
      </c>
      <c r="X9" s="1609" t="s">
        <v>2835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61"/>
      <c r="B10" s="193" t="s">
        <v>2836</v>
      </c>
      <c r="C10" s="195">
        <f>SUMIF(修正!C59:C119,C8,修正!F59:F119)</f>
        <v>0</v>
      </c>
      <c r="D10" s="195" t="s">
        <v>141</v>
      </c>
      <c r="E10" s="195">
        <f>ROUND(C11/E7,4)</f>
        <v>0</v>
      </c>
      <c r="F10" s="2749" t="s">
        <v>2837</v>
      </c>
      <c r="G10" s="2750"/>
      <c r="H10" s="2750"/>
      <c r="I10" s="2750"/>
      <c r="J10" s="2751"/>
      <c r="K10" s="1368"/>
      <c r="L10" s="2724" t="s">
        <v>2838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5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61"/>
      <c r="B11" s="2752" t="s">
        <v>2839</v>
      </c>
      <c r="C11" s="918">
        <f>C10/4</f>
        <v>0</v>
      </c>
      <c r="D11" s="918" t="s">
        <v>142</v>
      </c>
      <c r="E11" s="918">
        <f>ROUND(C11/E7,4)</f>
        <v>0</v>
      </c>
      <c r="F11" s="2753" t="s">
        <v>2840</v>
      </c>
      <c r="G11" s="2754"/>
      <c r="H11" s="2754"/>
      <c r="I11" s="2754"/>
      <c r="J11" s="2755"/>
      <c r="K11" s="1368"/>
      <c r="L11" s="2724" t="s">
        <v>2841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55" t="s">
        <v>2842</v>
      </c>
      <c r="X11" s="1612" t="s">
        <v>2814</v>
      </c>
      <c r="Y11" s="1613">
        <f>$G$3</f>
        <v>2.1</v>
      </c>
      <c r="Z11" s="1613">
        <f t="shared" ref="Z11:AJ11" si="3">$G$3</f>
        <v>2.1</v>
      </c>
      <c r="AA11" s="1613">
        <f t="shared" si="3"/>
        <v>2.1</v>
      </c>
      <c r="AB11" s="1613">
        <f t="shared" si="3"/>
        <v>2.1</v>
      </c>
      <c r="AC11" s="1613">
        <f t="shared" si="3"/>
        <v>2.1</v>
      </c>
      <c r="AD11" s="1613">
        <f t="shared" si="3"/>
        <v>2.1</v>
      </c>
      <c r="AE11" s="1613">
        <f t="shared" si="3"/>
        <v>2.1</v>
      </c>
      <c r="AF11" s="1613">
        <f t="shared" si="3"/>
        <v>2.1</v>
      </c>
      <c r="AG11" s="1613">
        <f t="shared" si="3"/>
        <v>2.1</v>
      </c>
      <c r="AH11" s="1613">
        <f t="shared" si="3"/>
        <v>2.1</v>
      </c>
      <c r="AI11" s="1613">
        <f t="shared" si="3"/>
        <v>2.1</v>
      </c>
      <c r="AJ11" s="1613">
        <f t="shared" si="3"/>
        <v>2.1</v>
      </c>
    </row>
    <row r="12" spans="1:36" ht="25.5" hidden="1" thickBot="1">
      <c r="A12" s="3260" t="s">
        <v>2844</v>
      </c>
      <c r="B12" s="2756" t="s">
        <v>2845</v>
      </c>
      <c r="C12" s="914">
        <f>ROUND(C15*D15*E15*F15*G15*H15*I15*J15,4)</f>
        <v>1</v>
      </c>
      <c r="D12" s="2757" t="s">
        <v>2846</v>
      </c>
      <c r="E12" s="2758"/>
      <c r="F12" s="2758"/>
      <c r="G12" s="2759"/>
      <c r="H12" s="2759"/>
      <c r="I12" s="2759"/>
      <c r="J12" s="2760"/>
      <c r="K12" s="1368"/>
      <c r="L12" s="2761" t="s">
        <v>2847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55"/>
      <c r="X12" s="1614" t="s">
        <v>2848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62"/>
      <c r="B13" s="2762" t="s">
        <v>2849</v>
      </c>
      <c r="C13" s="2763" t="s">
        <v>2850</v>
      </c>
      <c r="D13" s="2966" t="s">
        <v>2851</v>
      </c>
      <c r="E13" s="2966" t="s">
        <v>2852</v>
      </c>
      <c r="F13" s="30" t="s">
        <v>2853</v>
      </c>
      <c r="G13" s="2764" t="s">
        <v>2854</v>
      </c>
      <c r="H13" s="2764" t="s">
        <v>2854</v>
      </c>
      <c r="I13" s="2764" t="s">
        <v>2854</v>
      </c>
      <c r="J13" s="2765" t="s">
        <v>2854</v>
      </c>
      <c r="K13" s="1368"/>
      <c r="L13" s="1368"/>
      <c r="M13" s="1368"/>
      <c r="N13" s="1368"/>
      <c r="O13" s="1368"/>
      <c r="P13" s="1368"/>
      <c r="Q13" s="1368"/>
      <c r="R13" s="1600">
        <v>12</v>
      </c>
      <c r="S13" s="1601"/>
      <c r="T13" s="1600">
        <f t="shared" ca="1" si="0"/>
        <v>0</v>
      </c>
      <c r="U13" s="1601"/>
      <c r="V13" s="1600">
        <f t="shared" ca="1" si="1"/>
        <v>0</v>
      </c>
      <c r="W13" s="3255"/>
      <c r="X13" s="1614"/>
      <c r="Y13" s="1611">
        <f>(-0.163*(Y12^2)-0.59*Y12+7617)*(10^(-4))/Y11</f>
        <v>0.36271428571428571</v>
      </c>
      <c r="Z13" s="1611">
        <f t="shared" ref="Z13:AJ13" si="5">(-0.163*(Z12^2)-0.59*Z12+7617)*(10^(-4))/Z11</f>
        <v>0.36271428571428571</v>
      </c>
      <c r="AA13" s="1611">
        <f t="shared" si="5"/>
        <v>0.36271428571428571</v>
      </c>
      <c r="AB13" s="1611">
        <f t="shared" si="5"/>
        <v>0.36271428571428571</v>
      </c>
      <c r="AC13" s="1611">
        <f t="shared" si="5"/>
        <v>0.36271428571428571</v>
      </c>
      <c r="AD13" s="1611">
        <f t="shared" si="5"/>
        <v>0.36271428571428571</v>
      </c>
      <c r="AE13" s="1611">
        <f t="shared" si="5"/>
        <v>0.36271428571428571</v>
      </c>
      <c r="AF13" s="1611">
        <f t="shared" si="5"/>
        <v>0.36271428571428571</v>
      </c>
      <c r="AG13" s="1611">
        <f t="shared" si="5"/>
        <v>0.36271428571428571</v>
      </c>
      <c r="AH13" s="1611">
        <f t="shared" si="5"/>
        <v>0.36271428571428571</v>
      </c>
      <c r="AI13" s="1611">
        <f t="shared" si="5"/>
        <v>0.36271428571428571</v>
      </c>
      <c r="AJ13" s="1611">
        <f t="shared" si="5"/>
        <v>0.36271428571428571</v>
      </c>
    </row>
    <row r="14" spans="1:36" ht="15" hidden="1">
      <c r="A14" s="3262"/>
      <c r="B14" s="2766"/>
      <c r="C14" s="2767"/>
      <c r="D14" s="2768"/>
      <c r="E14" s="2768"/>
      <c r="F14" s="2769"/>
      <c r="G14" s="2770" t="s">
        <v>2855</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63"/>
      <c r="B15" s="2774" t="s">
        <v>2856</v>
      </c>
      <c r="C15" s="224">
        <f>IF(C14="有",1.1,1)</f>
        <v>1</v>
      </c>
      <c r="D15" s="224">
        <f>IF(D14="有",1.1,1)</f>
        <v>1</v>
      </c>
      <c r="E15" s="224">
        <f>IF(E14="有",1.1,1)</f>
        <v>1</v>
      </c>
      <c r="F15" s="224">
        <f>IF(F14="500米范围内",1.2,IF(F14="500-1000米",1.1,1))</f>
        <v>1</v>
      </c>
      <c r="G15" s="944">
        <v>1</v>
      </c>
      <c r="H15" s="944">
        <v>1</v>
      </c>
      <c r="I15" s="944">
        <v>1</v>
      </c>
      <c r="J15" s="945">
        <v>1</v>
      </c>
      <c r="K15" s="1368"/>
      <c r="L15" s="2775" t="s">
        <v>2792</v>
      </c>
      <c r="M15" s="915" t="s">
        <v>2857</v>
      </c>
      <c r="N15" s="915" t="s">
        <v>2858</v>
      </c>
      <c r="O15" s="915" t="s">
        <v>2859</v>
      </c>
      <c r="P15" s="2776" t="s">
        <v>2860</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0" t="s">
        <v>2861</v>
      </c>
      <c r="B16" s="2743" t="s">
        <v>2862</v>
      </c>
      <c r="C16" s="2967">
        <f>ROUND(SUM(G17:J17)/C17,0)</f>
        <v>16</v>
      </c>
      <c r="D16" s="2777" t="s">
        <v>2863</v>
      </c>
      <c r="E16" s="2778" t="s">
        <v>3094</v>
      </c>
      <c r="F16" s="2779" t="s">
        <v>3095</v>
      </c>
      <c r="G16" s="2780" t="s">
        <v>3050</v>
      </c>
      <c r="H16" s="2780"/>
      <c r="I16" s="2780"/>
      <c r="J16" s="2781"/>
      <c r="K16" s="1368"/>
      <c r="L16" s="2782" t="s">
        <v>2864</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1"/>
      <c r="B17" s="2783" t="s">
        <v>2865</v>
      </c>
      <c r="C17" s="919">
        <f>SUMPRODUCT((修正!A2:A5=E2)*(修正!B1:M1=G2)*(修正!B2:M5))</f>
        <v>2.5</v>
      </c>
      <c r="D17" s="2784" t="s">
        <v>2866</v>
      </c>
      <c r="E17" s="918" t="str">
        <f>IF(OR(G2="八级",G2="九级",G2="十级",G2="十一级",G2="十二级"),"五通一平","七通一平")</f>
        <v>七通一平</v>
      </c>
      <c r="F17" s="919" t="s">
        <v>2867</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2868</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2869</v>
      </c>
      <c r="C18" s="921">
        <f>SUMIF(修正!C18:C39,E3,修正!E18:E39)</f>
        <v>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2870</v>
      </c>
      <c r="C19" s="922">
        <f>ROUND(IF(H19="按公示增长率计算",SUMPRODUCT((地价!A3:A23=YEAR(G19)&amp;"-"&amp;ROUNDUP(MONTH(G19)/3,0))*(地价!X2:AB2=E2)*(地价!X3:AB23)),IF(H19="地价指数",M20/M19,(1+I19)^O19)),4)</f>
        <v>1.3052999999999999</v>
      </c>
      <c r="D19" s="2795" t="s">
        <v>2871</v>
      </c>
      <c r="E19" s="923">
        <v>41640</v>
      </c>
      <c r="F19" s="2795" t="s">
        <v>2872</v>
      </c>
      <c r="G19" s="924">
        <f>'数据-取费表'!B2</f>
        <v>43318</v>
      </c>
      <c r="H19" s="2796" t="s">
        <v>3096</v>
      </c>
      <c r="I19" s="925" t="str">
        <f>IF(H19="季度增幅（自定义）",SUMIF(N21:N24,E2,O21:O24),"")</f>
        <v/>
      </c>
      <c r="J19" s="2793"/>
      <c r="K19" s="1375"/>
      <c r="L19" s="2797" t="s">
        <v>2873</v>
      </c>
      <c r="M19" s="1732">
        <f>ROUND(SUMIF(地价!B2:F2,E2,地价!B23:F23),0)</f>
        <v>258</v>
      </c>
      <c r="N19" s="2798" t="s">
        <v>2874</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2875</v>
      </c>
      <c r="C20" s="927">
        <f ca="1">ROUND(POWER(1+G20,J20-I20)*(POWER(1+G20,I20)-1)/(POWER(1+G20,J20)-1),4)</f>
        <v>0.97589999999999999</v>
      </c>
      <c r="D20" s="2804" t="s">
        <v>2876</v>
      </c>
      <c r="E20" s="1766">
        <f ca="1">存贷款利率!D4/100</f>
        <v>4.3499999999999997E-2</v>
      </c>
      <c r="F20" s="2804" t="s">
        <v>2868</v>
      </c>
      <c r="G20" s="932">
        <f ca="1">SUMIF(M15:P15,E2,M17:P17)</f>
        <v>5.1999999999999998E-2</v>
      </c>
      <c r="H20" s="2804" t="s">
        <v>2877</v>
      </c>
      <c r="I20" s="933">
        <f>SUMIF('数据-取费表'!C6:C15,E2,'数据-取费表'!F6:F15)/COUNTIF('数据-取费表'!C6:C15,E2)</f>
        <v>45.13</v>
      </c>
      <c r="J20" s="934">
        <f>IF(E2="住宅",70,IF(E2="商业",40,50))</f>
        <v>50</v>
      </c>
      <c r="K20" s="1375"/>
      <c r="L20" s="2805" t="s">
        <v>2878</v>
      </c>
      <c r="M20" s="1733">
        <f>ROUND(SUMPRODUCT((地价!A4:A23=YEAR(G19)&amp;"-"&amp;ROUNDUP(MONTH(G19)/3,0))*(地价!B2:F2=E2)*(地价!B4:F23)),0)</f>
        <v>336</v>
      </c>
      <c r="N20" s="2806" t="s">
        <v>2879</v>
      </c>
      <c r="O20" s="2807" t="s">
        <v>2880</v>
      </c>
      <c r="P20" s="2808" t="s">
        <v>2881</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3093</v>
      </c>
      <c r="C21" s="2969">
        <f>IF(B21="容积率修正",IF(G3&lt;=10,D22,J22),C23)</f>
        <v>1.0571999999999999</v>
      </c>
      <c r="D21" s="2811"/>
      <c r="E21" s="2811"/>
      <c r="F21" s="2811"/>
      <c r="G21" s="2811"/>
      <c r="H21" s="2811"/>
      <c r="I21" s="2811"/>
      <c r="J21" s="2812"/>
      <c r="K21" s="1375"/>
      <c r="N21" s="2813" t="s">
        <v>2882</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2883</v>
      </c>
      <c r="B22" s="2814" t="s">
        <v>2884</v>
      </c>
      <c r="C22" s="2968" t="s">
        <v>2885</v>
      </c>
      <c r="D22" s="2968">
        <f>IF(E22=G22,F22,IF(G3&lt;=10,ROUND(F22+(H22-F22)*(G3-E22)/(G22-E22),4),"——"))</f>
        <v>1.0571999999999999</v>
      </c>
      <c r="E22" s="911">
        <f>ROUNDDOWN(G3,1)</f>
        <v>2.1</v>
      </c>
      <c r="F22" s="2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1">
        <f>ROUNDUP(G3,1)</f>
        <v>2.1</v>
      </c>
      <c r="H22" s="2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68" t="s">
        <v>155</v>
      </c>
      <c r="J22" s="936" t="str">
        <f>IF(G3&gt;10,D113,"——")</f>
        <v>——</v>
      </c>
      <c r="K22" s="1375"/>
      <c r="N22" s="2813" t="s">
        <v>2886</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2887</v>
      </c>
      <c r="B23" s="2815" t="s">
        <v>2888</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2889</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2890</v>
      </c>
      <c r="C24" s="922">
        <f>SUMIF(A45:A88,E2,B45:B88)</f>
        <v>1.0415000000000001</v>
      </c>
      <c r="D24" s="2791"/>
      <c r="E24" s="2821"/>
      <c r="F24" s="2821"/>
      <c r="G24" s="2821"/>
      <c r="H24" s="2821"/>
      <c r="I24" s="2821"/>
      <c r="J24" s="2822"/>
      <c r="K24" s="1375"/>
      <c r="N24" s="2823" t="s">
        <v>2891</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2892</v>
      </c>
      <c r="C25" s="928"/>
      <c r="D25" s="2746"/>
      <c r="E25" s="2746"/>
      <c r="F25" s="2825"/>
      <c r="G25" s="2746"/>
      <c r="H25" s="2746"/>
      <c r="I25" s="2746"/>
      <c r="J25" s="2747"/>
      <c r="K25" s="1368"/>
      <c r="N25" s="2826" t="s">
        <v>2893</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2894</v>
      </c>
      <c r="C26" s="201">
        <f ca="1">E29+SUM(E33:E39)</f>
        <v>57605</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2895</v>
      </c>
      <c r="C27" s="929">
        <f ca="1">E30+SUM(I33:I39)</f>
        <v>898</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2896</v>
      </c>
      <c r="C28" s="2838" t="s">
        <v>2897</v>
      </c>
      <c r="D28" s="2838" t="s">
        <v>2898</v>
      </c>
      <c r="E28" s="2839" t="s">
        <v>2899</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2900</v>
      </c>
      <c r="C29" s="201">
        <f ca="1">ROUND(C5*C18*C19*C20*C21*C24,0)</f>
        <v>10034</v>
      </c>
      <c r="D29" s="2843">
        <f>面积!M12</f>
        <v>53832.429999999986</v>
      </c>
      <c r="E29" s="2972">
        <f ca="1">ROUND(C29*D29/10000,0)</f>
        <v>54015</v>
      </c>
      <c r="F29" s="2844" t="s">
        <v>2901</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2902</v>
      </c>
      <c r="C30" s="224">
        <f ca="1">ROUND(IF(E2="工业",C29*M39,C29*M38),0)</f>
        <v>2509</v>
      </c>
      <c r="D30" s="2849"/>
      <c r="E30" s="2972">
        <f ca="1">ROUND(C30*D30/10000,0)</f>
        <v>0</v>
      </c>
      <c r="F30" s="2850" t="s">
        <v>2903</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2904</v>
      </c>
      <c r="C31" s="2855" t="s">
        <v>2905</v>
      </c>
      <c r="D31" s="2759"/>
      <c r="E31" s="2855"/>
      <c r="F31" s="2855"/>
      <c r="G31" s="2757" t="s">
        <v>2906</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2897</v>
      </c>
      <c r="D32" s="493" t="s">
        <v>2898</v>
      </c>
      <c r="E32" s="493" t="s">
        <v>2899</v>
      </c>
      <c r="F32" s="383" t="s">
        <v>2907</v>
      </c>
      <c r="G32" s="2858" t="s">
        <v>2897</v>
      </c>
      <c r="H32" s="2858" t="s">
        <v>2898</v>
      </c>
      <c r="I32" s="2858" t="s">
        <v>2899</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270" t="s">
        <v>2908</v>
      </c>
      <c r="B33" s="2859" t="s">
        <v>2909</v>
      </c>
      <c r="C33" s="201">
        <f ca="1">ROUND(D5*C19*C20*C24*F33,0)</f>
        <v>0</v>
      </c>
      <c r="D33" s="2843"/>
      <c r="E33" s="195">
        <f ca="1">ROUND(C33*D33/10000,0)</f>
        <v>0</v>
      </c>
      <c r="F33" s="195">
        <f>SUMIF(修正!A45:A56,G2,修正!B45:B56)</f>
        <v>0.7</v>
      </c>
      <c r="G33" s="195">
        <f t="shared" ref="G33" ca="1" si="6">ROUND(IF(E2="工业",C33*$M$39,C33*$M$38),0)</f>
        <v>0</v>
      </c>
      <c r="H33" s="195">
        <f>D33</f>
        <v>0</v>
      </c>
      <c r="I33" s="195">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1"/>
      <c r="B34" s="2763" t="s">
        <v>2910</v>
      </c>
      <c r="C34" s="201">
        <f ca="1">ROUND(D5*C19*C20*C24*F34,0)</f>
        <v>0</v>
      </c>
      <c r="D34" s="2843"/>
      <c r="E34" s="195">
        <f t="shared" ref="E34:E39" ca="1" si="7">ROUND(C34*D34/10000,0)</f>
        <v>0</v>
      </c>
      <c r="F34" s="195">
        <f>SUMIF(修正!A45:A56,G2,修正!C45:C56)</f>
        <v>0.4</v>
      </c>
      <c r="G34" s="195">
        <f ca="1">ROUND(IF(E2="工业",C34*$M$39,C34*$M$38),0)</f>
        <v>0</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3" t="s">
        <v>2911</v>
      </c>
      <c r="C35" s="201">
        <f ca="1">ROUND(D5*C19*C20*C24*F35,0)</f>
        <v>0</v>
      </c>
      <c r="D35" s="2843"/>
      <c r="E35" s="195">
        <f t="shared" ca="1" si="7"/>
        <v>0</v>
      </c>
      <c r="F35" s="195">
        <f>SUMIF(修正!A45:A56,G2,修正!D45:D56)</f>
        <v>0.28000000000000003</v>
      </c>
      <c r="G35" s="195">
        <f ca="1">ROUND(IF(E2="工业",C35*$M$39,C35*$M$38),0)</f>
        <v>0</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72"/>
      <c r="B36" s="2763" t="s">
        <v>2912</v>
      </c>
      <c r="C36" s="201">
        <f ca="1">ROUND(D5*C19*C20*C24*F36,0)</f>
        <v>0</v>
      </c>
      <c r="D36" s="2843"/>
      <c r="E36" s="195">
        <f t="shared" ca="1" si="7"/>
        <v>0</v>
      </c>
      <c r="F36" s="195">
        <f>SUMIF(修正!A45:A56,G2,修正!E45:E56)</f>
        <v>0.25</v>
      </c>
      <c r="G36" s="195">
        <f ca="1">ROUND(IF(E2="工业",C36*$M$39,C36*$M$38),0)</f>
        <v>0</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2913</v>
      </c>
      <c r="C37" s="195">
        <f ca="1">ROUND(C5*C19*C20*C24*F37,0)</f>
        <v>2373</v>
      </c>
      <c r="D37" s="2843"/>
      <c r="E37" s="195">
        <f t="shared" ca="1" si="7"/>
        <v>0</v>
      </c>
      <c r="F37" s="201">
        <f>SUMIF(修正!A45:A56,G2,修正!F45:F56)</f>
        <v>0.25</v>
      </c>
      <c r="G37" s="195">
        <f ca="1">ROUND(IF(E2="工业",C37*$M$39,C37*$M$38),0)</f>
        <v>593</v>
      </c>
      <c r="H37" s="195">
        <f t="shared" si="8"/>
        <v>0</v>
      </c>
      <c r="I37" s="195">
        <f t="shared" ca="1" si="9"/>
        <v>0</v>
      </c>
      <c r="J37" s="2860"/>
      <c r="K37" s="1368"/>
      <c r="L37" s="2862" t="s">
        <v>2914</v>
      </c>
      <c r="M37" s="2863"/>
      <c r="N37" s="1368"/>
      <c r="O37" s="1368"/>
      <c r="P37" s="1368"/>
      <c r="Q37" s="1368"/>
      <c r="R37" s="1368"/>
      <c r="S37" s="1368"/>
      <c r="T37" s="1368"/>
      <c r="U37" s="1368"/>
      <c r="V37" s="1368"/>
      <c r="W37" s="1368"/>
      <c r="X37" s="1368"/>
      <c r="Y37" s="1368"/>
      <c r="Z37" s="1369"/>
    </row>
    <row r="38" spans="1:37">
      <c r="A38" s="2861"/>
      <c r="B38" s="2763" t="s">
        <v>2915</v>
      </c>
      <c r="C38" s="195">
        <f ca="1">ROUND(C5*C19*C20*C24*F38,0)</f>
        <v>2373</v>
      </c>
      <c r="D38" s="2843"/>
      <c r="E38" s="195">
        <f t="shared" ca="1" si="7"/>
        <v>0</v>
      </c>
      <c r="F38" s="201">
        <f>SUMIF(修正!A45:A56,G2,修正!G45:G56)</f>
        <v>0.25</v>
      </c>
      <c r="G38" s="195">
        <f ca="1">ROUND(IF(E2="工业",C38*$M$39,C38*$M$38),0)</f>
        <v>593</v>
      </c>
      <c r="H38" s="195">
        <f t="shared" si="8"/>
        <v>0</v>
      </c>
      <c r="I38" s="195">
        <f t="shared" ca="1" si="9"/>
        <v>0</v>
      </c>
      <c r="J38" s="2860"/>
      <c r="K38" s="1368"/>
      <c r="L38" s="1885" t="s">
        <v>2916</v>
      </c>
      <c r="M38" s="2864">
        <v>0.25</v>
      </c>
      <c r="N38" s="1368"/>
      <c r="O38" s="1368"/>
      <c r="P38" s="1368"/>
      <c r="Q38" s="1368"/>
      <c r="R38" s="1368"/>
      <c r="S38" s="1368"/>
      <c r="T38" s="1368"/>
      <c r="U38" s="1368"/>
      <c r="V38" s="1368"/>
      <c r="W38" s="1368"/>
      <c r="X38" s="1368"/>
      <c r="Y38" s="1368"/>
      <c r="Z38" s="1369"/>
    </row>
    <row r="39" spans="1:37" ht="13.5" thickBot="1">
      <c r="A39" s="2847"/>
      <c r="B39" s="2865" t="s">
        <v>2917</v>
      </c>
      <c r="C39" s="224">
        <f ca="1">ROUND(C5*C19*C20*C24*F39,0)</f>
        <v>1898</v>
      </c>
      <c r="D39" s="2996">
        <f>面积!D30</f>
        <v>18914.39</v>
      </c>
      <c r="E39" s="224">
        <f t="shared" ca="1" si="7"/>
        <v>3590</v>
      </c>
      <c r="F39" s="930">
        <f>SUMIF(修正!A45:A56,G2,修正!H45:H56)</f>
        <v>0.2</v>
      </c>
      <c r="G39" s="224">
        <f ca="1">ROUND(IF(E2="工业",C39*$M$39,C39*$M$38),0)</f>
        <v>475</v>
      </c>
      <c r="H39" s="224">
        <f t="shared" si="8"/>
        <v>18914.39</v>
      </c>
      <c r="I39" s="224">
        <f t="shared" ca="1" si="9"/>
        <v>898</v>
      </c>
      <c r="J39" s="2866"/>
      <c r="K39" s="1368"/>
      <c r="L39" s="2867" t="s">
        <v>2860</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2918</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2919</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2920</v>
      </c>
      <c r="B47" s="2965" t="s">
        <v>2921</v>
      </c>
      <c r="C47" s="2965" t="s">
        <v>2922</v>
      </c>
      <c r="D47" s="2965" t="s">
        <v>2923</v>
      </c>
      <c r="E47" s="814" t="s">
        <v>2924</v>
      </c>
      <c r="F47" s="2877" t="s">
        <v>2925</v>
      </c>
      <c r="G47" s="2965" t="s">
        <v>754</v>
      </c>
      <c r="H47" s="2878" t="s">
        <v>2926</v>
      </c>
      <c r="I47" s="2965" t="s">
        <v>2927</v>
      </c>
      <c r="J47" s="598" t="s">
        <v>2575</v>
      </c>
      <c r="K47" s="598" t="s">
        <v>2576</v>
      </c>
      <c r="L47" s="598" t="s">
        <v>2577</v>
      </c>
      <c r="M47" s="598" t="s">
        <v>2578</v>
      </c>
      <c r="N47" s="598" t="s">
        <v>2579</v>
      </c>
      <c r="AA47" s="1369"/>
      <c r="AB47" s="1369"/>
      <c r="AC47" s="1369"/>
      <c r="AD47" s="1369"/>
      <c r="AE47" s="1369"/>
      <c r="AF47" s="1369"/>
      <c r="AG47" s="1369"/>
      <c r="AH47" s="1369"/>
      <c r="AI47" s="1369"/>
      <c r="AJ47" s="1369"/>
      <c r="AK47" s="1369"/>
    </row>
    <row r="48" spans="1:37" s="1368" customFormat="1" ht="24.75">
      <c r="A48" s="2876" t="s">
        <v>2928</v>
      </c>
      <c r="B48" s="2879">
        <f>估价对象房地状况!C4</f>
        <v>0</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2929</v>
      </c>
      <c r="B49" s="2880">
        <f>估价对象房地状况!C18</f>
        <v>0</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2930</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2931</v>
      </c>
      <c r="B51" s="2881" t="s">
        <v>2932</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2933</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2934</v>
      </c>
      <c r="B53" s="2882" t="s">
        <v>2935</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2936</v>
      </c>
      <c r="B54" s="1723">
        <f>估价对象房地状况!C21</f>
        <v>0</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2937</v>
      </c>
      <c r="B55" s="2880">
        <f>估价对象房地状况!C22</f>
        <v>0</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2938</v>
      </c>
      <c r="B56" s="2885">
        <f>估价对象房地状况!C20</f>
        <v>0</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2939</v>
      </c>
      <c r="B57" s="2873">
        <f>1+E59</f>
        <v>1.0415000000000001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2920</v>
      </c>
      <c r="B58" s="2965"/>
      <c r="C58" s="2965" t="s">
        <v>2922</v>
      </c>
      <c r="D58" s="2965" t="s">
        <v>2923</v>
      </c>
      <c r="E58" s="814" t="s">
        <v>2924</v>
      </c>
      <c r="F58" s="2877" t="s">
        <v>2940</v>
      </c>
      <c r="G58" s="2965" t="s">
        <v>754</v>
      </c>
      <c r="H58" s="2878" t="s">
        <v>2926</v>
      </c>
      <c r="I58" s="2965" t="s">
        <v>2927</v>
      </c>
      <c r="J58" s="598" t="s">
        <v>2575</v>
      </c>
      <c r="K58" s="598" t="s">
        <v>2576</v>
      </c>
      <c r="L58" s="598" t="s">
        <v>2577</v>
      </c>
      <c r="M58" s="598" t="s">
        <v>2578</v>
      </c>
      <c r="N58" s="598" t="s">
        <v>2579</v>
      </c>
      <c r="AA58" s="1369"/>
      <c r="AB58" s="1369"/>
      <c r="AC58" s="1369"/>
      <c r="AD58" s="1369"/>
      <c r="AE58" s="1369"/>
      <c r="AF58" s="1369"/>
      <c r="AG58" s="1369"/>
      <c r="AH58" s="1369"/>
      <c r="AI58" s="1369"/>
      <c r="AJ58" s="1369"/>
      <c r="AK58" s="1369"/>
    </row>
    <row r="59" spans="1:37" s="1368" customFormat="1" ht="24">
      <c r="A59" s="2876" t="s">
        <v>2941</v>
      </c>
      <c r="B59" s="2879">
        <f>估价对象房地状况!C17</f>
        <v>0</v>
      </c>
      <c r="C59" s="2768" t="s">
        <v>3112</v>
      </c>
      <c r="D59" s="1284">
        <f t="shared" ref="D59:D67" si="15">SUMIF($J$58:$N$58,C59,J59:N59)</f>
        <v>0</v>
      </c>
      <c r="E59" s="816">
        <f>ROUND(SUM(D59:D67),4)</f>
        <v>4.1500000000000002E-2</v>
      </c>
      <c r="F59" s="2499">
        <f>IF(E2="办公",SUMIF(L1:L12,G2,N1:N12),"——")</f>
        <v>0.13</v>
      </c>
      <c r="G59" s="1282">
        <f>H59</f>
        <v>1.5599999999999999E-2</v>
      </c>
      <c r="H59" s="1286">
        <f t="shared" ref="H59:H67" si="16">IFERROR(ROUNDDOWN($F$59*I59/2,4),"——")</f>
        <v>1.5599999999999999E-2</v>
      </c>
      <c r="I59" s="815">
        <v>0.24</v>
      </c>
      <c r="J59" s="1283">
        <f t="shared" ref="J59:J67" si="17">K59+$G59</f>
        <v>3.1199999999999999E-2</v>
      </c>
      <c r="K59" s="1283">
        <f t="shared" ref="K59:K67" si="18">$L59+$G59</f>
        <v>1.5599999999999999E-2</v>
      </c>
      <c r="L59" s="1283">
        <v>0</v>
      </c>
      <c r="M59" s="1283">
        <f t="shared" ref="M59:N67" si="19">L59-$G59</f>
        <v>-1.5599999999999999E-2</v>
      </c>
      <c r="N59" s="1283">
        <f t="shared" si="19"/>
        <v>-3.1199999999999999E-2</v>
      </c>
      <c r="AA59" s="1369"/>
      <c r="AB59" s="1369"/>
      <c r="AC59" s="1369"/>
      <c r="AD59" s="1369"/>
      <c r="AE59" s="1369"/>
      <c r="AF59" s="1369"/>
      <c r="AG59" s="1369"/>
      <c r="AH59" s="1369"/>
      <c r="AI59" s="1369"/>
      <c r="AJ59" s="1369"/>
      <c r="AK59" s="1369"/>
    </row>
    <row r="60" spans="1:37" s="1368" customFormat="1" ht="14.25">
      <c r="A60" s="2876" t="s">
        <v>2929</v>
      </c>
      <c r="B60" s="2880">
        <f>估价对象房地状况!C18</f>
        <v>0</v>
      </c>
      <c r="C60" s="2768" t="s">
        <v>3113</v>
      </c>
      <c r="D60" s="1284">
        <f t="shared" si="15"/>
        <v>1.95E-2</v>
      </c>
      <c r="E60" s="817"/>
      <c r="F60" s="2499"/>
      <c r="G60" s="1282">
        <f t="shared" ref="G60:G67" si="20">H60</f>
        <v>1.95E-2</v>
      </c>
      <c r="H60" s="1286">
        <f t="shared" si="16"/>
        <v>1.95E-2</v>
      </c>
      <c r="I60" s="815">
        <v>0.3</v>
      </c>
      <c r="J60" s="1283">
        <f t="shared" si="17"/>
        <v>3.9E-2</v>
      </c>
      <c r="K60" s="1283">
        <f t="shared" si="18"/>
        <v>1.95E-2</v>
      </c>
      <c r="L60" s="1283">
        <v>0</v>
      </c>
      <c r="M60" s="1283">
        <f t="shared" si="19"/>
        <v>-1.95E-2</v>
      </c>
      <c r="N60" s="1283">
        <f t="shared" si="19"/>
        <v>-3.9E-2</v>
      </c>
      <c r="AA60" s="1369"/>
      <c r="AB60" s="1369"/>
      <c r="AC60" s="1369"/>
      <c r="AD60" s="1369"/>
      <c r="AE60" s="1369"/>
      <c r="AF60" s="1369"/>
      <c r="AG60" s="1369"/>
      <c r="AH60" s="1369"/>
      <c r="AI60" s="1369"/>
      <c r="AJ60" s="1369"/>
      <c r="AK60" s="1369"/>
    </row>
    <row r="61" spans="1:37" s="1368" customFormat="1" ht="24">
      <c r="A61" s="2876" t="s">
        <v>2930</v>
      </c>
      <c r="B61" s="2880">
        <f>估价对象房地状况!C19</f>
        <v>0</v>
      </c>
      <c r="C61" s="2768" t="s">
        <v>3113</v>
      </c>
      <c r="D61" s="1284">
        <f t="shared" si="15"/>
        <v>5.1999999999999998E-3</v>
      </c>
      <c r="E61" s="817"/>
      <c r="F61" s="2499"/>
      <c r="G61" s="1282">
        <f t="shared" si="20"/>
        <v>5.1999999999999998E-3</v>
      </c>
      <c r="H61" s="1286">
        <f t="shared" si="16"/>
        <v>5.1999999999999998E-3</v>
      </c>
      <c r="I61" s="815">
        <v>0.08</v>
      </c>
      <c r="J61" s="1283">
        <f t="shared" si="17"/>
        <v>1.04E-2</v>
      </c>
      <c r="K61" s="1283">
        <f t="shared" si="18"/>
        <v>5.1999999999999998E-3</v>
      </c>
      <c r="L61" s="1283">
        <v>0</v>
      </c>
      <c r="M61" s="1283">
        <f t="shared" si="19"/>
        <v>-5.1999999999999998E-3</v>
      </c>
      <c r="N61" s="1283">
        <f t="shared" si="19"/>
        <v>-1.04E-2</v>
      </c>
      <c r="AA61" s="1369"/>
      <c r="AB61" s="1369"/>
      <c r="AC61" s="1369"/>
      <c r="AD61" s="1369"/>
      <c r="AE61" s="1369"/>
      <c r="AF61" s="1369"/>
      <c r="AG61" s="1369"/>
      <c r="AH61" s="1369"/>
      <c r="AI61" s="1369"/>
      <c r="AJ61" s="1369"/>
      <c r="AK61" s="1369"/>
    </row>
    <row r="62" spans="1:37" s="1368" customFormat="1" ht="36.75">
      <c r="A62" s="2876" t="s">
        <v>2931</v>
      </c>
      <c r="B62" s="2881" t="s">
        <v>2932</v>
      </c>
      <c r="C62" s="2768" t="s">
        <v>3113</v>
      </c>
      <c r="D62" s="1284">
        <f t="shared" si="15"/>
        <v>2.5999999999999999E-3</v>
      </c>
      <c r="E62" s="817"/>
      <c r="F62" s="2499"/>
      <c r="G62" s="1282">
        <f t="shared" si="20"/>
        <v>2.5999999999999999E-3</v>
      </c>
      <c r="H62" s="1286">
        <f t="shared" si="16"/>
        <v>2.5999999999999999E-3</v>
      </c>
      <c r="I62" s="815">
        <v>0.04</v>
      </c>
      <c r="J62" s="1283">
        <f t="shared" si="17"/>
        <v>5.1999999999999998E-3</v>
      </c>
      <c r="K62" s="1283">
        <f t="shared" si="18"/>
        <v>2.5999999999999999E-3</v>
      </c>
      <c r="L62" s="1283">
        <v>0</v>
      </c>
      <c r="M62" s="1283">
        <f t="shared" si="19"/>
        <v>-2.5999999999999999E-3</v>
      </c>
      <c r="N62" s="1283">
        <f t="shared" si="19"/>
        <v>-5.1999999999999998E-3</v>
      </c>
      <c r="AA62" s="1369"/>
      <c r="AB62" s="1369"/>
      <c r="AC62" s="1369"/>
      <c r="AD62" s="1369"/>
      <c r="AE62" s="1369"/>
      <c r="AF62" s="1369"/>
      <c r="AG62" s="1369"/>
      <c r="AH62" s="1369"/>
      <c r="AI62" s="1369"/>
      <c r="AJ62" s="1369"/>
      <c r="AK62" s="1369"/>
    </row>
    <row r="63" spans="1:37" s="1368" customFormat="1" ht="24">
      <c r="A63" s="2876" t="s">
        <v>2933</v>
      </c>
      <c r="B63" s="2880">
        <f>估价对象房地状况!C24</f>
        <v>0</v>
      </c>
      <c r="C63" s="2768" t="s">
        <v>3113</v>
      </c>
      <c r="D63" s="1284">
        <f t="shared" si="15"/>
        <v>3.2000000000000002E-3</v>
      </c>
      <c r="E63" s="817"/>
      <c r="F63" s="2499"/>
      <c r="G63" s="1282">
        <f t="shared" si="20"/>
        <v>3.2000000000000002E-3</v>
      </c>
      <c r="H63" s="1286">
        <f t="shared" si="16"/>
        <v>3.2000000000000002E-3</v>
      </c>
      <c r="I63" s="815">
        <v>0.05</v>
      </c>
      <c r="J63" s="1283">
        <f t="shared" si="17"/>
        <v>6.4000000000000003E-3</v>
      </c>
      <c r="K63" s="1283">
        <f t="shared" si="18"/>
        <v>3.2000000000000002E-3</v>
      </c>
      <c r="L63" s="1283">
        <v>0</v>
      </c>
      <c r="M63" s="1283">
        <f t="shared" si="19"/>
        <v>-3.2000000000000002E-3</v>
      </c>
      <c r="N63" s="1283">
        <f t="shared" si="19"/>
        <v>-6.4000000000000003E-3</v>
      </c>
      <c r="AA63" s="1369"/>
      <c r="AB63" s="1369"/>
      <c r="AC63" s="1369"/>
      <c r="AD63" s="1369"/>
      <c r="AE63" s="1369"/>
      <c r="AF63" s="1369"/>
      <c r="AG63" s="1369"/>
      <c r="AH63" s="1369"/>
      <c r="AI63" s="1369"/>
      <c r="AJ63" s="1369"/>
      <c r="AK63" s="1369"/>
    </row>
    <row r="64" spans="1:37" s="1368" customFormat="1" ht="24">
      <c r="A64" s="2876" t="s">
        <v>2934</v>
      </c>
      <c r="B64" s="2882" t="s">
        <v>2935</v>
      </c>
      <c r="C64" s="2768" t="s">
        <v>3113</v>
      </c>
      <c r="D64" s="1284">
        <f t="shared" si="15"/>
        <v>3.2000000000000002E-3</v>
      </c>
      <c r="E64" s="817"/>
      <c r="F64" s="2499"/>
      <c r="G64" s="1282">
        <f t="shared" si="20"/>
        <v>3.2000000000000002E-3</v>
      </c>
      <c r="H64" s="1286">
        <f t="shared" si="16"/>
        <v>3.2000000000000002E-3</v>
      </c>
      <c r="I64" s="815">
        <v>0.05</v>
      </c>
      <c r="J64" s="1283">
        <f t="shared" si="17"/>
        <v>6.4000000000000003E-3</v>
      </c>
      <c r="K64" s="1283">
        <f t="shared" si="18"/>
        <v>3.2000000000000002E-3</v>
      </c>
      <c r="L64" s="1283">
        <v>0</v>
      </c>
      <c r="M64" s="1283">
        <f t="shared" si="19"/>
        <v>-3.2000000000000002E-3</v>
      </c>
      <c r="N64" s="1283">
        <f t="shared" si="19"/>
        <v>-6.4000000000000003E-3</v>
      </c>
      <c r="AA64" s="1369"/>
      <c r="AB64" s="1369"/>
      <c r="AC64" s="1369"/>
      <c r="AD64" s="1369"/>
      <c r="AE64" s="1369"/>
      <c r="AF64" s="1369"/>
      <c r="AG64" s="1369"/>
      <c r="AH64" s="1369"/>
      <c r="AI64" s="1369"/>
      <c r="AJ64" s="1369"/>
      <c r="AK64" s="1369"/>
    </row>
    <row r="65" spans="1:37" s="1368" customFormat="1" ht="24">
      <c r="A65" s="2876" t="s">
        <v>2936</v>
      </c>
      <c r="B65" s="1723">
        <f>估价对象房地状况!C21</f>
        <v>0</v>
      </c>
      <c r="C65" s="2768" t="s">
        <v>3112</v>
      </c>
      <c r="D65" s="1284">
        <f t="shared" si="15"/>
        <v>0</v>
      </c>
      <c r="E65" s="817"/>
      <c r="F65" s="2499"/>
      <c r="G65" s="1282">
        <f t="shared" si="20"/>
        <v>3.8999999999999998E-3</v>
      </c>
      <c r="H65" s="1286">
        <f t="shared" si="16"/>
        <v>3.8999999999999998E-3</v>
      </c>
      <c r="I65" s="815">
        <v>0.06</v>
      </c>
      <c r="J65" s="1283">
        <f t="shared" si="17"/>
        <v>7.7999999999999996E-3</v>
      </c>
      <c r="K65" s="1283">
        <f t="shared" si="18"/>
        <v>3.8999999999999998E-3</v>
      </c>
      <c r="L65" s="1283">
        <v>0</v>
      </c>
      <c r="M65" s="1283">
        <f t="shared" si="19"/>
        <v>-3.8999999999999998E-3</v>
      </c>
      <c r="N65" s="1283">
        <f t="shared" si="19"/>
        <v>-7.7999999999999996E-3</v>
      </c>
      <c r="AA65" s="1369"/>
      <c r="AB65" s="1369"/>
      <c r="AC65" s="1369"/>
      <c r="AD65" s="1369"/>
      <c r="AE65" s="1369"/>
      <c r="AF65" s="1369"/>
      <c r="AG65" s="1369"/>
      <c r="AH65" s="1369"/>
      <c r="AI65" s="1369"/>
      <c r="AJ65" s="1369"/>
      <c r="AK65" s="1369"/>
    </row>
    <row r="66" spans="1:37" s="1368" customFormat="1" ht="24">
      <c r="A66" s="2876" t="s">
        <v>2937</v>
      </c>
      <c r="B66" s="1723">
        <f>估价对象房地状况!C22</f>
        <v>0</v>
      </c>
      <c r="C66" s="2768" t="s">
        <v>3113</v>
      </c>
      <c r="D66" s="1284">
        <f t="shared" si="15"/>
        <v>7.7999999999999996E-3</v>
      </c>
      <c r="E66" s="817"/>
      <c r="F66" s="2499"/>
      <c r="G66" s="1282">
        <f t="shared" si="20"/>
        <v>7.7999999999999996E-3</v>
      </c>
      <c r="H66" s="1286">
        <f t="shared" si="16"/>
        <v>7.7999999999999996E-3</v>
      </c>
      <c r="I66" s="815">
        <v>0.12</v>
      </c>
      <c r="J66" s="1283">
        <f t="shared" si="17"/>
        <v>1.5599999999999999E-2</v>
      </c>
      <c r="K66" s="1283">
        <f t="shared" si="18"/>
        <v>7.7999999999999996E-3</v>
      </c>
      <c r="L66" s="1283">
        <v>0</v>
      </c>
      <c r="M66" s="1283">
        <f t="shared" si="19"/>
        <v>-7.7999999999999996E-3</v>
      </c>
      <c r="N66" s="1283">
        <f t="shared" si="19"/>
        <v>-1.5599999999999999E-2</v>
      </c>
      <c r="AA66" s="1369"/>
      <c r="AB66" s="1369"/>
      <c r="AC66" s="1369"/>
      <c r="AD66" s="1369"/>
      <c r="AE66" s="1369"/>
      <c r="AF66" s="1369"/>
      <c r="AG66" s="1369"/>
      <c r="AH66" s="1369"/>
      <c r="AI66" s="1369"/>
      <c r="AJ66" s="1369"/>
      <c r="AK66" s="1369"/>
    </row>
    <row r="67" spans="1:37" s="1368" customFormat="1" ht="24.75" thickBot="1">
      <c r="A67" s="2884" t="s">
        <v>2938</v>
      </c>
      <c r="B67" s="2886">
        <f>估价对象房地状况!C20</f>
        <v>0</v>
      </c>
      <c r="C67" s="2768" t="s">
        <v>3112</v>
      </c>
      <c r="D67" s="1284">
        <f t="shared" si="15"/>
        <v>0</v>
      </c>
      <c r="E67" s="820"/>
      <c r="F67" s="2499"/>
      <c r="G67" s="1282">
        <f t="shared" si="20"/>
        <v>3.8999999999999998E-3</v>
      </c>
      <c r="H67" s="1286">
        <f t="shared" si="16"/>
        <v>3.8999999999999998E-3</v>
      </c>
      <c r="I67" s="819">
        <v>0.06</v>
      </c>
      <c r="J67" s="1283">
        <f t="shared" si="17"/>
        <v>7.7999999999999996E-3</v>
      </c>
      <c r="K67" s="1283">
        <f t="shared" si="18"/>
        <v>3.8999999999999998E-3</v>
      </c>
      <c r="L67" s="1283">
        <v>0</v>
      </c>
      <c r="M67" s="1283">
        <f t="shared" si="19"/>
        <v>-3.8999999999999998E-3</v>
      </c>
      <c r="N67" s="1283">
        <f t="shared" si="19"/>
        <v>-7.7999999999999996E-3</v>
      </c>
      <c r="AA67" s="1369"/>
      <c r="AB67" s="1369"/>
      <c r="AC67" s="1369"/>
      <c r="AD67" s="1369"/>
      <c r="AE67" s="1369"/>
      <c r="AF67" s="1369"/>
      <c r="AG67" s="1369"/>
      <c r="AH67" s="1369"/>
      <c r="AI67" s="1369"/>
      <c r="AJ67" s="1369"/>
      <c r="AK67" s="1369"/>
    </row>
    <row r="68" spans="1:37" s="1368" customFormat="1" ht="15">
      <c r="A68" s="2872" t="s">
        <v>2942</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2920</v>
      </c>
      <c r="B69" s="2965"/>
      <c r="C69" s="2965" t="s">
        <v>2922</v>
      </c>
      <c r="D69" s="2965" t="s">
        <v>2923</v>
      </c>
      <c r="E69" s="814" t="s">
        <v>2924</v>
      </c>
      <c r="F69" s="2877" t="s">
        <v>2940</v>
      </c>
      <c r="G69" s="2965" t="s">
        <v>754</v>
      </c>
      <c r="H69" s="2878" t="s">
        <v>2926</v>
      </c>
      <c r="I69" s="2965" t="s">
        <v>2927</v>
      </c>
      <c r="J69" s="598" t="s">
        <v>2575</v>
      </c>
      <c r="K69" s="598" t="s">
        <v>2576</v>
      </c>
      <c r="L69" s="598" t="s">
        <v>2577</v>
      </c>
      <c r="M69" s="598" t="s">
        <v>2578</v>
      </c>
      <c r="N69" s="598" t="s">
        <v>2579</v>
      </c>
      <c r="AA69" s="1369"/>
      <c r="AB69" s="1369"/>
      <c r="AC69" s="1369"/>
      <c r="AD69" s="1369"/>
      <c r="AE69" s="1369"/>
      <c r="AF69" s="1369"/>
      <c r="AG69" s="1369"/>
      <c r="AH69" s="1369"/>
      <c r="AI69" s="1369"/>
      <c r="AJ69" s="1369"/>
      <c r="AK69" s="1369"/>
    </row>
    <row r="70" spans="1:37" s="1368" customFormat="1" ht="24">
      <c r="A70" s="2876" t="s">
        <v>2943</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2929</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2930</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2944</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2936</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2937</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2934</v>
      </c>
      <c r="B76" s="2882" t="s">
        <v>2935</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2938</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2945</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2946</v>
      </c>
      <c r="B79" s="2873">
        <f>1+E81</f>
        <v>1</v>
      </c>
      <c r="C79" s="809"/>
      <c r="D79" s="809"/>
      <c r="E79" s="810"/>
      <c r="F79" s="2875"/>
      <c r="G79" s="6"/>
      <c r="H79" s="6"/>
      <c r="I79" s="6"/>
      <c r="J79" s="7"/>
      <c r="K79" s="7"/>
      <c r="L79" s="7"/>
      <c r="M79" s="7"/>
      <c r="N79" s="7"/>
      <c r="Z79" s="2718"/>
      <c r="AA79" s="2794"/>
      <c r="AG79" s="1370"/>
      <c r="AK79" s="2794"/>
    </row>
    <row r="80" spans="1:37" ht="24.75">
      <c r="A80" s="2876" t="s">
        <v>2920</v>
      </c>
      <c r="B80" s="2965"/>
      <c r="C80" s="2965" t="s">
        <v>2922</v>
      </c>
      <c r="D80" s="2965" t="s">
        <v>2923</v>
      </c>
      <c r="E80" s="814" t="s">
        <v>2924</v>
      </c>
      <c r="F80" s="2877" t="s">
        <v>2940</v>
      </c>
      <c r="G80" s="2965" t="s">
        <v>754</v>
      </c>
      <c r="H80" s="2878" t="s">
        <v>2926</v>
      </c>
      <c r="I80" s="2965" t="s">
        <v>2927</v>
      </c>
      <c r="J80" s="598" t="s">
        <v>2575</v>
      </c>
      <c r="K80" s="598" t="s">
        <v>2576</v>
      </c>
      <c r="L80" s="598" t="s">
        <v>2577</v>
      </c>
      <c r="M80" s="598" t="s">
        <v>2578</v>
      </c>
      <c r="N80" s="598" t="s">
        <v>2579</v>
      </c>
      <c r="Z80" s="2718"/>
      <c r="AA80" s="2794"/>
      <c r="AG80" s="1370"/>
      <c r="AK80" s="2794"/>
    </row>
    <row r="81" spans="1:37" ht="24">
      <c r="A81" s="2876" t="s">
        <v>2947</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2929</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2930</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2944</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2936</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2937</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2934</v>
      </c>
      <c r="B87" s="2882" t="s">
        <v>2948</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2949</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64" t="s">
        <v>2950</v>
      </c>
      <c r="B90" s="3264"/>
      <c r="C90" s="3264"/>
      <c r="D90" s="3264"/>
      <c r="E90" s="3264"/>
      <c r="F90" s="3264"/>
      <c r="G90" s="3264"/>
      <c r="H90" s="3264"/>
      <c r="I90" s="3264"/>
      <c r="J90" s="3264"/>
      <c r="K90" s="2970"/>
      <c r="L90" s="2970"/>
      <c r="M90" s="2970"/>
      <c r="N90" s="2970"/>
    </row>
    <row r="91" spans="1:37">
      <c r="A91" s="3266" t="s">
        <v>2951</v>
      </c>
      <c r="B91" s="3266" t="s">
        <v>2952</v>
      </c>
      <c r="C91" s="2844" t="s">
        <v>2953</v>
      </c>
      <c r="D91" s="2845"/>
      <c r="E91" s="2845"/>
      <c r="F91" s="2845"/>
      <c r="G91" s="2845"/>
      <c r="H91" s="2845"/>
      <c r="I91" s="2845"/>
      <c r="J91" s="2891"/>
      <c r="K91" s="2892"/>
      <c r="L91" s="2892"/>
      <c r="M91" s="2892"/>
      <c r="N91" s="2892"/>
    </row>
    <row r="92" spans="1:37">
      <c r="A92" s="3266"/>
      <c r="B92" s="3266"/>
      <c r="C92" s="2972" t="s">
        <v>2819</v>
      </c>
      <c r="D92" s="2972" t="s">
        <v>2820</v>
      </c>
      <c r="E92" s="2972" t="s">
        <v>2821</v>
      </c>
      <c r="F92" s="2972" t="s">
        <v>2822</v>
      </c>
      <c r="G92" s="2972" t="s">
        <v>2823</v>
      </c>
      <c r="H92" s="2972" t="s">
        <v>2824</v>
      </c>
      <c r="I92" s="2972" t="s">
        <v>2825</v>
      </c>
      <c r="J92" s="2972" t="s">
        <v>2826</v>
      </c>
      <c r="K92" s="2972" t="s">
        <v>2827</v>
      </c>
      <c r="L92" s="2972" t="s">
        <v>2828</v>
      </c>
      <c r="M92" s="2972" t="s">
        <v>2829</v>
      </c>
      <c r="N92" s="2972" t="s">
        <v>2830</v>
      </c>
    </row>
    <row r="93" spans="1:37">
      <c r="A93" s="3267" t="s">
        <v>2954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8"/>
      <c r="B99" s="2893" t="s">
        <v>2835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6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7" t="s">
        <v>2955</v>
      </c>
      <c r="B101" s="2897" t="s">
        <v>2956</v>
      </c>
      <c r="C101" s="2898">
        <f>$G$3</f>
        <v>2.1</v>
      </c>
      <c r="D101" s="2898">
        <f t="shared" ref="D101:N101" si="32">$G$3</f>
        <v>2.1</v>
      </c>
      <c r="E101" s="2898">
        <f t="shared" si="32"/>
        <v>2.1</v>
      </c>
      <c r="F101" s="2898">
        <f t="shared" si="32"/>
        <v>2.1</v>
      </c>
      <c r="G101" s="2898">
        <f t="shared" si="32"/>
        <v>2.1</v>
      </c>
      <c r="H101" s="2898">
        <f t="shared" si="32"/>
        <v>2.1</v>
      </c>
      <c r="I101" s="2898">
        <f t="shared" si="32"/>
        <v>2.1</v>
      </c>
      <c r="J101" s="2898">
        <f t="shared" si="32"/>
        <v>2.1</v>
      </c>
      <c r="K101" s="2898">
        <f t="shared" si="32"/>
        <v>2.1</v>
      </c>
      <c r="L101" s="2898">
        <f t="shared" si="32"/>
        <v>2.1</v>
      </c>
      <c r="M101" s="2898">
        <f t="shared" si="32"/>
        <v>2.1</v>
      </c>
      <c r="N101" s="2898">
        <f t="shared" si="32"/>
        <v>2.1</v>
      </c>
    </row>
    <row r="102" spans="1:14">
      <c r="A102" s="3268"/>
      <c r="B102" s="2893">
        <v>1</v>
      </c>
      <c r="C102" s="2894">
        <f>1.9362/C101</f>
        <v>0.92199999999999993</v>
      </c>
      <c r="D102" s="2894">
        <f>1.9362/D101</f>
        <v>0.92199999999999993</v>
      </c>
      <c r="E102" s="2894">
        <f>1.8629/E101</f>
        <v>0.88709523809523805</v>
      </c>
      <c r="F102" s="2894">
        <f>1.8629/F101</f>
        <v>0.88709523809523805</v>
      </c>
      <c r="G102" s="2894">
        <f>1.8629/G101</f>
        <v>0.88709523809523805</v>
      </c>
      <c r="H102" s="2894">
        <f>1.8629/H101</f>
        <v>0.88709523809523805</v>
      </c>
      <c r="I102" s="2894">
        <f>1.8629/I101</f>
        <v>0.88709523809523805</v>
      </c>
      <c r="J102" s="2894">
        <f>1.942/J101</f>
        <v>0.92476190476190467</v>
      </c>
      <c r="K102" s="2894">
        <f>1.942/K101</f>
        <v>0.92476190476190467</v>
      </c>
      <c r="L102" s="2894">
        <f>1.942/L101</f>
        <v>0.92476190476190467</v>
      </c>
      <c r="M102" s="2894">
        <f>1.942/M101</f>
        <v>0.92476190476190467</v>
      </c>
      <c r="N102" s="2894">
        <f>1.942/N101</f>
        <v>0.92476190476190467</v>
      </c>
    </row>
    <row r="103" spans="1:14">
      <c r="A103" s="3268"/>
      <c r="B103" s="2893">
        <v>2</v>
      </c>
      <c r="C103" s="2894">
        <f>1.4198/C101</f>
        <v>0.67609523809523808</v>
      </c>
      <c r="D103" s="2894">
        <f>1.4198/D101</f>
        <v>0.67609523809523808</v>
      </c>
      <c r="E103" s="2894">
        <f>1.3372/E101</f>
        <v>0.63676190476190475</v>
      </c>
      <c r="F103" s="2894">
        <f>1.3372/F101</f>
        <v>0.63676190476190475</v>
      </c>
      <c r="G103" s="2894">
        <f>1.3372/G101</f>
        <v>0.63676190476190475</v>
      </c>
      <c r="H103" s="2894">
        <f>1.3372/H101</f>
        <v>0.63676190476190475</v>
      </c>
      <c r="I103" s="2894">
        <f>1.3372/I101</f>
        <v>0.63676190476190475</v>
      </c>
      <c r="J103" s="2894">
        <f>1.2799/J101</f>
        <v>0.6094761904761905</v>
      </c>
      <c r="K103" s="2894">
        <f>1.2799/K101</f>
        <v>0.6094761904761905</v>
      </c>
      <c r="L103" s="2894">
        <f>1.2799/L101</f>
        <v>0.6094761904761905</v>
      </c>
      <c r="M103" s="2894">
        <f>1.2799/M101</f>
        <v>0.6094761904761905</v>
      </c>
      <c r="N103" s="2894">
        <f>1.2799/N101</f>
        <v>0.6094761904761905</v>
      </c>
    </row>
    <row r="104" spans="1:14">
      <c r="A104" s="3268"/>
      <c r="B104" s="2893">
        <v>3</v>
      </c>
      <c r="C104" s="2894">
        <f>1.1594/C101</f>
        <v>0.55209523809523808</v>
      </c>
      <c r="D104" s="2894">
        <f>1.1594/D101</f>
        <v>0.55209523809523808</v>
      </c>
      <c r="E104" s="2894">
        <f>1.0788/E101</f>
        <v>0.51371428571428568</v>
      </c>
      <c r="F104" s="2894">
        <f>1.0788/F101</f>
        <v>0.51371428571428568</v>
      </c>
      <c r="G104" s="2894">
        <f>1.0788/G101</f>
        <v>0.51371428571428568</v>
      </c>
      <c r="H104" s="2894">
        <f>1.0788/H101</f>
        <v>0.51371428571428568</v>
      </c>
      <c r="I104" s="2894">
        <f>1.0788/I101</f>
        <v>0.51371428571428568</v>
      </c>
      <c r="J104" s="2894">
        <f>1.0072/J101</f>
        <v>0.47961904761904767</v>
      </c>
      <c r="K104" s="2894">
        <f>1.0072/K101</f>
        <v>0.47961904761904767</v>
      </c>
      <c r="L104" s="2894">
        <f>1.0072/L101</f>
        <v>0.47961904761904767</v>
      </c>
      <c r="M104" s="2894">
        <f>1.0072/M101</f>
        <v>0.47961904761904767</v>
      </c>
      <c r="N104" s="2894">
        <f>1.0072/N101</f>
        <v>0.47961904761904767</v>
      </c>
    </row>
    <row r="105" spans="1:14">
      <c r="A105" s="3268"/>
      <c r="B105" s="2893">
        <v>4</v>
      </c>
      <c r="C105" s="2894">
        <f>0.9622/C101</f>
        <v>0.4581904761904762</v>
      </c>
      <c r="D105" s="2894">
        <f>0.9622/D101</f>
        <v>0.4581904761904762</v>
      </c>
      <c r="E105" s="2894">
        <f>0.8656/E101</f>
        <v>0.41219047619047616</v>
      </c>
      <c r="F105" s="2894">
        <f>0.8656/F101</f>
        <v>0.41219047619047616</v>
      </c>
      <c r="G105" s="2894">
        <f>0.8656/G101</f>
        <v>0.41219047619047616</v>
      </c>
      <c r="H105" s="2894">
        <f>0.8656/H101</f>
        <v>0.41219047619047616</v>
      </c>
      <c r="I105" s="2894">
        <f>0.8656/I101</f>
        <v>0.41219047619047616</v>
      </c>
      <c r="J105" s="2894">
        <f>0.7525/J101</f>
        <v>0.35833333333333328</v>
      </c>
      <c r="K105" s="2894">
        <f>0.7525/K101</f>
        <v>0.35833333333333328</v>
      </c>
      <c r="L105" s="2894">
        <f>0.7525/L101</f>
        <v>0.35833333333333328</v>
      </c>
      <c r="M105" s="2894">
        <f>0.7525/M101</f>
        <v>0.35833333333333328</v>
      </c>
      <c r="N105" s="2894">
        <f>0.7525/N101</f>
        <v>0.35833333333333328</v>
      </c>
    </row>
    <row r="106" spans="1:14">
      <c r="A106" s="3268"/>
      <c r="B106" s="2893">
        <v>5</v>
      </c>
      <c r="C106" s="2894">
        <f>0.8417/C101</f>
        <v>0.40080952380952378</v>
      </c>
      <c r="D106" s="2894">
        <f>0.8417/D101</f>
        <v>0.40080952380952378</v>
      </c>
      <c r="E106" s="2894">
        <f>0.7371/E101</f>
        <v>0.35099999999999998</v>
      </c>
      <c r="F106" s="2894">
        <f>0.7371/F101</f>
        <v>0.35099999999999998</v>
      </c>
      <c r="G106" s="2894">
        <f>0.7371/G101</f>
        <v>0.35099999999999998</v>
      </c>
      <c r="H106" s="2894">
        <f>0.7371/H101</f>
        <v>0.35099999999999998</v>
      </c>
      <c r="I106" s="2894">
        <f>0.7371/I101</f>
        <v>0.35099999999999998</v>
      </c>
      <c r="J106" s="2894">
        <f>0.5659/J101</f>
        <v>0.26947619047619042</v>
      </c>
      <c r="K106" s="2894">
        <f>0.5659/K101</f>
        <v>0.26947619047619042</v>
      </c>
      <c r="L106" s="2894">
        <f>0.5659/L101</f>
        <v>0.26947619047619042</v>
      </c>
      <c r="M106" s="2894">
        <f>0.5659/M101</f>
        <v>0.26947619047619042</v>
      </c>
      <c r="N106" s="2894">
        <f>0.5659/N101</f>
        <v>0.26947619047619042</v>
      </c>
    </row>
    <row r="107" spans="1:14">
      <c r="A107" s="3268"/>
      <c r="B107" s="2893">
        <v>6</v>
      </c>
      <c r="C107" s="2894">
        <f>0.7608/C101</f>
        <v>0.36228571428571427</v>
      </c>
      <c r="D107" s="2894">
        <f>0.7608/D101</f>
        <v>0.36228571428571427</v>
      </c>
      <c r="E107" s="2894">
        <f>0.6482/E101</f>
        <v>0.30866666666666664</v>
      </c>
      <c r="F107" s="2894">
        <f>0.6482/F101</f>
        <v>0.30866666666666664</v>
      </c>
      <c r="G107" s="2894">
        <f>0.6482/G101</f>
        <v>0.30866666666666664</v>
      </c>
      <c r="H107" s="2894">
        <f>0.6482/H101</f>
        <v>0.30866666666666664</v>
      </c>
      <c r="I107" s="2894">
        <f>0.6482/I101</f>
        <v>0.30866666666666664</v>
      </c>
      <c r="J107" s="2894">
        <f>0.4525/J101</f>
        <v>0.21547619047619046</v>
      </c>
      <c r="K107" s="2894">
        <f>0.4525/K101</f>
        <v>0.21547619047619046</v>
      </c>
      <c r="L107" s="2894">
        <f>0.4525/L101</f>
        <v>0.21547619047619046</v>
      </c>
      <c r="M107" s="2894">
        <f>0.4525/M101</f>
        <v>0.21547619047619046</v>
      </c>
      <c r="N107" s="2894">
        <f>0.4525/N101</f>
        <v>0.21547619047619046</v>
      </c>
    </row>
    <row r="108" spans="1:14">
      <c r="A108" s="3268"/>
      <c r="B108" s="3180" t="s">
        <v>2848</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69"/>
      <c r="B109" s="3181"/>
      <c r="C109" s="2896">
        <f>(-0.163*(C108^2)-0.59*C108+7617)*(10^(-4))/C101</f>
        <v>0.36271428571428571</v>
      </c>
      <c r="D109" s="2896">
        <f>(-0.163*(D108^2)-0.59*D108+7617)*(10^(-4))/D101</f>
        <v>0.36271428571428571</v>
      </c>
      <c r="E109" s="2896">
        <f>(-0.161*(E108^2)-7.509*E108+6533)*(10^(-4))/E101</f>
        <v>0.31109523809523809</v>
      </c>
      <c r="F109" s="2896">
        <f>(-0.161*(F108^2)-7.509*F108+6533)*(10^(-4))/F101</f>
        <v>0.31109523809523809</v>
      </c>
      <c r="G109" s="2896">
        <f>(-0.161*(G108^2)-7.509*G108+6533)*(10^(-4))/G101</f>
        <v>0.31109523809523809</v>
      </c>
      <c r="H109" s="2896">
        <f>(-0.161*(H108^2)-7.509*H108+6533)*(10^(-4))/H101</f>
        <v>0.31109523809523809</v>
      </c>
      <c r="I109" s="2896">
        <f>(-0.161*(I108^2)-7.509*I108+6533)*(10^(-4))/I101</f>
        <v>0.31109523809523809</v>
      </c>
      <c r="J109" s="2896">
        <f>(-0.214*(J108^2)-21.991*J108+4665)*(10^(-4))/J101</f>
        <v>0.22214285714285714</v>
      </c>
      <c r="K109" s="2896">
        <f>(-0.214*(K108^2)-21.991*K108+4665)*(10^(-4))/K101</f>
        <v>0.22214285714285714</v>
      </c>
      <c r="L109" s="2896">
        <f>(-0.214*(L108^2)-21.991*L108+4665)*(10^(-4))/L101</f>
        <v>0.22214285714285714</v>
      </c>
      <c r="M109" s="2896">
        <f>(-0.214*(M108^2)-21.991*M108+4665)*(10^(-4))/M101</f>
        <v>0.22214285714285714</v>
      </c>
      <c r="N109" s="2896">
        <f>(-0.214*(N108^2)-21.991*N108+4665)*(10^(-4))/N101</f>
        <v>0.22214285714285714</v>
      </c>
    </row>
    <row r="110" spans="1:14">
      <c r="A110" s="3265" t="s">
        <v>2958</v>
      </c>
      <c r="B110" s="3265"/>
      <c r="C110" s="3265"/>
      <c r="D110" s="3265"/>
      <c r="E110" s="3265"/>
      <c r="F110" s="3265"/>
      <c r="G110" s="3265"/>
      <c r="H110" s="3265"/>
      <c r="I110" s="3265"/>
      <c r="J110" s="3265"/>
      <c r="K110" s="2971"/>
      <c r="L110" s="2971"/>
      <c r="M110" s="2971"/>
      <c r="N110" s="2971"/>
    </row>
    <row r="112" spans="1:14" ht="13.5" thickBot="1"/>
    <row r="113" spans="1:13" ht="25.5" thickBot="1">
      <c r="A113" s="898" t="s">
        <v>2959</v>
      </c>
      <c r="B113" s="1285">
        <f>G3</f>
        <v>2.1</v>
      </c>
      <c r="C113" s="899" t="s">
        <v>2960</v>
      </c>
      <c r="D113" s="900">
        <f>SUMPRODUCT((A115:A118=F113)*(B114:M114=H113)*B115:M118)</f>
        <v>0.82940000000000003</v>
      </c>
      <c r="E113" s="2722" t="s">
        <v>2792</v>
      </c>
      <c r="F113" s="2901" t="str">
        <f>E2</f>
        <v>办公</v>
      </c>
      <c r="G113" s="2722" t="s">
        <v>2793</v>
      </c>
      <c r="H113" s="2901" t="str">
        <f>G2</f>
        <v>七级</v>
      </c>
      <c r="I113" s="2722"/>
      <c r="J113" s="2902"/>
      <c r="K113" s="2902"/>
      <c r="L113" s="2902"/>
      <c r="M113" s="2902"/>
    </row>
    <row r="114" spans="1:13">
      <c r="A114" s="903"/>
      <c r="B114" s="2903" t="s">
        <v>2961</v>
      </c>
      <c r="C114" s="2903" t="s">
        <v>2962</v>
      </c>
      <c r="D114" s="2903" t="s">
        <v>2963</v>
      </c>
      <c r="E114" s="2904" t="s">
        <v>2964</v>
      </c>
      <c r="F114" s="2904" t="s">
        <v>2965</v>
      </c>
      <c r="G114" s="2904" t="s">
        <v>2966</v>
      </c>
      <c r="H114" s="2905" t="s">
        <v>2967</v>
      </c>
      <c r="I114" s="2905" t="s">
        <v>2968</v>
      </c>
      <c r="J114" s="2906" t="s">
        <v>2969</v>
      </c>
      <c r="K114" s="2906" t="s">
        <v>2970</v>
      </c>
      <c r="L114" s="2906" t="s">
        <v>2971</v>
      </c>
      <c r="M114" s="2907" t="s">
        <v>2972</v>
      </c>
    </row>
    <row r="115" spans="1:13">
      <c r="A115" s="904" t="s">
        <v>2857</v>
      </c>
      <c r="B115" s="905">
        <f>ROUND(0.9335-0.0094*B113,4)</f>
        <v>0.91379999999999995</v>
      </c>
      <c r="C115" s="905">
        <f>B115</f>
        <v>0.91379999999999995</v>
      </c>
      <c r="D115" s="905">
        <f>ROUND(0.8331-0.0109*B113,4)</f>
        <v>0.81020000000000003</v>
      </c>
      <c r="E115" s="905">
        <f>D115</f>
        <v>0.81020000000000003</v>
      </c>
      <c r="F115" s="905">
        <f>E115</f>
        <v>0.81020000000000003</v>
      </c>
      <c r="G115" s="905">
        <f>F115</f>
        <v>0.81020000000000003</v>
      </c>
      <c r="H115" s="905">
        <f>G115</f>
        <v>0.81020000000000003</v>
      </c>
      <c r="I115" s="905">
        <f>ROUND(0.689-0.0155*B113,4)</f>
        <v>0.65649999999999997</v>
      </c>
      <c r="J115" s="905">
        <f t="shared" ref="J115:M118" si="34">I115</f>
        <v>0.65649999999999997</v>
      </c>
      <c r="K115" s="905">
        <f t="shared" si="34"/>
        <v>0.65649999999999997</v>
      </c>
      <c r="L115" s="905">
        <f t="shared" si="34"/>
        <v>0.65649999999999997</v>
      </c>
      <c r="M115" s="906">
        <f t="shared" si="34"/>
        <v>0.65649999999999997</v>
      </c>
    </row>
    <row r="116" spans="1:13">
      <c r="A116" s="904" t="s">
        <v>2858</v>
      </c>
      <c r="B116" s="905">
        <f>ROUND(0.949-0.012*B113,4)</f>
        <v>0.92379999999999995</v>
      </c>
      <c r="C116" s="905">
        <f>B116</f>
        <v>0.92379999999999995</v>
      </c>
      <c r="D116" s="905">
        <f>ROUND(0.8567-0.013*B113,4)</f>
        <v>0.82940000000000003</v>
      </c>
      <c r="E116" s="905">
        <f t="shared" ref="E116:H117" si="35">D116</f>
        <v>0.82940000000000003</v>
      </c>
      <c r="F116" s="905">
        <f t="shared" si="35"/>
        <v>0.82940000000000003</v>
      </c>
      <c r="G116" s="905">
        <f t="shared" si="35"/>
        <v>0.82940000000000003</v>
      </c>
      <c r="H116" s="905">
        <f t="shared" si="35"/>
        <v>0.82940000000000003</v>
      </c>
      <c r="I116" s="905">
        <f>ROUND(0.7694-0.014*B113,4)</f>
        <v>0.74</v>
      </c>
      <c r="J116" s="905">
        <f t="shared" si="34"/>
        <v>0.74</v>
      </c>
      <c r="K116" s="905">
        <f t="shared" si="34"/>
        <v>0.74</v>
      </c>
      <c r="L116" s="905">
        <f t="shared" si="34"/>
        <v>0.74</v>
      </c>
      <c r="M116" s="906">
        <f t="shared" si="34"/>
        <v>0.74</v>
      </c>
    </row>
    <row r="117" spans="1:13">
      <c r="A117" s="904" t="s">
        <v>2859</v>
      </c>
      <c r="B117" s="905">
        <f>ROUND(0.8808-0.006*B113,4)</f>
        <v>0.86819999999999997</v>
      </c>
      <c r="C117" s="905">
        <f>B117</f>
        <v>0.86819999999999997</v>
      </c>
      <c r="D117" s="905">
        <f>ROUND(0.8748-0.008*B113,4)</f>
        <v>0.85799999999999998</v>
      </c>
      <c r="E117" s="905">
        <f t="shared" si="35"/>
        <v>0.85799999999999998</v>
      </c>
      <c r="F117" s="905">
        <f t="shared" si="35"/>
        <v>0.85799999999999998</v>
      </c>
      <c r="G117" s="905">
        <f t="shared" si="35"/>
        <v>0.85799999999999998</v>
      </c>
      <c r="H117" s="905">
        <f t="shared" si="35"/>
        <v>0.85799999999999998</v>
      </c>
      <c r="I117" s="905">
        <f>ROUND(0.7412-0.0095*B113,4)</f>
        <v>0.72130000000000005</v>
      </c>
      <c r="J117" s="905">
        <f t="shared" si="34"/>
        <v>0.72130000000000005</v>
      </c>
      <c r="K117" s="905">
        <f t="shared" si="34"/>
        <v>0.72130000000000005</v>
      </c>
      <c r="L117" s="905">
        <f t="shared" si="34"/>
        <v>0.72130000000000005</v>
      </c>
      <c r="M117" s="906">
        <f t="shared" si="34"/>
        <v>0.72130000000000005</v>
      </c>
    </row>
    <row r="118" spans="1:13" ht="13.5" thickBot="1">
      <c r="A118" s="709" t="s">
        <v>2860</v>
      </c>
      <c r="B118" s="907">
        <f>ROUND(0.7275-0.01*B113,4)</f>
        <v>0.70650000000000002</v>
      </c>
      <c r="C118" s="907">
        <f>B118</f>
        <v>0.70650000000000002</v>
      </c>
      <c r="D118" s="907">
        <f>ROUND(0.7043-0.012*B113,4)</f>
        <v>0.67910000000000004</v>
      </c>
      <c r="E118" s="907">
        <f>D118</f>
        <v>0.67910000000000004</v>
      </c>
      <c r="F118" s="907">
        <f>E118</f>
        <v>0.67910000000000004</v>
      </c>
      <c r="G118" s="907">
        <f>ROUND(0.6299-0.0122*B113,4)</f>
        <v>0.60429999999999995</v>
      </c>
      <c r="H118" s="907">
        <f>G118</f>
        <v>0.60429999999999995</v>
      </c>
      <c r="I118" s="907">
        <f>ROUND(0.5667-0.0136*B113,4)</f>
        <v>0.53810000000000002</v>
      </c>
      <c r="J118" s="907">
        <f t="shared" si="34"/>
        <v>0.53810000000000002</v>
      </c>
      <c r="K118" s="907">
        <f t="shared" si="34"/>
        <v>0.53810000000000002</v>
      </c>
      <c r="L118" s="907">
        <f t="shared" si="34"/>
        <v>0.53810000000000002</v>
      </c>
      <c r="M118" s="908">
        <f t="shared" si="34"/>
        <v>0.53810000000000002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4" sqref="H14"/>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2980</v>
      </c>
    </row>
    <row r="2" spans="1:5" ht="15.75">
      <c r="A2" s="2908" t="s">
        <v>2973</v>
      </c>
      <c r="B2" s="2909">
        <f ca="1">SUMIF(B6:B13,"&lt;&gt;#ref!",B6:B13)</f>
        <v>76391</v>
      </c>
      <c r="C2" s="2908" t="s">
        <v>2974</v>
      </c>
      <c r="D2" s="2908" t="s">
        <v>2975</v>
      </c>
      <c r="E2" s="2909">
        <f ca="1">SUMIF(E6:E13,"&lt;&gt;#ref!",E6:E13)</f>
        <v>91875.809999999969</v>
      </c>
    </row>
    <row r="3" spans="1:5" ht="15.75">
      <c r="A3" s="2908" t="s">
        <v>2976</v>
      </c>
      <c r="B3" s="2909">
        <f ca="1">ROUND(B2*10000/E2,0)</f>
        <v>8315</v>
      </c>
      <c r="C3" s="2908" t="s">
        <v>2981</v>
      </c>
      <c r="D3" s="2910"/>
      <c r="E3" s="2910"/>
    </row>
    <row r="4" spans="1:5" ht="15.75">
      <c r="A4" s="2911"/>
      <c r="B4" s="2910"/>
      <c r="C4" s="2910"/>
      <c r="D4" s="2910"/>
      <c r="E4" s="2910"/>
    </row>
    <row r="5" spans="1:5" ht="28.5">
      <c r="A5" s="2912" t="s">
        <v>2977</v>
      </c>
      <c r="B5" s="2908" t="s">
        <v>2978</v>
      </c>
      <c r="C5" s="2909"/>
      <c r="D5" s="2910"/>
      <c r="E5" s="2908" t="s">
        <v>2979</v>
      </c>
    </row>
    <row r="6" spans="1:5" ht="15.75">
      <c r="A6" s="2913" t="s">
        <v>3108</v>
      </c>
      <c r="B6" s="2909">
        <f ca="1">SUMIF(INDIRECT("'"&amp;A6&amp;"'"&amp;"!A:A"),"总价",INDIRECT("'"&amp;A6&amp;"'"&amp;"!B:B"))</f>
        <v>18786</v>
      </c>
      <c r="C6" s="2908" t="s">
        <v>2974</v>
      </c>
      <c r="D6" s="2910"/>
      <c r="E6" s="2573">
        <f ca="1">SUMIF(INDIRECT("'"&amp;A6&amp;"'"&amp;"!C:C"),"建筑面积",INDIRECT("'"&amp;A6&amp;"'"&amp;"!D:D"))</f>
        <v>19128.989999999998</v>
      </c>
    </row>
    <row r="7" spans="1:5" ht="15.75">
      <c r="A7" s="2913" t="s">
        <v>3110</v>
      </c>
      <c r="B7" s="2909">
        <f ca="1">SUMIF(INDIRECT("'"&amp;A7&amp;"'"&amp;"!A:A"),"总价",INDIRECT("'"&amp;A7&amp;"'"&amp;"!B:B"))</f>
        <v>57605</v>
      </c>
      <c r="C7" s="2908" t="s">
        <v>2974</v>
      </c>
      <c r="D7" s="2910"/>
      <c r="E7" s="2573">
        <f t="shared" ref="E7:E13" ca="1" si="0">SUMIF(INDIRECT("'"&amp;A7&amp;"'"&amp;"!C:C"),"建筑面积",INDIRECT("'"&amp;A7&amp;"'"&amp;"!D:D"))</f>
        <v>72746.819999999978</v>
      </c>
    </row>
    <row r="8" spans="1:5" ht="15.75">
      <c r="A8" s="2913"/>
      <c r="B8" s="2909" t="e">
        <f t="shared" ref="B8:B13" ca="1" si="1">SUMIF(INDIRECT("'"&amp;A8&amp;"'"&amp;"!A:A"),"总价",INDIRECT("'"&amp;A8&amp;"'"&amp;"!B:B"))</f>
        <v>#REF!</v>
      </c>
      <c r="C8" s="2908" t="s">
        <v>2974</v>
      </c>
      <c r="D8" s="2910"/>
      <c r="E8" s="2573" t="e">
        <f t="shared" ca="1" si="0"/>
        <v>#REF!</v>
      </c>
    </row>
    <row r="9" spans="1:5" ht="15.75">
      <c r="A9" s="2913"/>
      <c r="B9" s="2909" t="e">
        <f t="shared" ca="1" si="1"/>
        <v>#REF!</v>
      </c>
      <c r="C9" s="2908" t="s">
        <v>2974</v>
      </c>
      <c r="D9" s="2910"/>
      <c r="E9" s="2573" t="e">
        <f t="shared" ca="1" si="0"/>
        <v>#REF!</v>
      </c>
    </row>
    <row r="10" spans="1:5" ht="15.75">
      <c r="A10" s="2913"/>
      <c r="B10" s="2909" t="e">
        <f t="shared" ca="1" si="1"/>
        <v>#REF!</v>
      </c>
      <c r="C10" s="2908" t="s">
        <v>2974</v>
      </c>
      <c r="D10" s="2910"/>
      <c r="E10" s="2573" t="e">
        <f t="shared" ca="1" si="0"/>
        <v>#REF!</v>
      </c>
    </row>
    <row r="11" spans="1:5" ht="15.75">
      <c r="A11" s="2913"/>
      <c r="B11" s="2909" t="e">
        <f t="shared" ca="1" si="1"/>
        <v>#REF!</v>
      </c>
      <c r="C11" s="2908" t="s">
        <v>2974</v>
      </c>
      <c r="D11" s="2910"/>
      <c r="E11" s="2573" t="e">
        <f t="shared" ca="1" si="0"/>
        <v>#REF!</v>
      </c>
    </row>
    <row r="12" spans="1:5" ht="15.75">
      <c r="A12" s="2913"/>
      <c r="B12" s="2909" t="e">
        <f t="shared" ca="1" si="1"/>
        <v>#REF!</v>
      </c>
      <c r="C12" s="2908" t="s">
        <v>2974</v>
      </c>
      <c r="D12" s="2910"/>
      <c r="E12" s="2573" t="e">
        <f t="shared" ca="1" si="0"/>
        <v>#REF!</v>
      </c>
    </row>
    <row r="13" spans="1:5" ht="15.75">
      <c r="A13" s="2913"/>
      <c r="B13" s="2909" t="e">
        <f t="shared" ca="1" si="1"/>
        <v>#REF!</v>
      </c>
      <c r="C13" s="2908" t="s">
        <v>2974</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2440</v>
      </c>
      <c r="B1" s="1579"/>
      <c r="C1" s="1580"/>
      <c r="D1" s="1578"/>
      <c r="E1" s="315"/>
      <c r="F1" s="315"/>
      <c r="G1" s="1579"/>
      <c r="H1" s="315"/>
      <c r="I1" s="315"/>
      <c r="J1" s="315"/>
      <c r="K1" s="315">
        <f>MATCH(C1,'数据-取费表'!A6:A16,0)+5</f>
        <v>8</v>
      </c>
    </row>
    <row r="2" spans="1:33" ht="18" customHeight="1">
      <c r="A2" s="240" t="s">
        <v>2308</v>
      </c>
      <c r="B2" s="243">
        <f ca="1">C32</f>
        <v>83195</v>
      </c>
      <c r="C2" s="315" t="s">
        <v>2441</v>
      </c>
      <c r="D2" s="315"/>
      <c r="E2" s="315"/>
      <c r="F2" s="315"/>
      <c r="G2" s="315"/>
      <c r="H2" s="315"/>
      <c r="I2" s="315"/>
      <c r="J2" s="315"/>
      <c r="K2" s="315"/>
    </row>
    <row r="3" spans="1:33" ht="18" customHeight="1" thickBot="1">
      <c r="A3" s="242" t="s">
        <v>2310</v>
      </c>
      <c r="B3" s="243">
        <f ca="1">ROUND(B2*10000/IF(C1="",'数据-汇总表'!E3,INDIRECT("'数据-取费表'!K"&amp;$K$1)),0)</f>
        <v>8618</v>
      </c>
      <c r="C3" s="315" t="s">
        <v>2442</v>
      </c>
      <c r="D3" s="315"/>
      <c r="E3" s="315"/>
      <c r="F3" s="315"/>
      <c r="G3" s="315"/>
      <c r="H3" s="315"/>
      <c r="I3" s="315"/>
      <c r="J3" s="315"/>
      <c r="K3" s="315"/>
    </row>
    <row r="4" spans="1:33" s="954" customFormat="1" ht="16.5" customHeight="1">
      <c r="A4" s="951" t="s">
        <v>2443</v>
      </c>
      <c r="B4" s="952"/>
      <c r="C4" s="994">
        <f ca="1">SUM(C8:K8)</f>
        <v>152598</v>
      </c>
      <c r="D4" s="952"/>
      <c r="E4" s="952"/>
      <c r="F4" s="952"/>
      <c r="G4" s="952"/>
      <c r="H4" s="952"/>
      <c r="I4" s="952"/>
      <c r="J4" s="952"/>
      <c r="K4" s="953"/>
    </row>
    <row r="5" spans="1:33" s="958" customFormat="1" ht="15">
      <c r="A5" s="955" t="s">
        <v>2444</v>
      </c>
      <c r="B5" s="956" t="s">
        <v>2445</v>
      </c>
      <c r="C5" s="2552" t="s">
        <v>3140</v>
      </c>
      <c r="D5" s="2552" t="s">
        <v>3134</v>
      </c>
      <c r="E5" s="2552"/>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2446</v>
      </c>
      <c r="C6" s="960">
        <f ca="1">收益法!B3</f>
        <v>18222</v>
      </c>
      <c r="D6" s="960">
        <v>0</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2447</v>
      </c>
      <c r="B7" s="137" t="s">
        <v>2448</v>
      </c>
      <c r="C7" s="316">
        <f>SUMIF('数据-汇总表'!$C19:$C33,假设开发法!C5,'数据-汇总表'!$E19:$E33)</f>
        <v>83744.429999999993</v>
      </c>
      <c r="D7" s="316">
        <f>SUMIF('数据-汇总表'!$C19:$C33,假设开发法!D5,'数据-汇总表'!$E19:$E33)</f>
        <v>8131.38</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2449</v>
      </c>
      <c r="B8" s="172" t="s">
        <v>2450</v>
      </c>
      <c r="C8" s="995">
        <f ca="1">收益法!B2</f>
        <v>152598</v>
      </c>
      <c r="D8" s="995">
        <v>0</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2451</v>
      </c>
      <c r="B9" s="952"/>
      <c r="C9" s="952"/>
      <c r="D9" s="952"/>
      <c r="E9" s="952"/>
      <c r="F9" s="952"/>
      <c r="G9" s="952"/>
      <c r="H9" s="952"/>
      <c r="I9" s="952"/>
      <c r="J9" s="952"/>
      <c r="K9" s="953"/>
    </row>
    <row r="10" spans="1:33" s="968" customFormat="1" ht="13.5" customHeight="1">
      <c r="A10" s="955" t="s">
        <v>2452</v>
      </c>
      <c r="B10" s="8" t="s">
        <v>2453</v>
      </c>
      <c r="C10" s="964" t="s">
        <v>2454</v>
      </c>
      <c r="D10" s="965" t="s">
        <v>2455</v>
      </c>
      <c r="E10" s="965" t="s">
        <v>2456</v>
      </c>
      <c r="F10" s="965" t="s">
        <v>2457</v>
      </c>
      <c r="G10" s="8"/>
      <c r="H10" s="966"/>
      <c r="I10" s="966"/>
      <c r="J10" s="966"/>
      <c r="K10" s="967"/>
    </row>
    <row r="11" spans="1:33" s="973" customFormat="1" ht="13.5" customHeight="1">
      <c r="A11" s="969" t="s">
        <v>1328</v>
      </c>
      <c r="B11" s="970" t="s">
        <v>2458</v>
      </c>
      <c r="C11" s="318">
        <f ca="1">IF(C1="",'数据-取费表'!P16,INDIRECT("'数据-取费表'!p"&amp;$K$1)+INDIRECT("'数据-取费表'!ar"&amp;$K$1))</f>
        <v>34161</v>
      </c>
      <c r="D11" s="971"/>
      <c r="E11" s="370"/>
      <c r="F11" s="972">
        <f ca="1">1-IF('数据-取费表'!B24=0,1,IF(C1="",'数据-取费表'!N16,INDIRECT("'数据-取费表'!n"&amp;$K$1)))</f>
        <v>0.59000000000000008</v>
      </c>
      <c r="G11" s="8"/>
      <c r="H11" s="966"/>
      <c r="I11" s="966"/>
      <c r="J11" s="966"/>
      <c r="K11" s="967"/>
    </row>
    <row r="12" spans="1:33" s="973" customFormat="1" ht="13.5" customHeight="1">
      <c r="A12" s="969" t="s">
        <v>1329</v>
      </c>
      <c r="B12" s="970" t="s">
        <v>2459</v>
      </c>
      <c r="C12" s="24">
        <f ca="1">ROUND(C11*F12,0)</f>
        <v>1025</v>
      </c>
      <c r="D12" s="971"/>
      <c r="E12" s="370"/>
      <c r="F12" s="974">
        <f>'数据-取费表'!B33</f>
        <v>0.03</v>
      </c>
      <c r="G12" s="8" t="s">
        <v>2460</v>
      </c>
      <c r="H12" s="966"/>
      <c r="I12" s="966"/>
      <c r="J12" s="966"/>
      <c r="K12" s="967"/>
    </row>
    <row r="13" spans="1:33" s="973" customFormat="1" ht="13.5" customHeight="1">
      <c r="A13" s="969" t="s">
        <v>1330</v>
      </c>
      <c r="B13" s="970" t="s">
        <v>2461</v>
      </c>
      <c r="C13" s="24">
        <f ca="1">ROUND(IF(C1="",SUMIF('数据-取费表'!C:C,"住宅",'数据-取费表'!P:P)*F13,IF(INDIRECT("'数据-取费表'!c"&amp;$K$1)="住宅",INDIRECT("'数据-取费表'!P"&amp;$K$1)*F13,0)),0)</f>
        <v>0</v>
      </c>
      <c r="D13" s="1031"/>
      <c r="E13" s="370"/>
      <c r="F13" s="974">
        <f>'数据-取费表'!B34</f>
        <v>0</v>
      </c>
      <c r="G13" s="8" t="s">
        <v>2462</v>
      </c>
      <c r="H13" s="966"/>
      <c r="I13" s="966"/>
      <c r="J13" s="966"/>
      <c r="K13" s="967"/>
    </row>
    <row r="14" spans="1:33" s="975" customFormat="1" ht="13.5" customHeight="1">
      <c r="A14" s="969" t="s">
        <v>1331</v>
      </c>
      <c r="B14" s="970" t="s">
        <v>2463</v>
      </c>
      <c r="C14" s="24">
        <f ca="1">ROUND(D14*E14*F11/10000,0)</f>
        <v>1139</v>
      </c>
      <c r="D14" s="1031">
        <f ca="1">IF(C1="",'数据-汇总表'!E3,INDIRECT("'数据-取费表'!K"&amp;$K$1)+INDIRECT("'数据-取费表'!S"&amp;$K$1))</f>
        <v>96535.67</v>
      </c>
      <c r="E14" s="24">
        <f>'数据-取费表'!B35</f>
        <v>200</v>
      </c>
      <c r="F14" s="974"/>
      <c r="G14" s="8" t="s">
        <v>2464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1332</v>
      </c>
      <c r="B15" s="970" t="s">
        <v>2465</v>
      </c>
      <c r="C15" s="981">
        <f ca="1">ROUND(C11*F15,0)</f>
        <v>512</v>
      </c>
      <c r="D15" s="976"/>
      <c r="E15" s="981"/>
      <c r="F15" s="982">
        <f>'数据-取费表'!B36</f>
        <v>1.4999999999999999E-2</v>
      </c>
      <c r="G15" s="137" t="s">
        <v>2466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2467</v>
      </c>
      <c r="C16" s="981">
        <f ca="1">SUM(C11:C15)</f>
        <v>36837</v>
      </c>
      <c r="D16" s="976"/>
      <c r="E16" s="981"/>
      <c r="F16" s="982"/>
      <c r="G16" s="137"/>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2468</v>
      </c>
      <c r="C17" s="24">
        <f ca="1">ROUND(D17*E17/10000,0)</f>
        <v>0</v>
      </c>
      <c r="D17" s="1031">
        <f ca="1">D14</f>
        <v>96535.67</v>
      </c>
      <c r="E17" s="24">
        <f>'数据-取费表'!B32</f>
        <v>0</v>
      </c>
      <c r="F17" s="976"/>
      <c r="G17" s="137" t="s">
        <v>2469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1333</v>
      </c>
      <c r="B18" s="970" t="s">
        <v>2470</v>
      </c>
      <c r="C18" s="24">
        <f ca="1">C19+C20-IF(C1="",'数据-取费表'!B29,IF(G18="已全部缴纳",C19+C20,H18))</f>
        <v>0</v>
      </c>
      <c r="D18" s="1031"/>
      <c r="E18" s="24"/>
      <c r="F18" s="974"/>
      <c r="G18" s="2554"/>
      <c r="H18" s="1575"/>
      <c r="I18" s="2555" t="s">
        <v>2471</v>
      </c>
      <c r="J18" s="977"/>
      <c r="K18" s="978"/>
    </row>
    <row r="19" spans="1:33" s="973" customFormat="1" ht="13.5" customHeight="1">
      <c r="A19" s="969" t="s">
        <v>805</v>
      </c>
      <c r="B19" s="970" t="s">
        <v>2472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2473</v>
      </c>
      <c r="C20" s="24">
        <f ca="1">ROUND(D20*E20/10000,0)</f>
        <v>1931</v>
      </c>
      <c r="D20" s="1031">
        <f ca="1">IF(C1="",'数据-汇总表'!E6,IF(INDIRECT("'数据-取费表'!c"&amp;$K$1)="住宅",INDIRECT("'数据-取费表'!s"&amp;$K$1),INDIRECT("'数据-取费表'!k"&amp;$K$1)+INDIRECT("'数据-取费表'!s"&amp;$K$1)))</f>
        <v>96535.67</v>
      </c>
      <c r="E20" s="24">
        <f>'数据-取费表'!B28</f>
        <v>200</v>
      </c>
      <c r="F20" s="974"/>
      <c r="G20" s="15"/>
      <c r="H20" s="979"/>
      <c r="I20" s="979"/>
      <c r="J20" s="979"/>
      <c r="K20" s="980"/>
    </row>
    <row r="21" spans="1:33" s="973" customFormat="1" ht="13.5" customHeight="1">
      <c r="A21" s="959" t="s">
        <v>802</v>
      </c>
      <c r="B21" s="983" t="s">
        <v>2474</v>
      </c>
      <c r="C21" s="984">
        <f ca="1">C16+C17+C18</f>
        <v>36837</v>
      </c>
      <c r="D21" s="985"/>
      <c r="E21" s="320"/>
      <c r="F21" s="320"/>
      <c r="G21" s="137" t="s">
        <v>2475</v>
      </c>
      <c r="H21" s="977"/>
      <c r="I21" s="977"/>
      <c r="J21" s="977"/>
      <c r="K21" s="978"/>
    </row>
    <row r="22" spans="1:33" s="973" customFormat="1" ht="13.5" customHeight="1">
      <c r="A22" s="959" t="s">
        <v>2447</v>
      </c>
      <c r="B22" s="983" t="s">
        <v>2476</v>
      </c>
      <c r="C22" s="984">
        <f ca="1">ROUND(C21*F22,0)</f>
        <v>737</v>
      </c>
      <c r="D22" s="320"/>
      <c r="E22" s="320"/>
      <c r="F22" s="986">
        <f>'数据-取费表'!B37</f>
        <v>0.02</v>
      </c>
      <c r="G22" s="8" t="s">
        <v>2477</v>
      </c>
      <c r="H22" s="966"/>
      <c r="I22" s="966"/>
      <c r="J22" s="966"/>
      <c r="K22" s="967"/>
    </row>
    <row r="23" spans="1:33" s="973" customFormat="1" ht="13.5" customHeight="1">
      <c r="A23" s="959" t="s">
        <v>2449</v>
      </c>
      <c r="B23" s="983" t="s">
        <v>2478</v>
      </c>
      <c r="C23" s="984">
        <f ca="1">ROUND(C4*F23*F11,0)</f>
        <v>1801</v>
      </c>
      <c r="D23" s="320"/>
      <c r="E23" s="320"/>
      <c r="F23" s="986">
        <f>'数据-取费表'!B38</f>
        <v>0.02</v>
      </c>
      <c r="G23" s="8" t="s">
        <v>2479</v>
      </c>
      <c r="H23" s="966"/>
      <c r="I23" s="966"/>
      <c r="J23" s="966"/>
      <c r="K23" s="967"/>
    </row>
    <row r="24" spans="1:33" s="973" customFormat="1" ht="13.5" customHeight="1">
      <c r="A24" s="959" t="s">
        <v>2480</v>
      </c>
      <c r="B24" s="983" t="s">
        <v>2481</v>
      </c>
      <c r="C24" s="319">
        <f>ROUND(F24/(1+'数据-取费表'!C42),4)</f>
        <v>2.9000000000000001E-2</v>
      </c>
      <c r="D24" s="320" t="s">
        <v>15</v>
      </c>
      <c r="E24" s="320"/>
      <c r="F24" s="986">
        <f>'数据-取费表'!B48+'数据-取费表'!B49</f>
        <v>3.0499999999999999E-2</v>
      </c>
      <c r="G24" s="8" t="s">
        <v>2482</v>
      </c>
      <c r="H24" s="988"/>
      <c r="I24" s="988"/>
      <c r="J24" s="988"/>
      <c r="K24" s="989"/>
    </row>
    <row r="25" spans="1:33" s="973" customFormat="1" ht="13.5" customHeight="1">
      <c r="A25" s="959" t="s">
        <v>2483</v>
      </c>
      <c r="B25" s="985" t="s">
        <v>2484</v>
      </c>
      <c r="C25" s="1354">
        <f ca="1">C27</f>
        <v>1112</v>
      </c>
      <c r="D25" s="319">
        <f ca="1">C26</f>
        <v>5.8900000000000001E-2</v>
      </c>
      <c r="E25" s="321" t="s">
        <v>15</v>
      </c>
      <c r="F25" s="322">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2485</v>
      </c>
      <c r="C26" s="1355">
        <f ca="1">ROUND(IF('数据-取费表'!B22&lt;=1,(1+C24)*F25*'数据-取费表'!B24,(1+C24)*(POWER((1+F25),'数据-取费表'!B24)-1)),4)</f>
        <v>5.8900000000000001E-2</v>
      </c>
      <c r="D26" s="323"/>
      <c r="E26" s="324"/>
      <c r="F26" s="325"/>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2486</v>
      </c>
      <c r="C27" s="1356">
        <f ca="1">ROUND(IF('数据-取费表'!B22&lt;=1,(C21+C22+C23)*F25*'数据-取费表'!B24/2,(C21+C22+C23)*(POWER((1+F25),'数据-取费表'!B24/2)-1)),0)</f>
        <v>1112</v>
      </c>
      <c r="D27" s="323"/>
      <c r="E27" s="324"/>
      <c r="F27" s="325"/>
      <c r="G27" s="2556" t="str">
        <f>IF('数据-取费表'!B22&lt;=1,"（1）-（3）项×年利率×建设期÷2","（1）-（3）项×((1+年利率)^(建设期÷2)-1)")</f>
        <v>（1）-（3）项×((1+年利率)^(建设期÷2)-1)</v>
      </c>
      <c r="H27" s="977"/>
      <c r="I27" s="977"/>
      <c r="J27" s="977"/>
      <c r="K27" s="978"/>
    </row>
    <row r="28" spans="1:33" s="328" customFormat="1" ht="13.5" customHeight="1">
      <c r="A28" s="959" t="s">
        <v>2487</v>
      </c>
      <c r="B28" s="2557" t="s">
        <v>2488</v>
      </c>
      <c r="C28" s="326">
        <f ca="1">C30</f>
        <v>5906</v>
      </c>
      <c r="D28" s="319">
        <f ca="1">C29</f>
        <v>9.2600000000000002E-2</v>
      </c>
      <c r="E28" s="321" t="s">
        <v>15</v>
      </c>
      <c r="F28" s="327">
        <f ca="1">IF(C1="",'数据-取费表'!Q16,INDIRECT("'数据-取费表'!q"&amp;$K$1))</f>
        <v>0.15</v>
      </c>
      <c r="G28" s="987"/>
      <c r="H28" s="988"/>
      <c r="I28" s="988"/>
      <c r="J28" s="988"/>
      <c r="K28" s="989"/>
    </row>
    <row r="29" spans="1:33" s="330" customFormat="1" ht="13.5" customHeight="1">
      <c r="A29" s="969" t="s">
        <v>803</v>
      </c>
      <c r="B29" s="992" t="s">
        <v>2489</v>
      </c>
      <c r="C29" s="323">
        <f ca="1">ROUND((1+C24)*F28*'数据-取费表'!B24/'数据-取费表'!B20,4)</f>
        <v>9.2600000000000002E-2</v>
      </c>
      <c r="D29" s="323"/>
      <c r="E29" s="324"/>
      <c r="F29" s="329"/>
      <c r="G29" s="137" t="s">
        <v>2490</v>
      </c>
      <c r="H29" s="977"/>
      <c r="I29" s="977"/>
      <c r="J29" s="977"/>
      <c r="K29" s="978"/>
    </row>
    <row r="30" spans="1:33" s="330" customFormat="1" ht="13.5" customHeight="1">
      <c r="A30" s="969" t="s">
        <v>804</v>
      </c>
      <c r="B30" s="992" t="s">
        <v>2491</v>
      </c>
      <c r="C30" s="331">
        <f ca="1">ROUND((C21+C22+C23)*F28,0)</f>
        <v>5906</v>
      </c>
      <c r="D30" s="323"/>
      <c r="E30" s="324"/>
      <c r="F30" s="329"/>
      <c r="G30" s="137"/>
      <c r="H30" s="977"/>
      <c r="I30" s="977"/>
      <c r="J30" s="977"/>
      <c r="K30" s="978"/>
    </row>
    <row r="31" spans="1:33" s="973" customFormat="1" ht="13.5" customHeight="1" thickBot="1">
      <c r="A31" s="2558" t="s">
        <v>2492</v>
      </c>
      <c r="B31" s="1003" t="s">
        <v>2493</v>
      </c>
      <c r="C31" s="1004">
        <f ca="1">ROUND(C4*F31/(1+'数据-取费表'!C42),0)</f>
        <v>7993</v>
      </c>
      <c r="D31" s="1005"/>
      <c r="E31" s="1006"/>
      <c r="F31" s="1007">
        <f>'数据-取费表'!B41</f>
        <v>5.5000000000000007E-2</v>
      </c>
      <c r="G31" s="1008" t="s">
        <v>2494</v>
      </c>
      <c r="H31" s="1009"/>
      <c r="I31" s="1009"/>
      <c r="J31" s="1009"/>
      <c r="K31" s="1010"/>
    </row>
    <row r="32" spans="1:33" s="968" customFormat="1" ht="13.5" customHeight="1" thickBot="1">
      <c r="A32" s="998" t="s">
        <v>2495</v>
      </c>
      <c r="B32" s="999"/>
      <c r="C32" s="1000">
        <f ca="1">ROUND((C4-C21-C22-C23-C25-C28-C31)/(1+C24+D25+D28),0)</f>
        <v>83195</v>
      </c>
      <c r="D32" s="999"/>
      <c r="E32" s="999"/>
      <c r="F32" s="999"/>
      <c r="G32" s="1001" t="s">
        <v>2496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90" zoomScaleSheetLayoutView="100" workbookViewId="0">
      <selection activeCell="C40" sqref="C4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t="s">
        <v>3140</v>
      </c>
      <c r="D1" s="1818" t="s">
        <v>3137</v>
      </c>
      <c r="E1" s="1819" t="s">
        <v>1381</v>
      </c>
      <c r="F1" s="1281">
        <f ca="1">J53</f>
        <v>33.919999999999995</v>
      </c>
      <c r="G1" s="1834">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1509</v>
      </c>
      <c r="B2" s="1842">
        <f ca="1">C40+J29+L46</f>
        <v>152598</v>
      </c>
      <c r="C2" s="1843" t="s">
        <v>1510</v>
      </c>
      <c r="D2" s="1843"/>
      <c r="E2" s="1844"/>
      <c r="F2" s="1845"/>
      <c r="G2" s="1846"/>
      <c r="H2" s="1838"/>
      <c r="I2" s="1838"/>
      <c r="J2" s="1838"/>
      <c r="K2" s="1839"/>
      <c r="L2" s="1838"/>
      <c r="M2" s="1838"/>
    </row>
    <row r="3" spans="1:37" ht="18" customHeight="1" thickBot="1">
      <c r="A3" s="1847" t="s">
        <v>1511</v>
      </c>
      <c r="B3" s="1848">
        <f ca="1">IF(ISERROR(B2*10000/F43),0,ROUND(B2*10000/F43,0))</f>
        <v>18222</v>
      </c>
      <c r="C3" s="1843" t="s">
        <v>1512</v>
      </c>
      <c r="D3" s="1843"/>
      <c r="E3" s="1844"/>
      <c r="F3" s="1845"/>
      <c r="G3" s="1846"/>
      <c r="H3" s="739" t="s">
        <v>1582</v>
      </c>
      <c r="I3" s="1838"/>
      <c r="J3" s="1838"/>
      <c r="K3" s="1839"/>
      <c r="L3" s="1838"/>
      <c r="M3" s="1838"/>
    </row>
    <row r="4" spans="1:37" ht="18" customHeight="1">
      <c r="A4" s="335" t="s">
        <v>1390</v>
      </c>
      <c r="B4" s="336" t="s">
        <v>1391</v>
      </c>
      <c r="C4" s="336" t="s">
        <v>1392</v>
      </c>
      <c r="D4" s="336" t="s">
        <v>1393</v>
      </c>
      <c r="E4" s="337" t="s">
        <v>1394</v>
      </c>
      <c r="F4" s="338"/>
      <c r="G4" s="1849"/>
      <c r="H4" s="335" t="s">
        <v>1390</v>
      </c>
      <c r="I4" s="336" t="s">
        <v>1391</v>
      </c>
      <c r="J4" s="336" t="s">
        <v>1392</v>
      </c>
      <c r="K4" s="336" t="s">
        <v>1393</v>
      </c>
      <c r="L4" s="337" t="s">
        <v>1394</v>
      </c>
      <c r="M4" s="338"/>
    </row>
    <row r="5" spans="1:37" ht="18" customHeight="1">
      <c r="A5" s="339">
        <v>1</v>
      </c>
      <c r="B5" s="340" t="s">
        <v>1395</v>
      </c>
      <c r="C5" s="1290">
        <f ca="1">C6+C10+C12</f>
        <v>10105</v>
      </c>
      <c r="D5" s="1820" t="s">
        <v>1396</v>
      </c>
      <c r="E5" s="1291"/>
      <c r="F5" s="1292"/>
      <c r="G5" s="1849"/>
      <c r="H5" s="339">
        <v>1</v>
      </c>
      <c r="I5" s="340" t="s">
        <v>1395</v>
      </c>
      <c r="J5" s="1290">
        <f ca="1">J6+J10+J12</f>
        <v>0</v>
      </c>
      <c r="K5" s="1820" t="s">
        <v>1396</v>
      </c>
      <c r="L5" s="1291"/>
      <c r="M5" s="1292"/>
    </row>
    <row r="6" spans="1:37" ht="18" customHeight="1">
      <c r="A6" s="1289" t="s">
        <v>1035</v>
      </c>
      <c r="B6" s="3275" t="s">
        <v>1397</v>
      </c>
      <c r="C6" s="1294">
        <f ca="1">ROUND(F6*F8*F7*(1-F9)/10000,0)</f>
        <v>10105</v>
      </c>
      <c r="D6" s="159" t="s">
        <v>3009</v>
      </c>
      <c r="E6" s="342" t="s">
        <v>1399</v>
      </c>
      <c r="F6" s="343">
        <f ca="1">INDIRECT("'数据-取费表'!u"&amp;$G$1)</f>
        <v>10105.200000000001</v>
      </c>
      <c r="G6" s="1849"/>
      <c r="H6" s="1289" t="s">
        <v>1035</v>
      </c>
      <c r="I6" s="3275" t="s">
        <v>1397</v>
      </c>
      <c r="J6" s="341">
        <f ca="1">ROUND(M6*M8*M7*(1-M9)/10000,0)</f>
        <v>0</v>
      </c>
      <c r="K6" s="159" t="s">
        <v>3008</v>
      </c>
      <c r="L6" s="342" t="s">
        <v>1399</v>
      </c>
      <c r="M6" s="343">
        <f ca="1">INDIRECT("'数据-取费表'!z"&amp;$G$1)</f>
        <v>0</v>
      </c>
    </row>
    <row r="7" spans="1:37" ht="18" customHeight="1">
      <c r="A7" s="1293"/>
      <c r="B7" s="3276"/>
      <c r="C7" s="1295"/>
      <c r="D7" s="347"/>
      <c r="E7" s="1296" t="s">
        <v>1400</v>
      </c>
      <c r="F7" s="343">
        <f ca="1">IF(INDIRECT("'数据-取费表'!ah"&amp;$G$1)="",INDIRECT("'数据-取费表'!k"&amp;$G$1),INDIRECT("'数据-取费表'!ah"&amp;$G$1))</f>
        <v>10000</v>
      </c>
      <c r="G7" s="1849"/>
      <c r="H7" s="344"/>
      <c r="I7" s="3276"/>
      <c r="J7" s="346"/>
      <c r="K7" s="347"/>
      <c r="L7" s="342" t="s">
        <v>1400</v>
      </c>
      <c r="M7" s="343">
        <f ca="1">F7</f>
        <v>10000</v>
      </c>
    </row>
    <row r="8" spans="1:37" ht="18" customHeight="1">
      <c r="A8" s="344"/>
      <c r="B8" s="3276"/>
      <c r="C8" s="346"/>
      <c r="D8" s="347"/>
      <c r="E8" s="342" t="s">
        <v>1401</v>
      </c>
      <c r="F8" s="343">
        <f ca="1">INDIRECT("'数据-取费表'!ai"&amp;$G$1)</f>
        <v>1</v>
      </c>
      <c r="G8" s="1849"/>
      <c r="H8" s="344"/>
      <c r="I8" s="3276"/>
      <c r="J8" s="346"/>
      <c r="K8" s="347"/>
      <c r="L8" s="342" t="s">
        <v>1401</v>
      </c>
      <c r="M8" s="343">
        <f ca="1">INDIRECT("'数据-取费表'!ai"&amp;$G$1)</f>
        <v>1</v>
      </c>
    </row>
    <row r="9" spans="1:37" ht="18" customHeight="1">
      <c r="A9" s="344"/>
      <c r="B9" s="3277"/>
      <c r="C9" s="346"/>
      <c r="D9" s="347"/>
      <c r="E9" s="342" t="s">
        <v>1402</v>
      </c>
      <c r="F9" s="352">
        <f ca="1">INDIRECT("'数据-取费表'!w"&amp;$G$1)</f>
        <v>0</v>
      </c>
      <c r="G9" s="1849"/>
      <c r="H9" s="344"/>
      <c r="I9" s="3277"/>
      <c r="J9" s="346"/>
      <c r="K9" s="347"/>
      <c r="L9" s="353" t="s">
        <v>1402</v>
      </c>
      <c r="M9" s="354">
        <f ca="1">INDIRECT("'数据-取费表'!ab"&amp;$G$1)</f>
        <v>0</v>
      </c>
    </row>
    <row r="10" spans="1:37" ht="18" hidden="1" customHeight="1">
      <c r="A10" s="1289" t="s">
        <v>1039</v>
      </c>
      <c r="B10" s="1821" t="s">
        <v>1403</v>
      </c>
      <c r="C10" s="356">
        <f ca="1">ROUND(IF(F10="押一",C6/12*F11,IF(F10="押二",C6/12*2*F11,IF(F10="押三",C6/12*3*F11,C11*F11))),0)</f>
        <v>0</v>
      </c>
      <c r="D10" s="1822" t="s">
        <v>3018</v>
      </c>
      <c r="E10" s="353" t="s">
        <v>1404</v>
      </c>
      <c r="F10" s="1364" t="s">
        <v>3100</v>
      </c>
      <c r="G10" s="1849"/>
      <c r="H10" s="1289" t="s">
        <v>1039</v>
      </c>
      <c r="I10" s="1821" t="s">
        <v>1403</v>
      </c>
      <c r="J10" s="341">
        <f ca="1">ROUND(IF(M10="押一",J6/12*M11,IF(M10="押二",J6/12*2*M11,IF(M10="押三",J6/12*3*M11,J11*M11))),0)</f>
        <v>0</v>
      </c>
      <c r="K10" s="1822" t="s">
        <v>3017</v>
      </c>
      <c r="L10" s="353" t="s">
        <v>1404</v>
      </c>
      <c r="M10" s="1364" t="s">
        <v>1405</v>
      </c>
    </row>
    <row r="11" spans="1:37" ht="18" hidden="1" customHeight="1">
      <c r="A11" s="348"/>
      <c r="B11" s="1823" t="s">
        <v>1382</v>
      </c>
      <c r="C11" s="1176"/>
      <c r="D11" s="1824"/>
      <c r="E11" s="353" t="s">
        <v>1406</v>
      </c>
      <c r="F11" s="354">
        <f ca="1">'数据-取费表'!B39</f>
        <v>1.4999999999999999E-2</v>
      </c>
      <c r="G11" s="1849"/>
      <c r="H11" s="1297"/>
      <c r="I11" s="1823" t="s">
        <v>1382</v>
      </c>
      <c r="J11" s="1176"/>
      <c r="K11" s="743"/>
      <c r="L11" s="353" t="s">
        <v>1406</v>
      </c>
      <c r="M11" s="1054">
        <f ca="1">'数据-取费表'!B39</f>
        <v>1.4999999999999999E-2</v>
      </c>
    </row>
    <row r="12" spans="1:37" ht="18" hidden="1"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c r="A13" s="1327">
        <v>2</v>
      </c>
      <c r="B13" s="1328" t="s">
        <v>1408</v>
      </c>
      <c r="C13" s="350">
        <f ca="1">ROUND(C29*F13,0)</f>
        <v>79022</v>
      </c>
      <c r="D13" s="1329" t="s">
        <v>1409</v>
      </c>
      <c r="E13" s="1329" t="s">
        <v>1410</v>
      </c>
      <c r="F13" s="1330">
        <f ca="1">INDIRECT("'数据-取费表'!y"&amp;$G$1)</f>
        <v>1</v>
      </c>
      <c r="G13" s="1849"/>
      <c r="H13" s="1327">
        <v>2</v>
      </c>
      <c r="I13" s="1328" t="s">
        <v>1408</v>
      </c>
      <c r="J13" s="1288">
        <f ca="1">ROUND(J14*J15,0)</f>
        <v>0</v>
      </c>
      <c r="K13" s="1335" t="s">
        <v>1409</v>
      </c>
      <c r="L13" s="1850"/>
      <c r="M13" s="1851"/>
    </row>
    <row r="14" spans="1:37" ht="18" customHeight="1">
      <c r="A14" s="1199" t="s">
        <v>1034</v>
      </c>
      <c r="B14" s="342" t="s">
        <v>1411</v>
      </c>
      <c r="C14" s="358">
        <f ca="1">INDIRECT("'数据-取费表'!m"&amp;$G$1)+INDIRECT("'数据-取费表'!t"&amp;$G$1)</f>
        <v>55496</v>
      </c>
      <c r="D14" s="1798" t="s">
        <v>1412</v>
      </c>
      <c r="E14" s="1792"/>
      <c r="F14" s="359"/>
      <c r="G14" s="1849"/>
      <c r="H14" s="1199" t="s">
        <v>1035</v>
      </c>
      <c r="I14" s="342" t="s">
        <v>1413</v>
      </c>
      <c r="J14" s="24">
        <f ca="1">C29</f>
        <v>79022</v>
      </c>
      <c r="K14" s="15"/>
      <c r="L14" s="977"/>
      <c r="M14" s="978"/>
    </row>
    <row r="15" spans="1:37" s="1856" customFormat="1" ht="18" customHeight="1" thickBot="1">
      <c r="A15" s="1199" t="s">
        <v>1036</v>
      </c>
      <c r="B15" s="342" t="s">
        <v>1414</v>
      </c>
      <c r="C15" s="24">
        <f ca="1">ROUND(C14*F15,0)</f>
        <v>1665</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ROUND(INDIRECT("'数据-取费表'!m"&amp;$G$1)*F16,0)</f>
        <v>0</v>
      </c>
      <c r="D16" s="342" t="s">
        <v>1415</v>
      </c>
      <c r="E16" s="342" t="s">
        <v>1416</v>
      </c>
      <c r="F16" s="362">
        <f ca="1">IF(INDIRECT("'数据-取费表'!c"&amp;$G$1)="住宅",'数据-取费表'!B34,0)</f>
        <v>0</v>
      </c>
      <c r="G16" s="1849"/>
      <c r="H16" s="1327" t="s">
        <v>1030</v>
      </c>
      <c r="I16" s="1328" t="s">
        <v>1418</v>
      </c>
      <c r="J16" s="350">
        <f ca="1">ROUND(J17+J22+J23+J24,0)</f>
        <v>1981</v>
      </c>
      <c r="K16" s="1335" t="s">
        <v>1419</v>
      </c>
      <c r="L16" s="1336"/>
      <c r="M16" s="1292"/>
    </row>
    <row r="17" spans="1:37" s="1856" customFormat="1" ht="18" customHeight="1">
      <c r="A17" s="1199" t="s">
        <v>1384</v>
      </c>
      <c r="B17" s="342" t="s">
        <v>1420</v>
      </c>
      <c r="C17" s="24">
        <f ca="1">ROUND(F17*(F43+INDIRECT("'数据-取费表'!S"&amp;$G$1))/10000,0)</f>
        <v>1760</v>
      </c>
      <c r="D17" s="342" t="s">
        <v>1421</v>
      </c>
      <c r="E17" s="342" t="s">
        <v>1422</v>
      </c>
      <c r="F17" s="26">
        <f>'数据-取费表'!B35</f>
        <v>200</v>
      </c>
      <c r="G17" s="1852"/>
      <c r="H17" s="1199" t="s">
        <v>1035</v>
      </c>
      <c r="I17" s="342" t="s">
        <v>1423</v>
      </c>
      <c r="J17" s="24">
        <f ca="1">ROUND(IF(项目基本情况!B11="自然人",J5*M17,J18+J19+J20),1)</f>
        <v>4.9000000000000004</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832</v>
      </c>
      <c r="D18" s="342" t="s">
        <v>1415</v>
      </c>
      <c r="E18" s="342" t="s">
        <v>1416</v>
      </c>
      <c r="F18" s="362">
        <f>'数据-取费表'!B36</f>
        <v>1.4999999999999999E-2</v>
      </c>
      <c r="G18" s="1852"/>
      <c r="H18" s="1199" t="s">
        <v>1034</v>
      </c>
      <c r="I18" s="342" t="s">
        <v>1427</v>
      </c>
      <c r="J18" s="24">
        <f ca="1">ROUND(J5*M18/(1+'数据-取费表'!C42),2)</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59753</v>
      </c>
      <c r="D19" s="137" t="s">
        <v>1430</v>
      </c>
      <c r="E19" s="1816"/>
      <c r="F19" s="26"/>
      <c r="G19" s="1849"/>
      <c r="H19" s="1199" t="s">
        <v>1036</v>
      </c>
      <c r="I19" s="342" t="s">
        <v>1431</v>
      </c>
      <c r="J19" s="24">
        <f ca="1">IF(K19="按租金收入计税",ROUND(J5*M19,2),ROUND(C29*M19*0.7,2))</f>
        <v>0</v>
      </c>
      <c r="K19" s="1826" t="s">
        <v>3101</v>
      </c>
      <c r="L19" s="342" t="s">
        <v>1416</v>
      </c>
      <c r="M19" s="362">
        <f>IF(K19="按租金收入计税",'数据-取费表'!B51,'数据-取费表'!B50)</f>
        <v>0.12</v>
      </c>
    </row>
    <row r="20" spans="1:37" s="1856" customFormat="1" ht="18" customHeight="1">
      <c r="A20" s="1199" t="s">
        <v>1039</v>
      </c>
      <c r="B20" s="342" t="s">
        <v>1433</v>
      </c>
      <c r="C20" s="24">
        <f ca="1">ROUND(C19*F20,0)</f>
        <v>1195</v>
      </c>
      <c r="D20" s="364" t="s">
        <v>1434</v>
      </c>
      <c r="E20" s="342" t="s">
        <v>1416</v>
      </c>
      <c r="F20" s="362">
        <f>'数据-取费表'!B37</f>
        <v>0.02</v>
      </c>
      <c r="G20" s="1852"/>
      <c r="H20" s="1199" t="s">
        <v>1383</v>
      </c>
      <c r="I20" s="159" t="s">
        <v>1435</v>
      </c>
      <c r="J20" s="25">
        <f ca="1">ROUND(M20*M21/10000,2)</f>
        <v>4.92</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18</v>
      </c>
      <c r="D21" s="364" t="s">
        <v>1439</v>
      </c>
      <c r="E21" s="342" t="s">
        <v>1440</v>
      </c>
      <c r="F21" s="362">
        <f>'数据-取费表'!B38</f>
        <v>0.02</v>
      </c>
      <c r="G21" s="1852"/>
      <c r="H21" s="367"/>
      <c r="I21" s="351"/>
      <c r="J21" s="29"/>
      <c r="K21" s="368"/>
      <c r="L21" s="342" t="s">
        <v>1441</v>
      </c>
      <c r="M21" s="343">
        <f ca="1">INDIRECT("'数据-取费表'!r"&amp;$G$1)</f>
        <v>32800.720000000001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ROUND(J14*M22,1)</f>
        <v>1975.6</v>
      </c>
      <c r="K22" s="1796" t="s">
        <v>1444</v>
      </c>
      <c r="L22" s="342" t="s">
        <v>1416</v>
      </c>
      <c r="M22" s="369">
        <f ca="1">INDIRECT("'数据-取费表'!Ak"&amp;$G$1)</f>
        <v>2.5000000000000001E-2</v>
      </c>
    </row>
    <row r="23" spans="1:37" s="1856" customFormat="1" ht="18" customHeight="1">
      <c r="A23" s="1199" t="s">
        <v>1034</v>
      </c>
      <c r="B23" s="342" t="s">
        <v>1445</v>
      </c>
      <c r="C23" s="24">
        <f ca="1">IF('数据-取费表'!B22&lt;=1,ROUND(C19*F24*F23/2,0)+ROUND(C20*F24*F23/2,0),ROUND(C19*(POWER((1+F24),F23/2)-1),0)+ROUND(C20*(POWER((1+F24),F23/2)-1),0))</f>
        <v>2895</v>
      </c>
      <c r="D23" s="370" t="str">
        <f>IF(F23&lt;=1,"(建造成本+管理费用)×利率×(建设周期÷2)","(建造成本+管理费用)×((1+利率)^(建设周期÷2)-1)")</f>
        <v>(建造成本+管理费用)×((1+利率)^(建设周期÷2)-1)</v>
      </c>
      <c r="E23" s="342" t="s">
        <v>1446</v>
      </c>
      <c r="F23" s="366">
        <f>'数据-取费表'!B20</f>
        <v>2</v>
      </c>
      <c r="G23" s="1852"/>
      <c r="H23" s="1199" t="s">
        <v>1075</v>
      </c>
      <c r="I23" s="342" t="s">
        <v>1447</v>
      </c>
      <c r="J23" s="24">
        <f ca="1">ROUND(J13*M23,1)</f>
        <v>0</v>
      </c>
      <c r="K23" s="1796" t="s">
        <v>1448</v>
      </c>
      <c r="L23" s="342" t="s">
        <v>1449</v>
      </c>
      <c r="M23" s="371">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ROUND(J5*M24,1)</f>
        <v>0</v>
      </c>
      <c r="K24" s="1340" t="s">
        <v>1453</v>
      </c>
      <c r="L24" s="1338" t="s">
        <v>1449</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2" t="s">
        <v>1455</v>
      </c>
      <c r="C25" s="24"/>
      <c r="D25" s="137" t="s">
        <v>1456</v>
      </c>
      <c r="E25" s="1816"/>
      <c r="F25" s="26"/>
      <c r="G25" s="1849"/>
      <c r="H25" s="1327" t="s">
        <v>1031</v>
      </c>
      <c r="I25" s="1342" t="s">
        <v>1457</v>
      </c>
      <c r="J25" s="350">
        <f ca="1">J5-J16</f>
        <v>-1981</v>
      </c>
      <c r="K25" s="1343" t="s">
        <v>1458</v>
      </c>
      <c r="L25" s="1344"/>
      <c r="M25" s="1345"/>
    </row>
    <row r="26" spans="1:37">
      <c r="A26" s="1199" t="s">
        <v>1034</v>
      </c>
      <c r="B26" s="342" t="s">
        <v>1459</v>
      </c>
      <c r="C26" s="24">
        <f ca="1">ROUND((C19+C20)*F26,0)</f>
        <v>9142</v>
      </c>
      <c r="D26" s="364" t="s">
        <v>1460</v>
      </c>
      <c r="E26" s="353" t="s">
        <v>1461</v>
      </c>
      <c r="F26" s="352">
        <f ca="1">INDIRECT("'数据-取费表'!q"&amp;$G$1)</f>
        <v>0.15</v>
      </c>
      <c r="G26" s="1849"/>
      <c r="H26" s="339" t="s">
        <v>1032</v>
      </c>
      <c r="I26" s="340" t="s">
        <v>1462</v>
      </c>
      <c r="J26" s="341">
        <f ca="1">IF(J5&lt;&gt;0,ROUND(J25*(1-((1+M28)/(1+M26))^M27)/(M26-M28),0),0)</f>
        <v>0</v>
      </c>
      <c r="K26" s="365" t="s">
        <v>1463</v>
      </c>
      <c r="L26" s="342" t="s">
        <v>1464</v>
      </c>
      <c r="M26" s="352">
        <f ca="1">INDIRECT("'数据-取费表'!I"&amp;$G$1)</f>
        <v>5.5E-2</v>
      </c>
    </row>
    <row r="27" spans="1:37" ht="18" customHeight="1">
      <c r="A27" s="1199" t="s">
        <v>1036</v>
      </c>
      <c r="B27" s="342" t="s">
        <v>1465</v>
      </c>
      <c r="C27" s="24">
        <f ca="1">ROUND(F21*F26,4)</f>
        <v>3.0000000000000001E-3</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79022</v>
      </c>
      <c r="D29" s="1340"/>
      <c r="E29" s="1338"/>
      <c r="F29" s="1341"/>
      <c r="G29" s="1852"/>
      <c r="H29" s="375" t="s">
        <v>1033</v>
      </c>
      <c r="I29" s="376" t="s">
        <v>1473</v>
      </c>
      <c r="J29" s="377">
        <f ca="1">ROUND(J26/(1+F40)^F41,0)</f>
        <v>0</v>
      </c>
      <c r="K29" s="378" t="s">
        <v>1474</v>
      </c>
      <c r="L29" s="379"/>
      <c r="M29" s="380">
        <f ca="1">INDIRECT("'数据-取费表'!k"&amp;$G$1)</f>
        <v>83744.429999999993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3714</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ROUND(IF(项目基本情况!B11="自然人",C5*F31,C32+C33+C34),1)</f>
        <v>1198</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IF(项目基本情况!B11="自然人","——",ROUND(C5*F32/(1+'数据-取费表'!C42),2))</f>
        <v>529.30999999999995</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IF(项目基本情况!B11="自然人","——",IF(D33="按租金收入计税",ROUND(C5*F33,2),IF(D33="按房产原值计税",ROUND(C29*F33*0.7,2),INDIRECT("'数据-取费表'!Aj"&amp;$G$1))))</f>
        <v>663.78</v>
      </c>
      <c r="D33" s="3004" t="s">
        <v>3175</v>
      </c>
      <c r="E33" s="342" t="s">
        <v>1416</v>
      </c>
      <c r="F33" s="362">
        <f>IF(D33="按票据","——",IF(D33="按租金收入计税",'数据-取费表'!B51,'数据-取费表'!B50))</f>
        <v>1.2E-2</v>
      </c>
      <c r="G33" s="1849"/>
      <c r="H33" s="1857"/>
      <c r="I33" s="1858"/>
      <c r="J33" s="1859"/>
      <c r="K33" s="1860"/>
      <c r="L33" s="1857"/>
      <c r="M33" s="1857"/>
    </row>
    <row r="34" spans="1:18" ht="18" customHeight="1">
      <c r="A34" s="1289" t="s">
        <v>1383</v>
      </c>
      <c r="B34" s="159" t="s">
        <v>1435</v>
      </c>
      <c r="C34" s="25">
        <f ca="1">IF(项目基本情况!B11="自然人","——",ROUND(F34*F35/10000,2))</f>
        <v>4.92</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32800.720000000001</v>
      </c>
      <c r="G35" s="1849"/>
      <c r="H35" s="740"/>
      <c r="I35" s="1858"/>
      <c r="J35" s="1859"/>
      <c r="K35" s="1860"/>
      <c r="L35" s="1857"/>
      <c r="M35" s="1857"/>
    </row>
    <row r="36" spans="1:18" ht="18" customHeight="1">
      <c r="A36" s="1350" t="s">
        <v>1039</v>
      </c>
      <c r="B36" s="342" t="s">
        <v>1443</v>
      </c>
      <c r="C36" s="24">
        <f ca="1">ROUND(C29*F36,1)</f>
        <v>1975.6</v>
      </c>
      <c r="D36" s="1796" t="s">
        <v>1476</v>
      </c>
      <c r="E36" s="342" t="s">
        <v>1416</v>
      </c>
      <c r="F36" s="369">
        <f ca="1">INDIRECT("'数据-取费表'!Ak"&amp;$G$1)</f>
        <v>2.5000000000000001E-2</v>
      </c>
      <c r="G36" s="1849"/>
      <c r="H36" s="1857"/>
      <c r="I36" s="1858"/>
      <c r="J36" s="1859"/>
      <c r="K36" s="746"/>
      <c r="L36" s="1857"/>
      <c r="M36" s="1857"/>
    </row>
    <row r="37" spans="1:18" ht="18" customHeight="1">
      <c r="A37" s="1199" t="s">
        <v>1075</v>
      </c>
      <c r="B37" s="342" t="s">
        <v>1447</v>
      </c>
      <c r="C37" s="24">
        <f ca="1">ROUND(C13*F37,1)</f>
        <v>237.1</v>
      </c>
      <c r="D37" s="1796" t="s">
        <v>1448</v>
      </c>
      <c r="E37" s="342" t="s">
        <v>1449</v>
      </c>
      <c r="F37" s="371">
        <f ca="1">INDIRECT("'数据-取费表'!Al"&amp;$G$1)</f>
        <v>3.0000000000000001E-3</v>
      </c>
      <c r="G37" s="1849"/>
      <c r="H37" s="1857"/>
      <c r="I37" s="1858"/>
      <c r="J37" s="1859"/>
      <c r="K37" s="746"/>
      <c r="L37" s="1857"/>
      <c r="M37" s="1857"/>
    </row>
    <row r="38" spans="1:18" ht="18" customHeight="1" thickBot="1">
      <c r="A38" s="1337" t="s">
        <v>1387</v>
      </c>
      <c r="B38" s="1338" t="s">
        <v>1433</v>
      </c>
      <c r="C38" s="1339">
        <f ca="1">ROUND(C5*F38,1)</f>
        <v>303.2</v>
      </c>
      <c r="D38" s="1340" t="s">
        <v>1453</v>
      </c>
      <c r="E38" s="1338" t="s">
        <v>1449</v>
      </c>
      <c r="F38" s="1334">
        <f ca="1">INDIRECT("'数据-取费表'!Am"&amp;$G$1)</f>
        <v>0.03</v>
      </c>
      <c r="G38" s="1849"/>
      <c r="H38" s="1857"/>
      <c r="I38" s="1858"/>
      <c r="J38" s="1859"/>
      <c r="K38" s="1863"/>
      <c r="L38" s="1857"/>
      <c r="M38" s="1857"/>
    </row>
    <row r="39" spans="1:18" ht="24.6" customHeight="1" thickTop="1">
      <c r="A39" s="1327" t="s">
        <v>1031</v>
      </c>
      <c r="B39" s="1342" t="s">
        <v>1477</v>
      </c>
      <c r="C39" s="350">
        <f ca="1">C5-C30</f>
        <v>6391</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152598</v>
      </c>
      <c r="D40" s="365" t="s">
        <v>1463</v>
      </c>
      <c r="E40" s="342" t="s">
        <v>1464</v>
      </c>
      <c r="F40" s="352">
        <f ca="1">INDIRECT("'数据-取费表'!I"&amp;$G$1)</f>
        <v>5.5E-2</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33.919999999999995</v>
      </c>
      <c r="G41" s="1849"/>
      <c r="H41" s="727"/>
      <c r="I41" s="1858"/>
      <c r="J41" s="1859"/>
      <c r="K41" s="746"/>
      <c r="L41" s="727"/>
      <c r="M41" s="727"/>
    </row>
    <row r="42" spans="1:18" ht="18" customHeight="1">
      <c r="A42" s="348"/>
      <c r="B42" s="349"/>
      <c r="C42" s="350"/>
      <c r="D42" s="368"/>
      <c r="E42" s="342" t="s">
        <v>1471</v>
      </c>
      <c r="F42" s="352">
        <f ca="1">INDIRECT("'数据-取费表'!v"&amp;$G$1)</f>
        <v>3.5000000000000003E-2</v>
      </c>
      <c r="G42" s="1849"/>
      <c r="H42" s="727"/>
      <c r="I42" s="1858"/>
      <c r="J42" s="1859"/>
      <c r="K42" s="746"/>
      <c r="L42" s="727"/>
      <c r="M42" s="727"/>
    </row>
    <row r="43" spans="1:18" ht="18" customHeight="1" thickBot="1">
      <c r="A43" s="375" t="s">
        <v>1033</v>
      </c>
      <c r="B43" s="376" t="s">
        <v>1481</v>
      </c>
      <c r="C43" s="377">
        <f ca="1">ROUND(C40*10000/F43,0)</f>
        <v>18222</v>
      </c>
      <c r="D43" s="378" t="s">
        <v>1482</v>
      </c>
      <c r="E43" s="379" t="s">
        <v>1483</v>
      </c>
      <c r="F43" s="380">
        <f ca="1">INDIRECT("'数据-取费表'!k"&amp;$G$1)</f>
        <v>83744.429999999993</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1513</v>
      </c>
      <c r="P45" s="1837"/>
      <c r="Q45" s="1837"/>
      <c r="R45" s="1837"/>
    </row>
    <row r="46" spans="1:18" s="1840" customFormat="1" ht="13.5" thickBot="1">
      <c r="A46" s="1868" t="s">
        <v>1514</v>
      </c>
      <c r="C46" s="1869">
        <f ca="1">C68-C40</f>
        <v>62431</v>
      </c>
      <c r="D46" s="1870" t="str">
        <f>C2</f>
        <v>万元</v>
      </c>
      <c r="E46" s="1864"/>
      <c r="F46" s="1864"/>
      <c r="I46" s="1871" t="s">
        <v>1515</v>
      </c>
      <c r="J46" s="1872"/>
      <c r="K46" s="1873"/>
      <c r="L46" s="2990"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87"/>
      <c r="I47" s="1878" t="s">
        <v>1520</v>
      </c>
      <c r="J47" s="1879" t="s">
        <v>3098</v>
      </c>
      <c r="K47" s="1880" t="s">
        <v>1521</v>
      </c>
      <c r="L47" s="1881">
        <f ca="1">INDIRECT("'数据-取费表'!d"&amp;$G$1)</f>
        <v>40</v>
      </c>
      <c r="M47" s="1836" t="str">
        <f>IF(ISNUMBER(FIND("住宅",C1)),"住宅","非住宅")</f>
        <v>非住宅</v>
      </c>
      <c r="O47" s="1882" t="s">
        <v>1040</v>
      </c>
      <c r="P47" s="1883" t="s">
        <v>1522</v>
      </c>
      <c r="Q47" s="1884">
        <f ca="1">C40+J29</f>
        <v>152598</v>
      </c>
      <c r="R47" s="1884" t="s">
        <v>1523</v>
      </c>
    </row>
    <row r="48" spans="1:18" s="1840" customFormat="1" ht="28.5" thickBot="1">
      <c r="A48" s="1358" t="s">
        <v>1129</v>
      </c>
      <c r="B48" s="340" t="s">
        <v>1395</v>
      </c>
      <c r="C48" s="1815">
        <f ca="1">C49+C53+C55</f>
        <v>18045</v>
      </c>
      <c r="D48" s="1360"/>
      <c r="E48" s="1361"/>
      <c r="F48" s="1179"/>
      <c r="G48" s="787"/>
      <c r="H48" s="788"/>
      <c r="I48" s="1885" t="s">
        <v>1524</v>
      </c>
      <c r="J48" s="1886" t="s">
        <v>3099</v>
      </c>
      <c r="K48" s="1887" t="s">
        <v>1525</v>
      </c>
      <c r="L48" s="1888">
        <f ca="1">INDIRECT("'数据-取费表'!f"&amp;$G$1)</f>
        <v>35.119999999999997</v>
      </c>
      <c r="O48" s="1882" t="s">
        <v>1041</v>
      </c>
      <c r="P48" s="1883" t="s">
        <v>1526</v>
      </c>
      <c r="Q48" s="1884" t="str">
        <f ca="1">J60</f>
        <v>0</v>
      </c>
      <c r="R48" s="1884" t="s">
        <v>1527</v>
      </c>
    </row>
    <row r="49" spans="1:18" s="1840" customFormat="1" ht="13.5" thickBot="1">
      <c r="A49" s="1192" t="s">
        <v>1130</v>
      </c>
      <c r="B49" s="1827" t="s">
        <v>1484</v>
      </c>
      <c r="C49" s="1362">
        <f ca="1">ROUND(F49*F51*F50*(1-F52)/10000,0)</f>
        <v>18000</v>
      </c>
      <c r="D49" s="1274" t="s">
        <v>3010</v>
      </c>
      <c r="E49" s="1828" t="s">
        <v>1485</v>
      </c>
      <c r="F49" s="1279">
        <v>20000</v>
      </c>
      <c r="G49" s="1889"/>
      <c r="H49" s="788"/>
      <c r="I49" s="1885" t="s">
        <v>1528</v>
      </c>
      <c r="J49" s="1890"/>
      <c r="K49" s="1887" t="s">
        <v>1529</v>
      </c>
      <c r="L49" s="1891"/>
      <c r="O49" s="1892" t="s">
        <v>1042</v>
      </c>
      <c r="P49" s="1883" t="s">
        <v>1530</v>
      </c>
      <c r="Q49" s="1884">
        <f ca="1">C29</f>
        <v>79022</v>
      </c>
      <c r="R49" s="1884" t="s">
        <v>1523</v>
      </c>
    </row>
    <row r="50" spans="1:18" s="1840" customFormat="1" ht="13.5" thickBot="1">
      <c r="A50" s="1193"/>
      <c r="B50" s="1196"/>
      <c r="C50" s="1366"/>
      <c r="D50" s="1170"/>
      <c r="E50" s="1275" t="s">
        <v>1400</v>
      </c>
      <c r="F50" s="1276">
        <f ca="1">F7</f>
        <v>10000</v>
      </c>
      <c r="H50" s="788"/>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1</v>
      </c>
      <c r="I51" s="1896" t="s">
        <v>1534</v>
      </c>
      <c r="J51" s="1897">
        <f>IF(J49="",J50,J49+J50-YEAR('数据-取费表'!B2))</f>
        <v>60</v>
      </c>
      <c r="K51" s="1898" t="s">
        <v>1535</v>
      </c>
      <c r="L51" s="1899">
        <f ca="1">ROUND(-PV(INDIRECT("'数据-取费表'!h"&amp;$G$1),L48,(C39-C13*C76),0),0)</f>
        <v>-5343</v>
      </c>
      <c r="M51" s="1900"/>
      <c r="O51" s="1892" t="s">
        <v>1044</v>
      </c>
      <c r="P51" s="1883" t="s">
        <v>1536</v>
      </c>
      <c r="Q51" s="1895">
        <f>J52</f>
        <v>0.09</v>
      </c>
      <c r="R51" s="1884"/>
    </row>
    <row r="52" spans="1:18" s="1840" customFormat="1" ht="13.5" thickBot="1">
      <c r="A52" s="1194"/>
      <c r="B52" s="1196"/>
      <c r="C52" s="1197"/>
      <c r="D52" s="1170"/>
      <c r="E52" s="1198" t="s">
        <v>1402</v>
      </c>
      <c r="F52" s="1273">
        <v>0.1</v>
      </c>
      <c r="I52" s="1901" t="s">
        <v>1537</v>
      </c>
      <c r="J52" s="1902">
        <v>0.09</v>
      </c>
      <c r="K52" s="1901" t="s">
        <v>1538</v>
      </c>
      <c r="L52" s="1902">
        <v>4.4999999999999998E-2</v>
      </c>
      <c r="O52" s="1892" t="s">
        <v>1045</v>
      </c>
      <c r="P52" s="1883" t="s">
        <v>1539</v>
      </c>
      <c r="Q52" s="1884">
        <f ca="1">J53</f>
        <v>33.919999999999995</v>
      </c>
      <c r="R52" s="1884" t="s">
        <v>1540</v>
      </c>
    </row>
    <row r="53" spans="1:18" s="1840" customFormat="1" ht="24.75" thickBot="1">
      <c r="A53" s="1403" t="s">
        <v>1131</v>
      </c>
      <c r="B53" s="1829" t="s">
        <v>1403</v>
      </c>
      <c r="C53" s="356">
        <f ca="1">ROUND(IF(F53="押一",C49/12*F11,IF(F53="押二",C49/12*2*F11,IF(F53="押三",C49/12*3*F11,C54*F11))),0)</f>
        <v>45</v>
      </c>
      <c r="D53" s="1822" t="s">
        <v>3017</v>
      </c>
      <c r="E53" s="353" t="s">
        <v>1404</v>
      </c>
      <c r="F53" s="1364" t="s">
        <v>3170</v>
      </c>
      <c r="I53" s="1903" t="s">
        <v>1541</v>
      </c>
      <c r="J53" s="1904">
        <f ca="1">IF(M47="住宅",IF(D1="——",MAX(J51,L48),IF(D1="在建（套用方法）",MAX(J51,L48-'数据-取费表'!B24),MAX(J51,L48-'数据-取费表'!B20))),IF(D1="——",MIN(J51,L48),IF(D1="在建（套用方法）",MIN(J51,L48-'数据-取费表'!B24),IF(D1="土地（套用方法）",MIN(J51,L48-'数据-取费表'!B20)))))</f>
        <v>33.919999999999995</v>
      </c>
      <c r="K53" s="3273" t="s">
        <v>1542</v>
      </c>
      <c r="L53" s="3274"/>
      <c r="O53" s="1882" t="s">
        <v>1046</v>
      </c>
      <c r="P53" s="1883" t="s">
        <v>1543</v>
      </c>
      <c r="Q53" s="1884">
        <f ca="1">Q47+Q48</f>
        <v>152598</v>
      </c>
      <c r="R53" s="1884" t="s">
        <v>1047</v>
      </c>
    </row>
    <row r="54" spans="1:18" s="1840" customFormat="1" ht="13.5" thickBot="1">
      <c r="A54" s="1404"/>
      <c r="B54" s="1823" t="s">
        <v>1382</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4">
        <v>2</v>
      </c>
      <c r="B56" s="1175" t="s">
        <v>1408</v>
      </c>
      <c r="C56" s="271">
        <f ca="1">C13</f>
        <v>79022</v>
      </c>
      <c r="D56" s="1912"/>
      <c r="E56" s="1913"/>
      <c r="F56" s="1905"/>
      <c r="I56" s="1914" t="s">
        <v>1548</v>
      </c>
      <c r="J56" s="2989" t="s">
        <v>3082</v>
      </c>
      <c r="K56" s="1885" t="s">
        <v>1549</v>
      </c>
      <c r="L56" s="1888" t="str">
        <f ca="1">IF(L48&lt;J51,"——",L48-J53)</f>
        <v>——</v>
      </c>
      <c r="O56" s="1882" t="s">
        <v>1040</v>
      </c>
      <c r="P56" s="1883" t="s">
        <v>1522</v>
      </c>
      <c r="Q56" s="1884">
        <f ca="1">C40+J29</f>
        <v>152598</v>
      </c>
      <c r="R56" s="1884" t="s">
        <v>1523</v>
      </c>
    </row>
    <row r="57" spans="1:18" s="1840" customFormat="1" ht="24.75" thickBot="1">
      <c r="A57" s="1916"/>
      <c r="B57" s="1167" t="s">
        <v>1472</v>
      </c>
      <c r="C57" s="277">
        <f ca="1">C29</f>
        <v>79022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55" t="s">
        <v>1030</v>
      </c>
      <c r="B58" s="1175" t="s">
        <v>1418</v>
      </c>
      <c r="C58" s="356">
        <f ca="1">ROUND(C59+C64+C65+C66,0)</f>
        <v>3921</v>
      </c>
      <c r="D58" s="1177" t="s">
        <v>1419</v>
      </c>
      <c r="E58" s="1178"/>
      <c r="F58" s="1179"/>
      <c r="I58" s="1920" t="s">
        <v>1554</v>
      </c>
      <c r="J58" s="1922" t="e">
        <f ca="1">IF(J55&lt;0.4,0.4,J55)</f>
        <v>#VALUE!</v>
      </c>
      <c r="K58" s="1898" t="s">
        <v>1555</v>
      </c>
      <c r="L58" s="1888">
        <f ca="1">ROUND(POWER(1+L52,L47-L48)*(POWER(1+L52,L48)-1)/(POWER(1+L52,L47)-1),4)</f>
        <v>0.95020000000000004</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ROUND(IF(项目基本情况!B11="自然人",C48*F59,C60+C61+C62),1)</f>
        <v>1166.7</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1.1259999999999999</v>
      </c>
      <c r="M59" s="1836">
        <f ca="1">ROUND(POWER(1+L52,L47-(J51+'数据-取费表'!B24))*(POWER(1+L52,(J51+'数据-取费表'!B24))-1)/(POWER(1+L52,L47)-1),4)</f>
        <v>1.1259999999999999</v>
      </c>
      <c r="N59" s="1836">
        <f ca="1">ROUND(POWER(1+L52,L47-(J51+'数据-取费表'!B20))*(POWER(1+L52,(J51+'数据-取费表'!B20))-1)/(POWER(1+L52,L47)-1),4)</f>
        <v>1.1288</v>
      </c>
      <c r="O59" s="1892" t="s">
        <v>1043</v>
      </c>
      <c r="P59" s="1883" t="s">
        <v>1558</v>
      </c>
      <c r="Q59" s="1895">
        <f>L52</f>
        <v>4.4999999999999998E-2</v>
      </c>
      <c r="R59" s="1884"/>
    </row>
    <row r="60" spans="1:18" s="1840" customFormat="1" ht="16.5" thickBot="1">
      <c r="A60" s="1199" t="s">
        <v>1034</v>
      </c>
      <c r="B60" s="1167" t="s">
        <v>1427</v>
      </c>
      <c r="C60" s="24">
        <f ca="1">IF(项目基本情况!B11="自然人","——",ROUND(C48*F60/(1+'数据-取费表'!C42),2))</f>
        <v>945.21</v>
      </c>
      <c r="D60" s="1181" t="s">
        <v>1428</v>
      </c>
      <c r="E60" s="1167" t="s">
        <v>1416</v>
      </c>
      <c r="F60" s="372">
        <f t="shared" ref="F60:F66" si="0">F32</f>
        <v>5.5000000000000007E-2</v>
      </c>
      <c r="I60" s="1923" t="s">
        <v>1559</v>
      </c>
      <c r="J60" s="1924" t="str">
        <f ca="1">IF(OR(M47="住宅",J51&lt;L48,J56="是"),"0",ROUND(J59/(1+J52)^J53,0))</f>
        <v>0</v>
      </c>
      <c r="K60" s="1925" t="s">
        <v>1560</v>
      </c>
      <c r="L60" s="1924">
        <f ca="1">IF(OR(M47="住宅",L48&lt;J51),0,ROUND(L57*(L58/L59-1),0))</f>
        <v>0</v>
      </c>
      <c r="O60" s="1892" t="s">
        <v>1044</v>
      </c>
      <c r="P60" s="1883" t="s">
        <v>1561</v>
      </c>
      <c r="Q60" s="1884">
        <f ca="1">L58</f>
        <v>0.95020000000000004</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216.54</v>
      </c>
      <c r="D61" s="1826" t="s">
        <v>3101</v>
      </c>
      <c r="E61" s="1167" t="s">
        <v>1488</v>
      </c>
      <c r="F61" s="362">
        <f t="shared" si="0"/>
        <v>1.2E-2</v>
      </c>
      <c r="I61" s="1926"/>
      <c r="J61" s="1926"/>
      <c r="K61" s="1926"/>
      <c r="L61" s="1926"/>
      <c r="O61" s="1892" t="s">
        <v>1045</v>
      </c>
      <c r="P61" s="1883" t="str">
        <f>K59</f>
        <v>续建工期及建筑物耐用年限下的土地年期修正系数Kn</v>
      </c>
      <c r="Q61" s="1884">
        <f ca="1">L59</f>
        <v>1.1259999999999999</v>
      </c>
      <c r="R61" s="1884" t="s">
        <v>1563</v>
      </c>
    </row>
    <row r="62" spans="1:18" s="1840" customFormat="1" ht="13.5" thickBot="1">
      <c r="A62" s="1199" t="s">
        <v>1489</v>
      </c>
      <c r="B62" s="1166" t="s">
        <v>1490</v>
      </c>
      <c r="C62" s="25">
        <f ca="1">IF(项目基本情况!B11="自然人","——",ROUND(F62*F63/10000,2))</f>
        <v>4.92</v>
      </c>
      <c r="D62" s="1182" t="s">
        <v>1491</v>
      </c>
      <c r="E62" s="1167" t="s">
        <v>1492</v>
      </c>
      <c r="F62" s="366">
        <f t="shared" si="0"/>
        <v>1.5</v>
      </c>
      <c r="I62" s="1927" t="s">
        <v>1564</v>
      </c>
      <c r="J62" s="1928" t="s">
        <v>1565</v>
      </c>
      <c r="K62" s="1928" t="s">
        <v>1566</v>
      </c>
      <c r="L62" s="1928" t="s">
        <v>1567</v>
      </c>
      <c r="M62" s="1929" t="s">
        <v>1568</v>
      </c>
      <c r="O62" s="1882" t="s">
        <v>1046</v>
      </c>
      <c r="P62" s="1883" t="s">
        <v>1569</v>
      </c>
      <c r="Q62" s="1884">
        <f ca="1">Q56+Q57</f>
        <v>152598</v>
      </c>
      <c r="R62" s="1884" t="s">
        <v>1047</v>
      </c>
    </row>
    <row r="63" spans="1:18" s="1840" customFormat="1" ht="13.5" thickBot="1">
      <c r="A63" s="367"/>
      <c r="B63" s="1173"/>
      <c r="C63" s="29"/>
      <c r="D63" s="1183"/>
      <c r="E63" s="1167" t="s">
        <v>1493</v>
      </c>
      <c r="F63" s="343">
        <f t="shared" ca="1" si="0"/>
        <v>32800.720000000001</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ROUND(C57*F64,1)</f>
        <v>1975.6</v>
      </c>
      <c r="D64" s="1181" t="s">
        <v>1496</v>
      </c>
      <c r="E64" s="1167" t="s">
        <v>1488</v>
      </c>
      <c r="F64" s="369">
        <f t="shared" ca="1" si="0"/>
        <v>2.5000000000000001E-2</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ROUND(C56*F65,1)</f>
        <v>237.1</v>
      </c>
      <c r="D65" s="1181" t="s">
        <v>1448</v>
      </c>
      <c r="E65" s="1167" t="s">
        <v>1449</v>
      </c>
      <c r="F65" s="371">
        <f t="shared" ca="1" si="0"/>
        <v>3.0000000000000001E-3</v>
      </c>
      <c r="I65" s="1927" t="s">
        <v>1573</v>
      </c>
      <c r="J65" s="1928">
        <v>40</v>
      </c>
      <c r="K65" s="1928">
        <v>30</v>
      </c>
      <c r="L65" s="1928">
        <v>50</v>
      </c>
      <c r="M65" s="1930">
        <v>0.02</v>
      </c>
      <c r="O65" s="1882" t="s">
        <v>1040</v>
      </c>
      <c r="P65" s="1883" t="s">
        <v>1574</v>
      </c>
      <c r="Q65" s="1884">
        <f ca="1">C40+J29</f>
        <v>152598</v>
      </c>
      <c r="R65" s="1884" t="s">
        <v>1523</v>
      </c>
    </row>
    <row r="66" spans="1:18" s="1840" customFormat="1" ht="16.5" thickBot="1">
      <c r="A66" s="1199" t="s">
        <v>1498</v>
      </c>
      <c r="B66" s="1167" t="s">
        <v>1433</v>
      </c>
      <c r="C66" s="24">
        <f ca="1">ROUND(C48*F66,1)</f>
        <v>541.4</v>
      </c>
      <c r="D66" s="1181" t="s">
        <v>1499</v>
      </c>
      <c r="E66" s="1167" t="s">
        <v>1416</v>
      </c>
      <c r="F66" s="352">
        <f t="shared" ca="1" si="0"/>
        <v>0.03</v>
      </c>
      <c r="O66" s="1882" t="s">
        <v>1041</v>
      </c>
      <c r="P66" s="1883" t="s">
        <v>1552</v>
      </c>
      <c r="Q66" s="1884">
        <f ca="1">L60</f>
        <v>0</v>
      </c>
      <c r="R66" s="1884" t="s">
        <v>1575</v>
      </c>
    </row>
    <row r="67" spans="1:18" s="1840" customFormat="1" ht="16.5" thickBot="1">
      <c r="A67" s="1174" t="s">
        <v>1031</v>
      </c>
      <c r="B67" s="1184" t="s">
        <v>1457</v>
      </c>
      <c r="C67" s="356">
        <f ca="1">C48-C58</f>
        <v>14124</v>
      </c>
      <c r="D67" s="1180" t="s">
        <v>1458</v>
      </c>
      <c r="E67" s="1185"/>
      <c r="F67" s="1186"/>
      <c r="O67" s="1892" t="s">
        <v>1042</v>
      </c>
      <c r="P67" s="1883" t="s">
        <v>1556</v>
      </c>
      <c r="Q67" s="1931">
        <f ca="1">L51</f>
        <v>-5343</v>
      </c>
      <c r="R67" s="1884" t="s">
        <v>1576</v>
      </c>
    </row>
    <row r="68" spans="1:18" s="1840" customFormat="1" ht="16.5" thickBot="1">
      <c r="A68" s="1164" t="s">
        <v>1032</v>
      </c>
      <c r="B68" s="1165" t="s">
        <v>1479</v>
      </c>
      <c r="C68" s="341">
        <f ca="1">ROUND(C67*(1-((1+F70)/(1+F68))^F69)/(F68-F70),0)</f>
        <v>215029</v>
      </c>
      <c r="D68" s="1182" t="s">
        <v>1463</v>
      </c>
      <c r="E68" s="1167" t="s">
        <v>1464</v>
      </c>
      <c r="F68" s="352">
        <f ca="1">F40</f>
        <v>5.5E-2</v>
      </c>
      <c r="O68" s="1892" t="s">
        <v>1043</v>
      </c>
      <c r="P68" s="1932" t="s">
        <v>1577</v>
      </c>
      <c r="Q68" s="1884">
        <f ca="1">ROUND(Q69-Q70*Q71,0)</f>
        <v>-326</v>
      </c>
      <c r="R68" s="1884" t="s">
        <v>1051</v>
      </c>
    </row>
    <row r="69" spans="1:18" s="1840" customFormat="1" ht="13.5" thickBot="1">
      <c r="A69" s="1168"/>
      <c r="B69" s="1169"/>
      <c r="C69" s="346"/>
      <c r="D69" s="1187" t="s">
        <v>1467</v>
      </c>
      <c r="E69" s="1167" t="s">
        <v>1468</v>
      </c>
      <c r="F69" s="374">
        <f ca="1">F41</f>
        <v>33.919999999999995</v>
      </c>
      <c r="O69" s="1892" t="s">
        <v>1048</v>
      </c>
      <c r="P69" s="1932" t="s">
        <v>1578</v>
      </c>
      <c r="Q69" s="1884">
        <f ca="1">C39</f>
        <v>6391</v>
      </c>
      <c r="R69" s="1884" t="s">
        <v>1523</v>
      </c>
    </row>
    <row r="70" spans="1:18" s="1840" customFormat="1" ht="13.5" thickBot="1">
      <c r="A70" s="1171"/>
      <c r="B70" s="1172"/>
      <c r="C70" s="350"/>
      <c r="D70" s="1183"/>
      <c r="E70" s="1167" t="s">
        <v>1471</v>
      </c>
      <c r="F70" s="1273"/>
      <c r="O70" s="1892" t="s">
        <v>1049</v>
      </c>
      <c r="P70" s="1932" t="s">
        <v>1579</v>
      </c>
      <c r="Q70" s="1884">
        <f ca="1">C13</f>
        <v>79022</v>
      </c>
      <c r="R70" s="1884" t="s">
        <v>1523</v>
      </c>
    </row>
    <row r="71" spans="1:18" s="1840" customFormat="1" ht="13.5" thickBot="1">
      <c r="A71" s="1188" t="s">
        <v>1033</v>
      </c>
      <c r="B71" s="1189" t="s">
        <v>1481</v>
      </c>
      <c r="C71" s="377">
        <f ca="1">ROUND(C68*10000/F71,0)</f>
        <v>25677</v>
      </c>
      <c r="D71" s="1190" t="s">
        <v>1482</v>
      </c>
      <c r="E71" s="1191" t="s">
        <v>1483</v>
      </c>
      <c r="F71" s="380">
        <f ca="1">F43</f>
        <v>83744.429999999993</v>
      </c>
      <c r="O71" s="1892" t="s">
        <v>1050</v>
      </c>
      <c r="P71" s="1932" t="s">
        <v>1580</v>
      </c>
      <c r="Q71" s="1895">
        <f ca="1">C76</f>
        <v>8.5000000000000006E-2</v>
      </c>
      <c r="R71" s="1884"/>
    </row>
    <row r="72" spans="1:18" s="1840" customFormat="1" ht="13.5" thickBot="1">
      <c r="B72" s="791"/>
      <c r="C72" s="791"/>
      <c r="O72" s="1892" t="s">
        <v>1044</v>
      </c>
      <c r="P72" s="1883" t="s">
        <v>1558</v>
      </c>
      <c r="Q72" s="1895">
        <f>L52</f>
        <v>4.4999999999999998E-2</v>
      </c>
      <c r="R72" s="1884"/>
    </row>
    <row r="73" spans="1:18" ht="16.5" thickBot="1">
      <c r="A73" s="1840"/>
      <c r="B73" s="791"/>
      <c r="C73" s="791"/>
      <c r="D73" s="1840"/>
      <c r="E73" s="1840"/>
      <c r="F73" s="1840"/>
      <c r="O73" s="1892" t="s">
        <v>1045</v>
      </c>
      <c r="P73" s="1883" t="s">
        <v>1561</v>
      </c>
      <c r="Q73" s="1884">
        <f ca="1">L58</f>
        <v>0.95020000000000004</v>
      </c>
      <c r="R73" s="1884" t="s">
        <v>1562</v>
      </c>
    </row>
    <row r="74" spans="1:18" ht="13.5" thickBot="1">
      <c r="A74" s="1840"/>
      <c r="B74" s="312" t="s">
        <v>1581</v>
      </c>
      <c r="C74" s="1934"/>
      <c r="D74" s="1840"/>
      <c r="E74" s="1840"/>
      <c r="F74" s="1840"/>
      <c r="O74" s="1892" t="s">
        <v>1052</v>
      </c>
      <c r="P74" s="1883" t="str">
        <f>K59</f>
        <v>续建工期及建筑物耐用年限下的土地年期修正系数Kn</v>
      </c>
      <c r="Q74" s="1884">
        <f ca="1">L59</f>
        <v>1.1259999999999999</v>
      </c>
      <c r="R74" s="1884" t="s">
        <v>1563</v>
      </c>
    </row>
    <row r="75" spans="1:18" ht="13.5" thickBot="1">
      <c r="A75" s="1840"/>
      <c r="B75" s="381" t="s">
        <v>1500</v>
      </c>
      <c r="C75" s="382">
        <f ca="1">ROUND(C13*C76,0)</f>
        <v>6717</v>
      </c>
      <c r="D75" s="1840"/>
      <c r="E75" s="1840"/>
      <c r="F75" s="1840"/>
      <c r="K75" s="1866"/>
      <c r="L75" s="1840"/>
      <c r="O75" s="1882" t="s">
        <v>1046</v>
      </c>
      <c r="P75" s="1883" t="s">
        <v>1543</v>
      </c>
      <c r="Q75" s="1884">
        <f ca="1">Q65+Q66</f>
        <v>152598</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f ca="1">1-C80</f>
        <v>-5.0999999999999934E-2</v>
      </c>
    </row>
    <row r="80" spans="1:18">
      <c r="B80" s="381" t="s">
        <v>1505</v>
      </c>
      <c r="C80" s="313">
        <f ca="1">ROUND(C75/C39,3)</f>
        <v>1.0509999999999999</v>
      </c>
    </row>
    <row r="81" spans="2:3">
      <c r="B81" s="309" t="s">
        <v>1506</v>
      </c>
      <c r="C81" s="277"/>
    </row>
    <row r="82" spans="2:3">
      <c r="B82" s="312" t="s">
        <v>1507</v>
      </c>
      <c r="C82" s="314">
        <f ca="1">1-C83</f>
        <v>0.48199999999999998</v>
      </c>
    </row>
    <row r="83" spans="2:3">
      <c r="B83" s="312" t="s">
        <v>1508</v>
      </c>
      <c r="C83" s="313">
        <f ca="1">ROUND(C13/C40,3)</f>
        <v>0.51800000000000002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c r="D1" s="1818"/>
      <c r="E1" s="1819" t="s">
        <v>1381</v>
      </c>
      <c r="F1" s="1281" t="b">
        <f>J53</f>
        <v>0</v>
      </c>
      <c r="G1" s="1834">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39" t="s">
        <v>1582</v>
      </c>
      <c r="I3" s="1838"/>
      <c r="J3" s="1838"/>
      <c r="K3" s="1839"/>
      <c r="L3" s="1838"/>
      <c r="M3" s="1838"/>
    </row>
    <row r="4" spans="1:37" ht="18" customHeight="1">
      <c r="A4" s="335" t="s">
        <v>1589</v>
      </c>
      <c r="B4" s="336" t="s">
        <v>1590</v>
      </c>
      <c r="C4" s="336" t="s">
        <v>1591</v>
      </c>
      <c r="D4" s="336" t="s">
        <v>1592</v>
      </c>
      <c r="E4" s="337" t="s">
        <v>1593</v>
      </c>
      <c r="F4" s="338"/>
      <c r="G4" s="1849"/>
      <c r="H4" s="335" t="s">
        <v>1589</v>
      </c>
      <c r="I4" s="336" t="s">
        <v>1590</v>
      </c>
      <c r="J4" s="336" t="s">
        <v>1591</v>
      </c>
      <c r="K4" s="336" t="s">
        <v>1592</v>
      </c>
      <c r="L4" s="337" t="s">
        <v>1593</v>
      </c>
      <c r="M4" s="338"/>
    </row>
    <row r="5" spans="1:37" ht="18" customHeight="1">
      <c r="A5" s="339">
        <v>1</v>
      </c>
      <c r="B5" s="340" t="s">
        <v>1594</v>
      </c>
      <c r="C5" s="1290">
        <f ca="1">C6+C10+C12</f>
        <v>0</v>
      </c>
      <c r="D5" s="1820" t="s">
        <v>1595</v>
      </c>
      <c r="E5" s="1291"/>
      <c r="F5" s="1292"/>
      <c r="G5" s="1849"/>
      <c r="H5" s="339">
        <v>1</v>
      </c>
      <c r="I5" s="340" t="s">
        <v>1594</v>
      </c>
      <c r="J5" s="1290">
        <f ca="1">J6+J10+J12</f>
        <v>0</v>
      </c>
      <c r="K5" s="1820" t="s">
        <v>1595</v>
      </c>
      <c r="L5" s="1291"/>
      <c r="M5" s="1292"/>
    </row>
    <row r="6" spans="1:37" ht="18" customHeight="1">
      <c r="A6" s="1289" t="s">
        <v>1035</v>
      </c>
      <c r="B6" s="3275" t="s">
        <v>1397</v>
      </c>
      <c r="C6" s="1294">
        <f ca="1">ROUND(F6*F8*F7*(1-F9),0)</f>
        <v>0</v>
      </c>
      <c r="D6" s="159" t="s">
        <v>3006</v>
      </c>
      <c r="E6" s="342" t="s">
        <v>1399</v>
      </c>
      <c r="F6" s="343">
        <f ca="1">INDIRECT("'数据-取费表'!u"&amp;$G$1)</f>
        <v>0</v>
      </c>
      <c r="G6" s="1849"/>
      <c r="H6" s="1289" t="s">
        <v>1035</v>
      </c>
      <c r="I6" s="3275" t="s">
        <v>1397</v>
      </c>
      <c r="J6" s="341">
        <f ca="1">ROUND(M6*M8*M7*(1-M9),0)</f>
        <v>0</v>
      </c>
      <c r="K6" s="1832" t="s">
        <v>3007</v>
      </c>
      <c r="L6" s="342" t="s">
        <v>1399</v>
      </c>
      <c r="M6" s="343">
        <f ca="1">INDIRECT("'数据-取费表'!z"&amp;$G$1)</f>
        <v>0</v>
      </c>
    </row>
    <row r="7" spans="1:37" ht="18" customHeight="1">
      <c r="A7" s="1293"/>
      <c r="B7" s="3276"/>
      <c r="C7" s="1295"/>
      <c r="D7" s="347"/>
      <c r="E7" s="1296" t="s">
        <v>1400</v>
      </c>
      <c r="F7" s="343">
        <f ca="1">IF(INDIRECT("'数据-取费表'!ah"&amp;$G$1)="",INDIRECT("'数据-取费表'!k"&amp;$G$1),INDIRECT("'数据-取费表'!ah"&amp;$G$1))</f>
        <v>0</v>
      </c>
      <c r="G7" s="1849"/>
      <c r="H7" s="344"/>
      <c r="I7" s="3276"/>
      <c r="J7" s="346"/>
      <c r="K7" s="347"/>
      <c r="L7" s="342" t="s">
        <v>1400</v>
      </c>
      <c r="M7" s="343">
        <f ca="1">F7</f>
        <v>0</v>
      </c>
    </row>
    <row r="8" spans="1:37" ht="18" customHeight="1">
      <c r="A8" s="344"/>
      <c r="B8" s="3276"/>
      <c r="C8" s="346"/>
      <c r="D8" s="347"/>
      <c r="E8" s="342" t="s">
        <v>1401</v>
      </c>
      <c r="F8" s="343">
        <f ca="1">INDIRECT("'数据-取费表'!ai"&amp;$G$1)</f>
        <v>0</v>
      </c>
      <c r="G8" s="1849"/>
      <c r="H8" s="344"/>
      <c r="I8" s="3276"/>
      <c r="J8" s="346"/>
      <c r="K8" s="347"/>
      <c r="L8" s="342" t="s">
        <v>1401</v>
      </c>
      <c r="M8" s="343">
        <f ca="1">INDIRECT("'数据-取费表'!ai"&amp;$G$1)</f>
        <v>0</v>
      </c>
    </row>
    <row r="9" spans="1:37" ht="18" customHeight="1">
      <c r="A9" s="344"/>
      <c r="B9" s="3277"/>
      <c r="C9" s="346"/>
      <c r="D9" s="347"/>
      <c r="E9" s="342" t="s">
        <v>1402</v>
      </c>
      <c r="F9" s="352">
        <f ca="1">INDIRECT("'数据-取费表'!w"&amp;$G$1)</f>
        <v>0</v>
      </c>
      <c r="G9" s="1849"/>
      <c r="H9" s="344"/>
      <c r="I9" s="3277"/>
      <c r="J9" s="346"/>
      <c r="K9" s="347"/>
      <c r="L9" s="353" t="s">
        <v>1402</v>
      </c>
      <c r="M9" s="354">
        <f ca="1">INDIRECT("'数据-取费表'!ab"&amp;$G$1)</f>
        <v>0</v>
      </c>
    </row>
    <row r="10" spans="1:37" ht="18" customHeight="1">
      <c r="A10" s="1289" t="s">
        <v>1039</v>
      </c>
      <c r="B10" s="1821" t="s">
        <v>1403</v>
      </c>
      <c r="C10" s="356">
        <f ca="1">ROUND(IF(F10="押一",C6/12*F11,IF(F10="押二",C6/12*2*F11,IF(F10="押三",C6/12*3*F11,C11*F11))),0)</f>
        <v>0</v>
      </c>
      <c r="D10" s="1822" t="s">
        <v>3017</v>
      </c>
      <c r="E10" s="353" t="s">
        <v>1404</v>
      </c>
      <c r="F10" s="1364"/>
      <c r="G10" s="1849"/>
      <c r="H10" s="1289" t="s">
        <v>1039</v>
      </c>
      <c r="I10" s="1821" t="s">
        <v>1403</v>
      </c>
      <c r="J10" s="341">
        <f ca="1">ROUND(IF(M10="押一",J6/12*M11,IF(M10="押二",J6/12*2*M11,IF(M10="押三",J6/12*3*M11,J11*M11))),0)</f>
        <v>0</v>
      </c>
      <c r="K10" s="1833" t="s">
        <v>3019</v>
      </c>
      <c r="L10" s="353" t="s">
        <v>1404</v>
      </c>
      <c r="M10" s="1364"/>
    </row>
    <row r="11" spans="1:37" ht="18" customHeight="1">
      <c r="A11" s="348"/>
      <c r="B11" s="1823" t="s">
        <v>1596</v>
      </c>
      <c r="C11" s="1176"/>
      <c r="D11" s="347"/>
      <c r="E11" s="353" t="s">
        <v>1406</v>
      </c>
      <c r="F11" s="354">
        <f ca="1">'数据-取费表'!B39</f>
        <v>1.4999999999999999E-2</v>
      </c>
      <c r="G11" s="1849"/>
      <c r="H11" s="1297"/>
      <c r="I11" s="1823" t="s">
        <v>1597</v>
      </c>
      <c r="J11" s="1176"/>
      <c r="K11" s="743"/>
      <c r="L11" s="353" t="s">
        <v>1406</v>
      </c>
      <c r="M11" s="1054">
        <f ca="1">'数据-取费表'!B39</f>
        <v>1.4999999999999999E-2</v>
      </c>
    </row>
    <row r="12" spans="1:37" ht="18"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thickTop="1">
      <c r="A13" s="1327">
        <v>2</v>
      </c>
      <c r="B13" s="1328" t="s">
        <v>1408</v>
      </c>
      <c r="C13" s="350">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1034</v>
      </c>
      <c r="B14" s="342" t="s">
        <v>1411</v>
      </c>
      <c r="C14" s="358">
        <f ca="1">ROUND(INDIRECT("'数据-取费表'!l"&amp;$G$1)*F43+'数据-取费表'!L14*INDIRECT("'数据-取费表'!S"&amp;$G$1),0)</f>
        <v>0</v>
      </c>
      <c r="D14" s="1798" t="s">
        <v>1412</v>
      </c>
      <c r="E14" s="1792"/>
      <c r="F14" s="359"/>
      <c r="G14" s="1849"/>
      <c r="H14" s="1199" t="s">
        <v>1035</v>
      </c>
      <c r="I14" s="342" t="s">
        <v>1413</v>
      </c>
      <c r="J14" s="24">
        <f ca="1">C29</f>
        <v>0</v>
      </c>
      <c r="K14" s="15"/>
      <c r="L14" s="977"/>
      <c r="M14" s="978"/>
    </row>
    <row r="15" spans="1:37" s="1856" customFormat="1" ht="18" customHeight="1" thickBot="1">
      <c r="A15" s="1199" t="s">
        <v>1036</v>
      </c>
      <c r="B15" s="342" t="s">
        <v>1414</v>
      </c>
      <c r="C15" s="24">
        <f ca="1">ROUND(C14*F15,0)</f>
        <v>0</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ROUND(INDIRECT("'数据-取费表'!l"&amp;$G$1)*F43*F16,0)</f>
        <v>0</v>
      </c>
      <c r="D16" s="342" t="s">
        <v>1415</v>
      </c>
      <c r="E16" s="342" t="s">
        <v>1416</v>
      </c>
      <c r="F16" s="362">
        <f ca="1">IF(INDIRECT("'数据-取费表'!c"&amp;$G$1)="住宅",'数据-取费表'!B34,0)</f>
        <v>0</v>
      </c>
      <c r="G16" s="1849"/>
      <c r="H16" s="1327" t="s">
        <v>1030</v>
      </c>
      <c r="I16" s="1328" t="s">
        <v>1418</v>
      </c>
      <c r="J16" s="350">
        <f ca="1">ROUND(J17+J22+J23+J24,0)</f>
        <v>0</v>
      </c>
      <c r="K16" s="1335" t="s">
        <v>1419</v>
      </c>
      <c r="L16" s="1336"/>
      <c r="M16" s="1292"/>
    </row>
    <row r="17" spans="1:37" s="1856" customFormat="1" ht="18" customHeight="1">
      <c r="A17" s="1199" t="s">
        <v>1384</v>
      </c>
      <c r="B17" s="342" t="s">
        <v>1420</v>
      </c>
      <c r="C17" s="24">
        <f ca="1">ROUND(F17*(F43+INDIRECT("'数据-取费表'!S"&amp;$G$1)),0)</f>
        <v>0</v>
      </c>
      <c r="D17" s="342" t="s">
        <v>1421</v>
      </c>
      <c r="E17" s="342" t="s">
        <v>1422</v>
      </c>
      <c r="F17" s="26">
        <f>'数据-取费表'!B35</f>
        <v>200</v>
      </c>
      <c r="G17" s="1852"/>
      <c r="H17" s="1199" t="s">
        <v>1035</v>
      </c>
      <c r="I17" s="342" t="s">
        <v>1423</v>
      </c>
      <c r="J17" s="24">
        <f ca="1">ROUND(IF(项目基本情况!B11="自然人",J5*M17,J18+J19+J20),0)</f>
        <v>0</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0</v>
      </c>
      <c r="D18" s="342" t="s">
        <v>1415</v>
      </c>
      <c r="E18" s="342" t="s">
        <v>1416</v>
      </c>
      <c r="F18" s="362">
        <f>'数据-取费表'!B36</f>
        <v>1.4999999999999999E-2</v>
      </c>
      <c r="G18" s="1852"/>
      <c r="H18" s="1199" t="s">
        <v>1034</v>
      </c>
      <c r="I18" s="342" t="s">
        <v>1427</v>
      </c>
      <c r="J18" s="24">
        <f ca="1">ROUND(J5*M18/(1+'数据-取费表'!C42),0)</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0</v>
      </c>
      <c r="D19" s="137" t="s">
        <v>1430</v>
      </c>
      <c r="E19" s="1816"/>
      <c r="F19" s="26"/>
      <c r="G19" s="1849"/>
      <c r="H19" s="1199" t="s">
        <v>1036</v>
      </c>
      <c r="I19" s="342" t="s">
        <v>1431</v>
      </c>
      <c r="J19" s="24">
        <f ca="1">IF(K19="按租金收入计税",ROUND(J5*M19,0),ROUND(C29*M19*0.7,0))</f>
        <v>0</v>
      </c>
      <c r="K19" s="1826" t="s">
        <v>1432</v>
      </c>
      <c r="L19" s="342" t="s">
        <v>1416</v>
      </c>
      <c r="M19" s="362">
        <f>IF(K19="按租金收入计税",'数据-取费表'!B51,'数据-取费表'!B50)</f>
        <v>1.2E-2</v>
      </c>
    </row>
    <row r="20" spans="1:37" s="1856" customFormat="1" ht="18" customHeight="1">
      <c r="A20" s="1199" t="s">
        <v>1039</v>
      </c>
      <c r="B20" s="342" t="s">
        <v>1433</v>
      </c>
      <c r="C20" s="24">
        <f ca="1">ROUND(C19*F20,0)</f>
        <v>0</v>
      </c>
      <c r="D20" s="364" t="s">
        <v>1434</v>
      </c>
      <c r="E20" s="342" t="s">
        <v>1416</v>
      </c>
      <c r="F20" s="362">
        <f>'数据-取费表'!B37</f>
        <v>0.02</v>
      </c>
      <c r="G20" s="1852"/>
      <c r="H20" s="1199" t="s">
        <v>1383</v>
      </c>
      <c r="I20" s="159" t="s">
        <v>1435</v>
      </c>
      <c r="J20" s="25">
        <f ca="1">ROUND(M20*M21,0)</f>
        <v>0</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v>
      </c>
      <c r="D21" s="364" t="s">
        <v>1439</v>
      </c>
      <c r="E21" s="342" t="s">
        <v>1440</v>
      </c>
      <c r="F21" s="362">
        <f>'数据-取费表'!B38</f>
        <v>0.02</v>
      </c>
      <c r="G21" s="1852"/>
      <c r="H21" s="367"/>
      <c r="I21" s="351"/>
      <c r="J21" s="29"/>
      <c r="K21" s="368"/>
      <c r="L21" s="342" t="s">
        <v>1441</v>
      </c>
      <c r="M21" s="343">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ROUND(J14*M22,0)</f>
        <v>0</v>
      </c>
      <c r="K22" s="1796" t="s">
        <v>1444</v>
      </c>
      <c r="L22" s="342" t="s">
        <v>1416</v>
      </c>
      <c r="M22" s="369">
        <f ca="1">INDIRECT("'数据-取费表'!Ak"&amp;$G$1)</f>
        <v>0</v>
      </c>
    </row>
    <row r="23" spans="1:37" s="1856" customFormat="1" ht="18" customHeight="1">
      <c r="A23" s="1199" t="s">
        <v>1034</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v>
      </c>
      <c r="G23" s="1852"/>
      <c r="H23" s="1199" t="s">
        <v>1075</v>
      </c>
      <c r="I23" s="342" t="s">
        <v>1447</v>
      </c>
      <c r="J23" s="24">
        <f ca="1">ROUND(J13*M23,0)</f>
        <v>0</v>
      </c>
      <c r="K23" s="1796" t="s">
        <v>1448</v>
      </c>
      <c r="L23" s="342" t="s">
        <v>1449</v>
      </c>
      <c r="M23" s="371">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2" t="s">
        <v>1455</v>
      </c>
      <c r="C25" s="24"/>
      <c r="D25" s="137" t="s">
        <v>1456</v>
      </c>
      <c r="E25" s="1816"/>
      <c r="F25" s="26"/>
      <c r="G25" s="1849"/>
      <c r="H25" s="1327" t="s">
        <v>1031</v>
      </c>
      <c r="I25" s="1342" t="s">
        <v>1457</v>
      </c>
      <c r="J25" s="350">
        <f ca="1">J5-J16</f>
        <v>0</v>
      </c>
      <c r="K25" s="1343" t="s">
        <v>1458</v>
      </c>
      <c r="L25" s="1344"/>
      <c r="M25" s="1345"/>
    </row>
    <row r="26" spans="1:37" ht="18" customHeight="1">
      <c r="A26" s="1199" t="s">
        <v>1034</v>
      </c>
      <c r="B26" s="342" t="s">
        <v>1459</v>
      </c>
      <c r="C26" s="24">
        <f ca="1">ROUND((C19+C20)*F26,0)</f>
        <v>0</v>
      </c>
      <c r="D26" s="364" t="s">
        <v>1460</v>
      </c>
      <c r="E26" s="353" t="s">
        <v>1461</v>
      </c>
      <c r="F26" s="352">
        <f ca="1">INDIRECT("'数据-取费表'!q"&amp;$G$1)</f>
        <v>0</v>
      </c>
      <c r="G26" s="1849"/>
      <c r="H26" s="339" t="s">
        <v>1032</v>
      </c>
      <c r="I26" s="340" t="s">
        <v>1462</v>
      </c>
      <c r="J26" s="341">
        <f ca="1">IF(J5&lt;&gt;0,ROUND(J25*(1-((1+M28)/(1+M26))^M27)/(M26-M28),0),0)</f>
        <v>0</v>
      </c>
      <c r="K26" s="365" t="s">
        <v>1463</v>
      </c>
      <c r="L26" s="342" t="s">
        <v>1464</v>
      </c>
      <c r="M26" s="352">
        <f ca="1">INDIRECT("'数据-取费表'!I"&amp;$G$1)</f>
        <v>0.05</v>
      </c>
    </row>
    <row r="27" spans="1:37" ht="18" customHeight="1">
      <c r="A27" s="1199" t="s">
        <v>1036</v>
      </c>
      <c r="B27" s="342" t="s">
        <v>1465</v>
      </c>
      <c r="C27" s="24">
        <f ca="1">ROUND(F21*F26,4)</f>
        <v>0</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0</v>
      </c>
      <c r="D29" s="1340"/>
      <c r="E29" s="1338"/>
      <c r="F29" s="1341"/>
      <c r="G29" s="1852"/>
      <c r="H29" s="375" t="s">
        <v>1033</v>
      </c>
      <c r="I29" s="376" t="s">
        <v>1473</v>
      </c>
      <c r="J29" s="377">
        <f ca="1">ROUND(J26/(1+F40)^F41,0)</f>
        <v>0</v>
      </c>
      <c r="K29" s="378" t="s">
        <v>1474</v>
      </c>
      <c r="L29" s="379"/>
      <c r="M29" s="380">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0</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ROUND(IF(项目基本情况!B11="自然人",C5*F31,C32+C33+C34),0)</f>
        <v>0</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IF(项目基本情况!B11="自然人","——",ROUND(C5*F32/(1+'数据-取费表'!C42),0))</f>
        <v>0</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IF(项目基本情况!B11="自然人","——",IF(D33="按租金收入计税",ROUND(C5*F33,0),IF(D33="按房产原值计税",ROUND(C29*F33*0.7,0),INDIRECT("'数据-取费表'!Aj"&amp;$G$1))))</f>
        <v>0</v>
      </c>
      <c r="D33" s="1826" t="s">
        <v>1432</v>
      </c>
      <c r="E33" s="342" t="s">
        <v>1416</v>
      </c>
      <c r="F33" s="362">
        <f>IF(D33="按票据","——",IF(D33="按租金收入计税",'数据-取费表'!B51,'数据-取费表'!B50))</f>
        <v>1.2E-2</v>
      </c>
      <c r="G33" s="1849"/>
      <c r="H33" s="1857"/>
      <c r="I33" s="1858"/>
      <c r="J33" s="1859"/>
      <c r="K33" s="1860"/>
      <c r="L33" s="1857"/>
      <c r="M33" s="1857"/>
    </row>
    <row r="34" spans="1:18" ht="18" customHeight="1">
      <c r="A34" s="1289" t="s">
        <v>1383</v>
      </c>
      <c r="B34" s="159" t="s">
        <v>1435</v>
      </c>
      <c r="C34" s="25">
        <f ca="1">IF(项目基本情况!B11="自然人","——",ROUND(F34*F35,))</f>
        <v>0</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0</v>
      </c>
      <c r="G35" s="1849"/>
      <c r="H35" s="740"/>
      <c r="I35" s="1858"/>
      <c r="J35" s="1859"/>
      <c r="K35" s="1860"/>
      <c r="L35" s="1857"/>
      <c r="M35" s="1857"/>
    </row>
    <row r="36" spans="1:18" ht="18" customHeight="1">
      <c r="A36" s="1350" t="s">
        <v>1039</v>
      </c>
      <c r="B36" s="342" t="s">
        <v>1443</v>
      </c>
      <c r="C36" s="24">
        <f ca="1">ROUND(C29*F36,0)</f>
        <v>0</v>
      </c>
      <c r="D36" s="1796" t="s">
        <v>1476</v>
      </c>
      <c r="E36" s="342" t="s">
        <v>1416</v>
      </c>
      <c r="F36" s="369">
        <f ca="1">INDIRECT("'数据-取费表'!Ak"&amp;$G$1)</f>
        <v>0</v>
      </c>
      <c r="G36" s="1849"/>
      <c r="H36" s="1857"/>
      <c r="I36" s="1858"/>
      <c r="J36" s="1859"/>
      <c r="K36" s="746"/>
      <c r="L36" s="1857"/>
      <c r="M36" s="1857"/>
    </row>
    <row r="37" spans="1:18" ht="18" customHeight="1">
      <c r="A37" s="1199" t="s">
        <v>1075</v>
      </c>
      <c r="B37" s="342" t="s">
        <v>1447</v>
      </c>
      <c r="C37" s="24">
        <f ca="1">ROUND(C13*F37,0)</f>
        <v>0</v>
      </c>
      <c r="D37" s="1796" t="s">
        <v>1448</v>
      </c>
      <c r="E37" s="342" t="s">
        <v>1449</v>
      </c>
      <c r="F37" s="371">
        <f ca="1">INDIRECT("'数据-取费表'!Al"&amp;$G$1)</f>
        <v>0</v>
      </c>
      <c r="G37" s="1849"/>
      <c r="H37" s="1857"/>
      <c r="I37" s="1858"/>
      <c r="J37" s="1859"/>
      <c r="K37" s="746"/>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1031</v>
      </c>
      <c r="B39" s="1342" t="s">
        <v>1477</v>
      </c>
      <c r="C39" s="350">
        <f ca="1">C5-C30</f>
        <v>0</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0</v>
      </c>
      <c r="D40" s="365" t="s">
        <v>1463</v>
      </c>
      <c r="E40" s="342" t="s">
        <v>1464</v>
      </c>
      <c r="F40" s="352">
        <f ca="1">INDIRECT("'数据-取费表'!I"&amp;$G$1)</f>
        <v>0.05</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0</v>
      </c>
      <c r="G41" s="1849"/>
      <c r="H41" s="727"/>
      <c r="I41" s="1858"/>
      <c r="J41" s="1859"/>
      <c r="K41" s="746"/>
      <c r="L41" s="727"/>
      <c r="M41" s="727"/>
    </row>
    <row r="42" spans="1:18" ht="18" customHeight="1">
      <c r="A42" s="348"/>
      <c r="B42" s="349"/>
      <c r="C42" s="350"/>
      <c r="D42" s="368"/>
      <c r="E42" s="342" t="s">
        <v>1471</v>
      </c>
      <c r="F42" s="352">
        <f ca="1">INDIRECT("'数据-取费表'!v"&amp;$G$1)</f>
        <v>0</v>
      </c>
      <c r="G42" s="1849"/>
      <c r="H42" s="727"/>
      <c r="I42" s="1858"/>
      <c r="J42" s="1859"/>
      <c r="K42" s="746"/>
      <c r="L42" s="727"/>
      <c r="M42" s="727"/>
    </row>
    <row r="43" spans="1:18" ht="18" customHeight="1" thickBot="1">
      <c r="A43" s="375" t="s">
        <v>1033</v>
      </c>
      <c r="B43" s="376" t="s">
        <v>1481</v>
      </c>
      <c r="C43" s="377" t="e">
        <f ca="1">ROUND(C40/F43,0)</f>
        <v>#DIV/0!</v>
      </c>
      <c r="D43" s="378" t="s">
        <v>1482</v>
      </c>
      <c r="E43" s="379" t="s">
        <v>1483</v>
      </c>
      <c r="F43" s="380">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1598</v>
      </c>
      <c r="E45" s="1864"/>
      <c r="F45" s="1864"/>
      <c r="O45" s="1867" t="s">
        <v>1513</v>
      </c>
      <c r="P45" s="1837"/>
      <c r="Q45" s="1837"/>
      <c r="R45" s="1837"/>
    </row>
    <row r="46" spans="1:18" s="1840" customFormat="1" ht="13.5" thickBot="1">
      <c r="A46" s="1868" t="s">
        <v>1514</v>
      </c>
      <c r="C46" s="1869">
        <f ca="1">ROUND(C45/10000,0)</f>
        <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87"/>
      <c r="I47" s="1878" t="s">
        <v>1520</v>
      </c>
      <c r="J47" s="1879"/>
      <c r="K47" s="1880" t="s">
        <v>1521</v>
      </c>
      <c r="L47" s="1881">
        <f ca="1">INDIRECT("'数据-取费表'!d"&amp;$G$1)</f>
        <v>50</v>
      </c>
      <c r="M47" s="1836" t="str">
        <f>IF(ISNUMBER(FIND("住宅",C1)),"住宅","非住宅")</f>
        <v>非住宅</v>
      </c>
      <c r="O47" s="1882" t="s">
        <v>1040</v>
      </c>
      <c r="P47" s="1883" t="s">
        <v>1522</v>
      </c>
      <c r="Q47" s="1884">
        <f ca="1">C40+J29</f>
        <v>0</v>
      </c>
      <c r="R47" s="1884" t="s">
        <v>1523</v>
      </c>
    </row>
    <row r="48" spans="1:18" s="1840" customFormat="1" ht="28.5" thickBot="1">
      <c r="A48" s="1358" t="s">
        <v>1129</v>
      </c>
      <c r="B48" s="340" t="s">
        <v>1395</v>
      </c>
      <c r="C48" s="1815">
        <f ca="1">C49+C53+C55</f>
        <v>0</v>
      </c>
      <c r="D48" s="1360"/>
      <c r="E48" s="1361"/>
      <c r="F48" s="1179"/>
      <c r="G48" s="787"/>
      <c r="H48" s="788"/>
      <c r="I48" s="1885" t="s">
        <v>1524</v>
      </c>
      <c r="J48" s="1886"/>
      <c r="K48" s="1887" t="s">
        <v>1525</v>
      </c>
      <c r="L48" s="1888">
        <f ca="1">INDIRECT("'数据-取费表'!f"&amp;$G$1)</f>
        <v>45.13</v>
      </c>
      <c r="O48" s="1882" t="s">
        <v>1041</v>
      </c>
      <c r="P48" s="1883" t="s">
        <v>1526</v>
      </c>
      <c r="Q48" s="1884" t="str">
        <f ca="1">J60</f>
        <v>0</v>
      </c>
      <c r="R48" s="1884" t="s">
        <v>1527</v>
      </c>
    </row>
    <row r="49" spans="1:18" s="1840" customFormat="1" ht="13.5" thickBot="1">
      <c r="A49" s="1192" t="s">
        <v>1130</v>
      </c>
      <c r="B49" s="1827" t="s">
        <v>1484</v>
      </c>
      <c r="C49" s="1362">
        <f ca="1">ROUND(F49*F51*F50*(1-F52),0)</f>
        <v>0</v>
      </c>
      <c r="D49" s="1274" t="s">
        <v>1398</v>
      </c>
      <c r="E49" s="1828" t="s">
        <v>1485</v>
      </c>
      <c r="F49" s="1279"/>
      <c r="G49" s="1889"/>
      <c r="H49" s="788"/>
      <c r="I49" s="1885" t="s">
        <v>1528</v>
      </c>
      <c r="J49" s="1890"/>
      <c r="K49" s="1887" t="s">
        <v>1529</v>
      </c>
      <c r="L49" s="1891"/>
      <c r="O49" s="1892" t="s">
        <v>1042</v>
      </c>
      <c r="P49" s="1883" t="s">
        <v>1530</v>
      </c>
      <c r="Q49" s="1884">
        <f ca="1">C29</f>
        <v>0</v>
      </c>
      <c r="R49" s="1884" t="s">
        <v>1523</v>
      </c>
    </row>
    <row r="50" spans="1:18" s="1840" customFormat="1" ht="13.5" thickBot="1">
      <c r="A50" s="1193"/>
      <c r="B50" s="1196"/>
      <c r="C50" s="1197"/>
      <c r="D50" s="1170"/>
      <c r="E50" s="1275" t="s">
        <v>1400</v>
      </c>
      <c r="F50" s="1276">
        <f ca="1">F7</f>
        <v>0</v>
      </c>
      <c r="H50" s="788"/>
      <c r="I50" s="1885" t="s">
        <v>1531</v>
      </c>
      <c r="J50" s="1893">
        <f>SUMPRODUCT((I63:I65=J47)*(J62:L62=J48)*(J63:L65))</f>
        <v>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1045</v>
      </c>
      <c r="P52" s="1883" t="s">
        <v>1539</v>
      </c>
      <c r="Q52" s="1884" t="b">
        <f>J53</f>
        <v>0</v>
      </c>
      <c r="R52" s="1884" t="s">
        <v>1540</v>
      </c>
    </row>
    <row r="53" spans="1:18" s="1840" customFormat="1" ht="30.75" customHeight="1" thickBot="1">
      <c r="A53" s="1359" t="s">
        <v>1131</v>
      </c>
      <c r="B53" s="364" t="s">
        <v>1403</v>
      </c>
      <c r="C53" s="356">
        <f ca="1">ROUND(IF(F53="押一",C49/12*F11,IF(F53="押二",C49/12*2*F11,IF(F53="押三",C49/12*3*F11,C54*F11))),0)</f>
        <v>0</v>
      </c>
      <c r="D53" s="1822" t="s">
        <v>3020</v>
      </c>
      <c r="E53" s="353" t="s">
        <v>1404</v>
      </c>
      <c r="F53" s="1364"/>
      <c r="I53" s="1903" t="s">
        <v>1541</v>
      </c>
      <c r="J53" s="1904" t="b">
        <f>IF(M47="住宅",IF(D1="——",MAX(J51,L48),IF(D1="在建（套用方法）",MAX(J51,L48-'数据-取费表'!B24),MAX(J51,L48-'数据-取费表'!B20))),IF(D1="——",MIN(J51,L48),IF(D1="在建（套用方法）",MIN(J51,L48-'数据-取费表'!B24),IF(D1="土地（套用方法）",MIN(J51,L48-'数据-取费表'!B20)))))</f>
        <v>0</v>
      </c>
      <c r="K53" s="3273" t="s">
        <v>1542</v>
      </c>
      <c r="L53" s="3274"/>
      <c r="O53" s="1882" t="s">
        <v>1046</v>
      </c>
      <c r="P53" s="1883" t="s">
        <v>1543</v>
      </c>
      <c r="Q53" s="1884">
        <f ca="1">Q47+Q48</f>
        <v>0</v>
      </c>
      <c r="R53" s="1884" t="s">
        <v>1047</v>
      </c>
    </row>
    <row r="54" spans="1:18" s="1840" customFormat="1" ht="13.5" thickBot="1">
      <c r="A54" s="1192"/>
      <c r="B54" s="1939" t="s">
        <v>1597</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c r="O55" s="1875" t="s">
        <v>1516</v>
      </c>
      <c r="P55" s="1876" t="s">
        <v>1517</v>
      </c>
      <c r="Q55" s="1877" t="s">
        <v>1518</v>
      </c>
      <c r="R55" s="1877" t="s">
        <v>1519</v>
      </c>
    </row>
    <row r="56" spans="1:18" s="1840" customFormat="1" ht="36" customHeight="1" thickTop="1" thickBot="1">
      <c r="A56" s="1174">
        <v>2</v>
      </c>
      <c r="B56" s="1175" t="s">
        <v>1408</v>
      </c>
      <c r="C56" s="271">
        <f ca="1">C13</f>
        <v>0</v>
      </c>
      <c r="D56" s="1912"/>
      <c r="E56" s="1913"/>
      <c r="F56" s="1905"/>
      <c r="I56" s="1914" t="s">
        <v>1548</v>
      </c>
      <c r="J56" s="1915"/>
      <c r="K56" s="1885" t="s">
        <v>1549</v>
      </c>
      <c r="L56" s="1888">
        <f ca="1">IF(L48&lt;J51,"——",L48-J51)</f>
        <v>45.13</v>
      </c>
      <c r="O56" s="1882" t="s">
        <v>1040</v>
      </c>
      <c r="P56" s="1883" t="s">
        <v>1522</v>
      </c>
      <c r="Q56" s="1884">
        <f ca="1">C40+J29</f>
        <v>0</v>
      </c>
      <c r="R56" s="1884" t="s">
        <v>1523</v>
      </c>
    </row>
    <row r="57" spans="1:18" s="1840" customFormat="1" ht="24.75" thickBot="1">
      <c r="A57" s="1916"/>
      <c r="B57" s="1167" t="s">
        <v>1472</v>
      </c>
      <c r="C57" s="277">
        <f ca="1">C29</f>
        <v>0</v>
      </c>
      <c r="D57" s="1917"/>
      <c r="E57" s="1918"/>
      <c r="F57" s="1919"/>
      <c r="I57" s="1920" t="s">
        <v>1550</v>
      </c>
      <c r="J57" s="1921" t="str">
        <f ca="1">IF(OR(M47="住宅",J51&lt;L48,J56="是"),"——",J51-L48)</f>
        <v>——</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55" t="s">
        <v>1030</v>
      </c>
      <c r="B58" s="1175" t="s">
        <v>1418</v>
      </c>
      <c r="C58" s="356">
        <f ca="1">ROUND(C59+C64+C65+C66,0)</f>
        <v>0</v>
      </c>
      <c r="D58" s="1177" t="s">
        <v>1419</v>
      </c>
      <c r="E58" s="1178"/>
      <c r="F58" s="1179"/>
      <c r="I58" s="1920" t="s">
        <v>1554</v>
      </c>
      <c r="J58" s="1922" t="e">
        <f ca="1">IF(J55&lt;0.4,0.4,J55)</f>
        <v>#VALUE!</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ROUND(IF(项目基本情况!B11="自然人",C48*F59,C60+C61+C62),0)</f>
        <v>0</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199" t="s">
        <v>1034</v>
      </c>
      <c r="B60" s="1167" t="s">
        <v>1427</v>
      </c>
      <c r="C60" s="24">
        <f ca="1">IF(项目基本情况!B11="自然人","——",ROUND(C48*F60/(1+'数据-取费表'!C42),0))</f>
        <v>0</v>
      </c>
      <c r="D60" s="1181" t="s">
        <v>1428</v>
      </c>
      <c r="E60" s="1167" t="s">
        <v>1416</v>
      </c>
      <c r="F60" s="372">
        <f t="shared" ref="F60:F66" si="0">F32</f>
        <v>5.5000000000000007E-2</v>
      </c>
      <c r="I60" s="1923" t="s">
        <v>1559</v>
      </c>
      <c r="J60" s="1924" t="str">
        <f ca="1">IF(OR(M47="住宅",J51&lt;L48,J56="是"),"0",ROUND(J59/(1+J52)^J53,0))</f>
        <v>0</v>
      </c>
      <c r="K60" s="1925" t="s">
        <v>1560</v>
      </c>
      <c r="L60" s="1924" t="e">
        <f ca="1">IF(OR(M47="住宅",L48&lt;J51),0,ROUND(L57*(L58/L59-1),0))</f>
        <v>#DIV/0!</v>
      </c>
      <c r="O60" s="1892" t="s">
        <v>1044</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2">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66">
        <f t="shared" si="0"/>
        <v>1.5</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67"/>
      <c r="B63" s="1173"/>
      <c r="C63" s="29"/>
      <c r="D63" s="1183"/>
      <c r="E63" s="1167" t="s">
        <v>1493</v>
      </c>
      <c r="F63" s="343">
        <f t="shared" ca="1" si="0"/>
        <v>0</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ROUND(C57*F64,0)</f>
        <v>0</v>
      </c>
      <c r="D64" s="1181" t="s">
        <v>1496</v>
      </c>
      <c r="E64" s="1167" t="s">
        <v>1488</v>
      </c>
      <c r="F64" s="369">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1">
        <f t="shared" ca="1" si="0"/>
        <v>0</v>
      </c>
      <c r="I65" s="1927" t="s">
        <v>1573</v>
      </c>
      <c r="J65" s="1928">
        <v>40</v>
      </c>
      <c r="K65" s="1928">
        <v>30</v>
      </c>
      <c r="L65" s="1928">
        <v>50</v>
      </c>
      <c r="M65" s="1930">
        <v>0.02</v>
      </c>
      <c r="O65" s="1882" t="s">
        <v>1040</v>
      </c>
      <c r="P65" s="1883" t="s">
        <v>1574</v>
      </c>
      <c r="Q65" s="1884">
        <f ca="1">C40+J29</f>
        <v>0</v>
      </c>
      <c r="R65" s="1884" t="s">
        <v>1523</v>
      </c>
    </row>
    <row r="66" spans="1:18" s="1840" customFormat="1" ht="16.5" thickBot="1">
      <c r="A66" s="1199" t="s">
        <v>1498</v>
      </c>
      <c r="B66" s="1167" t="s">
        <v>1433</v>
      </c>
      <c r="C66" s="24">
        <f ca="1">ROUND(C48*F66,0)</f>
        <v>0</v>
      </c>
      <c r="D66" s="1181" t="s">
        <v>1499</v>
      </c>
      <c r="E66" s="1167" t="s">
        <v>1416</v>
      </c>
      <c r="F66" s="352">
        <f t="shared" ca="1" si="0"/>
        <v>0</v>
      </c>
      <c r="O66" s="1882" t="s">
        <v>1041</v>
      </c>
      <c r="P66" s="1883" t="s">
        <v>1552</v>
      </c>
      <c r="Q66" s="1884" t="e">
        <f ca="1">L60</f>
        <v>#DIV/0!</v>
      </c>
      <c r="R66" s="1884" t="s">
        <v>1575</v>
      </c>
    </row>
    <row r="67" spans="1:18" s="1840" customFormat="1" ht="16.5" thickBot="1">
      <c r="A67" s="1174" t="s">
        <v>1031</v>
      </c>
      <c r="B67" s="1184" t="s">
        <v>1457</v>
      </c>
      <c r="C67" s="356">
        <f ca="1">C48-C58</f>
        <v>0</v>
      </c>
      <c r="D67" s="1180" t="s">
        <v>1458</v>
      </c>
      <c r="E67" s="1185"/>
      <c r="F67" s="1186"/>
      <c r="O67" s="1892" t="s">
        <v>1042</v>
      </c>
      <c r="P67" s="1883" t="s">
        <v>1556</v>
      </c>
      <c r="Q67" s="1931">
        <f ca="1">L51</f>
        <v>0</v>
      </c>
      <c r="R67" s="1884" t="s">
        <v>1576</v>
      </c>
    </row>
    <row r="68" spans="1:18" s="1840" customFormat="1" ht="16.5" thickBot="1">
      <c r="A68" s="1164" t="s">
        <v>1032</v>
      </c>
      <c r="B68" s="1165" t="s">
        <v>1479</v>
      </c>
      <c r="C68" s="341">
        <f ca="1">ROUND(C67*(1-((1+F70)/(1+F68))^F69)/(F68-F70),0)</f>
        <v>0</v>
      </c>
      <c r="D68" s="1182" t="s">
        <v>1463</v>
      </c>
      <c r="E68" s="1167" t="s">
        <v>1464</v>
      </c>
      <c r="F68" s="352">
        <f ca="1">F40</f>
        <v>0.05</v>
      </c>
      <c r="O68" s="1892" t="s">
        <v>1043</v>
      </c>
      <c r="P68" s="1932" t="s">
        <v>1577</v>
      </c>
      <c r="Q68" s="1884">
        <f ca="1">ROUND(Q69-Q70*Q71,0)</f>
        <v>0</v>
      </c>
      <c r="R68" s="1884" t="s">
        <v>1051</v>
      </c>
    </row>
    <row r="69" spans="1:18" s="1840" customFormat="1" ht="13.5" thickBot="1">
      <c r="A69" s="1168"/>
      <c r="B69" s="1169"/>
      <c r="C69" s="346"/>
      <c r="D69" s="1187" t="s">
        <v>1467</v>
      </c>
      <c r="E69" s="1167" t="s">
        <v>1468</v>
      </c>
      <c r="F69" s="374">
        <f ca="1">F41</f>
        <v>0</v>
      </c>
      <c r="O69" s="1892" t="s">
        <v>1048</v>
      </c>
      <c r="P69" s="1932" t="s">
        <v>1578</v>
      </c>
      <c r="Q69" s="1884">
        <f ca="1">C39</f>
        <v>0</v>
      </c>
      <c r="R69" s="1884" t="s">
        <v>1523</v>
      </c>
    </row>
    <row r="70" spans="1:18" s="1840" customFormat="1" ht="13.5" thickBot="1">
      <c r="A70" s="1171"/>
      <c r="B70" s="1172"/>
      <c r="C70" s="350"/>
      <c r="D70" s="1183"/>
      <c r="E70" s="1167" t="s">
        <v>1471</v>
      </c>
      <c r="F70" s="1273">
        <f ca="1">F42</f>
        <v>0</v>
      </c>
      <c r="O70" s="1892" t="s">
        <v>1049</v>
      </c>
      <c r="P70" s="1932" t="s">
        <v>1579</v>
      </c>
      <c r="Q70" s="1884">
        <f ca="1">C13</f>
        <v>0</v>
      </c>
      <c r="R70" s="1884" t="s">
        <v>1523</v>
      </c>
    </row>
    <row r="71" spans="1:18" s="1840" customFormat="1" ht="13.5" thickBot="1">
      <c r="A71" s="1188" t="s">
        <v>1033</v>
      </c>
      <c r="B71" s="1189" t="s">
        <v>1481</v>
      </c>
      <c r="C71" s="377" t="e">
        <f ca="1">ROUND(C68/F71,0)</f>
        <v>#DIV/0!</v>
      </c>
      <c r="D71" s="1190" t="s">
        <v>1482</v>
      </c>
      <c r="E71" s="1191" t="s">
        <v>1483</v>
      </c>
      <c r="F71" s="380">
        <f ca="1">F43</f>
        <v>0</v>
      </c>
      <c r="O71" s="1892" t="s">
        <v>1050</v>
      </c>
      <c r="P71" s="1932" t="s">
        <v>1580</v>
      </c>
      <c r="Q71" s="1895">
        <f ca="1">C76</f>
        <v>8.5000000000000006E-2</v>
      </c>
      <c r="R71" s="1884"/>
    </row>
    <row r="72" spans="1:18" s="1840" customFormat="1" ht="13.5" thickBot="1">
      <c r="B72" s="791"/>
      <c r="C72" s="791"/>
      <c r="O72" s="1892" t="s">
        <v>1044</v>
      </c>
      <c r="P72" s="1883" t="s">
        <v>1558</v>
      </c>
      <c r="Q72" s="1895">
        <f>L52</f>
        <v>0</v>
      </c>
      <c r="R72" s="1884"/>
    </row>
    <row r="73" spans="1:18" ht="16.5" thickBot="1">
      <c r="A73" s="1840"/>
      <c r="B73" s="791"/>
      <c r="C73" s="791"/>
      <c r="D73" s="1840"/>
      <c r="E73" s="1840"/>
      <c r="F73" s="1840"/>
      <c r="O73" s="1892" t="s">
        <v>1045</v>
      </c>
      <c r="P73" s="1883" t="s">
        <v>1561</v>
      </c>
      <c r="Q73" s="1884" t="e">
        <f ca="1">L58</f>
        <v>#DIV/0!</v>
      </c>
      <c r="R73" s="1884" t="s">
        <v>1562</v>
      </c>
    </row>
    <row r="74" spans="1:18" ht="13.5" thickBot="1">
      <c r="A74" s="1840"/>
      <c r="B74" s="312"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1" t="s">
        <v>1500</v>
      </c>
      <c r="C75" s="382">
        <f ca="1">ROUND(C13*C76,0)</f>
        <v>0</v>
      </c>
      <c r="D75" s="1840"/>
      <c r="E75" s="1840"/>
      <c r="F75" s="1840"/>
      <c r="K75" s="1866"/>
      <c r="L75" s="1840"/>
      <c r="O75" s="1882" t="s">
        <v>1046</v>
      </c>
      <c r="P75" s="1883" t="s">
        <v>1543</v>
      </c>
      <c r="Q75" s="1884" t="e">
        <f ca="1">Q65+Q66</f>
        <v>#DIV/0!</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t="e">
        <f ca="1">1-C80</f>
        <v>#DIV/0!</v>
      </c>
    </row>
    <row r="80" spans="1:18">
      <c r="B80" s="381" t="s">
        <v>1505</v>
      </c>
      <c r="C80" s="313" t="e">
        <f ca="1">ROUND(C75/C39,3)</f>
        <v>#DIV/0!</v>
      </c>
    </row>
    <row r="81" spans="2:3">
      <c r="B81" s="309" t="s">
        <v>1506</v>
      </c>
      <c r="C81" s="277"/>
    </row>
    <row r="82" spans="2:3">
      <c r="B82" s="312" t="s">
        <v>1507</v>
      </c>
      <c r="C82" s="314" t="e">
        <f ca="1">1-C83</f>
        <v>#DIV/0!</v>
      </c>
    </row>
    <row r="83" spans="2: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北京星华蓝光置业有限公司：</v>
      </c>
    </row>
    <row r="4" spans="1:1" ht="54">
      <c r="A4" s="1946"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35985.59平方米，建筑面积为96535.67平方米。</v>
      </c>
    </row>
    <row r="8" spans="1:1" ht="57.75">
      <c r="A8" s="1949" t="s">
        <v>1608</v>
      </c>
    </row>
    <row r="9" spans="1:1" ht="18.75">
      <c r="A9" s="1948" t="s">
        <v>1609</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35985.59平方米，规划建筑面积为96535.67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2018年8月6日（评估专业人员实地查勘之日）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2504</v>
      </c>
      <c r="B1" s="2560"/>
      <c r="C1" s="2560"/>
      <c r="D1" s="2560"/>
      <c r="E1" s="2561"/>
    </row>
    <row r="2" spans="1:6" ht="15.75">
      <c r="A2" s="2562" t="s">
        <v>2308</v>
      </c>
      <c r="B2" s="2563">
        <f ca="1">SUMIF(B6:B13,"&lt;&gt;#ref!",B6:B13)</f>
        <v>152598</v>
      </c>
      <c r="C2" s="2564" t="s">
        <v>2497</v>
      </c>
      <c r="D2" s="2565" t="s">
        <v>2498</v>
      </c>
      <c r="E2" s="2566">
        <f>SUM(E6:E13)</f>
        <v>87991.87</v>
      </c>
    </row>
    <row r="3" spans="1:6" ht="15.75">
      <c r="A3" s="2562" t="s">
        <v>1389</v>
      </c>
      <c r="B3" s="2563">
        <f ca="1">ROUND(B2*10000/E2,0)</f>
        <v>17342</v>
      </c>
      <c r="C3" s="2564" t="s">
        <v>2505</v>
      </c>
      <c r="D3" s="2567"/>
      <c r="E3" s="2568"/>
    </row>
    <row r="4" spans="1:6" ht="15.75">
      <c r="A4" s="2569"/>
      <c r="B4" s="2567"/>
      <c r="C4" s="2567"/>
      <c r="D4" s="2567"/>
      <c r="E4" s="2568"/>
    </row>
    <row r="5" spans="1:6" ht="15">
      <c r="A5" s="2570" t="s">
        <v>2499</v>
      </c>
      <c r="B5" s="3278" t="s">
        <v>2500</v>
      </c>
      <c r="C5" s="3278"/>
      <c r="D5" s="2571"/>
      <c r="E5" s="2572" t="s">
        <v>2501</v>
      </c>
      <c r="F5" s="2573" t="s">
        <v>2502</v>
      </c>
    </row>
    <row r="6" spans="1:6">
      <c r="A6" s="2574" t="str">
        <f>'数据-取费表'!AN6</f>
        <v>收益法</v>
      </c>
      <c r="B6" s="2573">
        <f ca="1">IF(F6="是",'数据-取费表'!AO6,0)</f>
        <v>152598</v>
      </c>
      <c r="C6" s="2564" t="s">
        <v>2497</v>
      </c>
      <c r="D6" s="2567"/>
      <c r="E6" s="2575">
        <f>IF(OR(A6=0,F6="否"),0,'数据-取费表'!K6+'数据-取费表'!S6)</f>
        <v>87991.87</v>
      </c>
      <c r="F6" s="2576" t="s">
        <v>2503</v>
      </c>
    </row>
    <row r="7" spans="1:6">
      <c r="A7" s="2574">
        <f>'数据-取费表'!AN7</f>
        <v>0</v>
      </c>
      <c r="B7" s="2573" t="e">
        <f ca="1">IF(F7="是",'数据-取费表'!AO7,0)</f>
        <v>#REF!</v>
      </c>
      <c r="C7" s="2564" t="s">
        <v>2497</v>
      </c>
      <c r="D7" s="2567"/>
      <c r="E7" s="2575">
        <f>IF(OR(A7=0,F7="否"),0,'数据-取费表'!K7+'数据-取费表'!S7)</f>
        <v>0</v>
      </c>
      <c r="F7" s="2576" t="s">
        <v>2503</v>
      </c>
    </row>
    <row r="8" spans="1:6">
      <c r="A8" s="2574">
        <f>'数据-取费表'!AN8</f>
        <v>0</v>
      </c>
      <c r="B8" s="2573" t="e">
        <f ca="1">IF(F8="是",'数据-取费表'!AO8,0)</f>
        <v>#REF!</v>
      </c>
      <c r="C8" s="2564" t="s">
        <v>2497</v>
      </c>
      <c r="D8" s="2567"/>
      <c r="E8" s="2575">
        <f>IF(OR(A8=0,F8="否"),0,'数据-取费表'!K8+'数据-取费表'!S8)</f>
        <v>0</v>
      </c>
      <c r="F8" s="2576" t="s">
        <v>2503</v>
      </c>
    </row>
    <row r="9" spans="1:6">
      <c r="A9" s="2574">
        <f>'数据-取费表'!AN9</f>
        <v>0</v>
      </c>
      <c r="B9" s="2573" t="e">
        <f ca="1">IF(F9="是",'数据-取费表'!AO9,0)</f>
        <v>#REF!</v>
      </c>
      <c r="C9" s="2564" t="s">
        <v>2497</v>
      </c>
      <c r="D9" s="2567"/>
      <c r="E9" s="2575">
        <f>IF(OR(A9=0,F9="否"),0,'数据-取费表'!K9+'数据-取费表'!S9)</f>
        <v>0</v>
      </c>
      <c r="F9" s="2576" t="s">
        <v>2503</v>
      </c>
    </row>
    <row r="10" spans="1:6">
      <c r="A10" s="2574">
        <f>'数据-取费表'!AN10</f>
        <v>0</v>
      </c>
      <c r="B10" s="2573" t="e">
        <f ca="1">IF(F10="是",'数据-取费表'!AO10,0)</f>
        <v>#REF!</v>
      </c>
      <c r="C10" s="2564" t="s">
        <v>2497</v>
      </c>
      <c r="D10" s="2567"/>
      <c r="E10" s="2575">
        <f>IF(OR(A10=0,F10="否"),0,'数据-取费表'!K10+'数据-取费表'!S10)</f>
        <v>0</v>
      </c>
      <c r="F10" s="2576" t="s">
        <v>2503</v>
      </c>
    </row>
    <row r="11" spans="1:6">
      <c r="A11" s="2574">
        <f>'数据-取费表'!AN11</f>
        <v>0</v>
      </c>
      <c r="B11" s="2573" t="e">
        <f ca="1">IF(F11="是",'数据-取费表'!AO11,0)</f>
        <v>#REF!</v>
      </c>
      <c r="C11" s="2564" t="s">
        <v>2497</v>
      </c>
      <c r="D11" s="2567"/>
      <c r="E11" s="2575">
        <f>IF(OR(A11=0,F11="否"),0,'数据-取费表'!K11+'数据-取费表'!S11)</f>
        <v>0</v>
      </c>
      <c r="F11" s="2576" t="s">
        <v>2503</v>
      </c>
    </row>
    <row r="12" spans="1:6">
      <c r="A12" s="2574">
        <f>'数据-取费表'!AN12</f>
        <v>0</v>
      </c>
      <c r="B12" s="2573" t="e">
        <f ca="1">IF(F12="是",'数据-取费表'!AO12,0)</f>
        <v>#REF!</v>
      </c>
      <c r="C12" s="2564" t="s">
        <v>2497</v>
      </c>
      <c r="D12" s="2567"/>
      <c r="E12" s="2575">
        <f>IF(OR(A12=0,F12="否"),0,'数据-取费表'!K12+'数据-取费表'!S12)</f>
        <v>0</v>
      </c>
      <c r="F12" s="2576" t="s">
        <v>2503</v>
      </c>
    </row>
    <row r="13" spans="1:6" ht="15" thickBot="1">
      <c r="A13" s="2577">
        <f>'数据-取费表'!AN13</f>
        <v>0</v>
      </c>
      <c r="B13" s="2573" t="e">
        <f ca="1">IF(F13="是",'数据-取费表'!AO13,0)</f>
        <v>#REF!</v>
      </c>
      <c r="C13" s="2578" t="s">
        <v>2497</v>
      </c>
      <c r="D13" s="2579"/>
      <c r="E13" s="2575">
        <f>IF(OR(A13=0,F13="否"),0,'数据-取费表'!K13+'数据-取费表'!S13)</f>
        <v>0</v>
      </c>
      <c r="F13" s="2576" t="s">
        <v>2503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workbookViewId="0">
      <selection activeCell="E27" sqref="E27:G27"/>
    </sheetView>
  </sheetViews>
  <sheetFormatPr defaultRowHeight="13.5"/>
  <cols>
    <col min="1" max="1" width="10.5" customWidth="1"/>
    <col min="2" max="2" width="12.875" customWidth="1"/>
    <col min="3" max="3" width="8.75" customWidth="1"/>
  </cols>
  <sheetData>
    <row r="1" spans="1:9" ht="14.25">
      <c r="A1" s="3295" t="s">
        <v>1076</v>
      </c>
      <c r="B1" s="3296"/>
      <c r="C1" s="3297"/>
      <c r="D1" s="3298">
        <f>SUM(I11,I16,I21,I22,I24)</f>
        <v>14436</v>
      </c>
      <c r="E1" s="3299"/>
      <c r="F1" s="3299"/>
      <c r="G1" s="3299"/>
      <c r="H1" s="3299"/>
      <c r="I1" s="3300"/>
    </row>
    <row r="2" spans="1:9">
      <c r="A2" s="3285" t="s">
        <v>1077</v>
      </c>
      <c r="B2" s="3286" t="s">
        <v>1078</v>
      </c>
      <c r="C2" s="3286"/>
      <c r="D2" s="1299" t="s">
        <v>1079</v>
      </c>
      <c r="E2" s="1299" t="s">
        <v>1080</v>
      </c>
      <c r="F2" s="1299" t="s">
        <v>1081</v>
      </c>
      <c r="G2" s="1299" t="s">
        <v>1082</v>
      </c>
      <c r="H2" s="1299" t="s">
        <v>1083</v>
      </c>
      <c r="I2" s="1300" t="s">
        <v>1084</v>
      </c>
    </row>
    <row r="3" spans="1:9">
      <c r="A3" s="3285"/>
      <c r="B3" s="3286" t="s">
        <v>1085</v>
      </c>
      <c r="C3" s="3286"/>
      <c r="D3" s="1301">
        <v>132</v>
      </c>
      <c r="E3" s="1299">
        <v>750</v>
      </c>
      <c r="F3" s="1302">
        <v>0.9</v>
      </c>
      <c r="G3" s="3006">
        <v>0.7</v>
      </c>
      <c r="H3" s="1303">
        <v>365</v>
      </c>
      <c r="I3" s="1304">
        <f t="shared" ref="I3:I10" si="0">ROUND(D3*E3*F3*G3*H3/10000,0)</f>
        <v>2277</v>
      </c>
    </row>
    <row r="4" spans="1:9">
      <c r="A4" s="3285"/>
      <c r="B4" s="3286" t="s">
        <v>3145</v>
      </c>
      <c r="C4" s="3286"/>
      <c r="D4" s="1301">
        <v>58</v>
      </c>
      <c r="E4" s="1299">
        <v>1300</v>
      </c>
      <c r="F4" s="1302">
        <v>0.9</v>
      </c>
      <c r="G4" s="3006">
        <v>0.3</v>
      </c>
      <c r="H4" s="1303">
        <v>365</v>
      </c>
      <c r="I4" s="1304">
        <f t="shared" si="0"/>
        <v>743</v>
      </c>
    </row>
    <row r="5" spans="1:9">
      <c r="A5" s="3285"/>
      <c r="B5" s="3286" t="s">
        <v>3146</v>
      </c>
      <c r="C5" s="3286"/>
      <c r="D5" s="1301">
        <v>103</v>
      </c>
      <c r="E5" s="1299">
        <v>500</v>
      </c>
      <c r="F5" s="1302">
        <v>0.9</v>
      </c>
      <c r="G5" s="3006">
        <v>0.6</v>
      </c>
      <c r="H5" s="1303">
        <v>365</v>
      </c>
      <c r="I5" s="1304">
        <f t="shared" si="0"/>
        <v>1015</v>
      </c>
    </row>
    <row r="6" spans="1:9">
      <c r="A6" s="3285"/>
      <c r="B6" s="3286" t="s">
        <v>3147</v>
      </c>
      <c r="C6" s="3286"/>
      <c r="D6" s="1301">
        <v>208</v>
      </c>
      <c r="E6" s="2976">
        <v>850</v>
      </c>
      <c r="F6" s="1302">
        <v>0.9</v>
      </c>
      <c r="G6" s="3006">
        <v>0.6</v>
      </c>
      <c r="H6" s="1303">
        <v>365</v>
      </c>
      <c r="I6" s="1304">
        <f t="shared" si="0"/>
        <v>3485</v>
      </c>
    </row>
    <row r="7" spans="1:9">
      <c r="A7" s="3285"/>
      <c r="B7" s="3286" t="s">
        <v>3148</v>
      </c>
      <c r="C7" s="3286"/>
      <c r="D7" s="1301">
        <v>124</v>
      </c>
      <c r="E7" s="2976">
        <v>750</v>
      </c>
      <c r="F7" s="1302">
        <v>0.9</v>
      </c>
      <c r="G7" s="3006">
        <v>0.6</v>
      </c>
      <c r="H7" s="1303">
        <v>365</v>
      </c>
      <c r="I7" s="1304">
        <f t="shared" si="0"/>
        <v>1833</v>
      </c>
    </row>
    <row r="8" spans="1:9">
      <c r="A8" s="3285"/>
      <c r="B8" s="3286" t="s">
        <v>3142</v>
      </c>
      <c r="C8" s="3286"/>
      <c r="D8" s="1301">
        <f>130-57</f>
        <v>73</v>
      </c>
      <c r="E8" s="1299">
        <v>400</v>
      </c>
      <c r="F8" s="1302">
        <v>0.9</v>
      </c>
      <c r="G8" s="3006">
        <v>0.6</v>
      </c>
      <c r="H8" s="1303">
        <v>365</v>
      </c>
      <c r="I8" s="1304">
        <f t="shared" si="0"/>
        <v>576</v>
      </c>
    </row>
    <row r="9" spans="1:9">
      <c r="A9" s="3285"/>
      <c r="B9" s="3286" t="s">
        <v>3143</v>
      </c>
      <c r="C9" s="3286"/>
      <c r="D9" s="1301">
        <v>104</v>
      </c>
      <c r="E9" s="1299">
        <v>750</v>
      </c>
      <c r="F9" s="1302">
        <v>0.9</v>
      </c>
      <c r="G9" s="3006">
        <v>0.6</v>
      </c>
      <c r="H9" s="1303">
        <v>365</v>
      </c>
      <c r="I9" s="1304">
        <f t="shared" si="0"/>
        <v>1537</v>
      </c>
    </row>
    <row r="10" spans="1:9">
      <c r="A10" s="3285"/>
      <c r="B10" s="3286" t="s">
        <v>3144</v>
      </c>
      <c r="C10" s="3286"/>
      <c r="D10" s="1301">
        <f>288-169</f>
        <v>119</v>
      </c>
      <c r="E10" s="1299">
        <v>650</v>
      </c>
      <c r="F10" s="1302">
        <v>0.9</v>
      </c>
      <c r="G10" s="3006">
        <v>0.6</v>
      </c>
      <c r="H10" s="1303">
        <v>365</v>
      </c>
      <c r="I10" s="1304">
        <f t="shared" si="0"/>
        <v>1525</v>
      </c>
    </row>
    <row r="11" spans="1:9">
      <c r="A11" s="3285"/>
      <c r="B11" s="3287" t="s">
        <v>1086</v>
      </c>
      <c r="C11" s="3287"/>
      <c r="D11" s="1305"/>
      <c r="E11" s="1305"/>
      <c r="F11" s="1306"/>
      <c r="G11" s="1306"/>
      <c r="H11" s="1307"/>
      <c r="I11" s="2998">
        <f>SUM(I3:I10)</f>
        <v>12991</v>
      </c>
    </row>
    <row r="12" spans="1:9" ht="14.25">
      <c r="A12" s="3285" t="s">
        <v>1087</v>
      </c>
      <c r="B12" s="3286" t="s">
        <v>1088</v>
      </c>
      <c r="C12" s="3286"/>
      <c r="D12" s="1301" t="s">
        <v>1089</v>
      </c>
      <c r="E12" s="1301" t="s">
        <v>1090</v>
      </c>
      <c r="F12" s="1302" t="s">
        <v>1091</v>
      </c>
      <c r="G12" s="1302" t="s">
        <v>1083</v>
      </c>
      <c r="H12" s="1309" t="s">
        <v>1092</v>
      </c>
      <c r="I12" s="1300" t="s">
        <v>1084</v>
      </c>
    </row>
    <row r="13" spans="1:9">
      <c r="A13" s="3285"/>
      <c r="B13" s="3286" t="s">
        <v>1093</v>
      </c>
      <c r="C13" s="3286"/>
      <c r="D13" s="1301">
        <v>80</v>
      </c>
      <c r="E13" s="1301">
        <v>100</v>
      </c>
      <c r="F13" s="1302">
        <v>0.5</v>
      </c>
      <c r="G13" s="1303">
        <v>365</v>
      </c>
      <c r="H13" s="1310"/>
      <c r="I13" s="1300">
        <f>ROUND(D13*E13*F13*G13/10000,0)</f>
        <v>146</v>
      </c>
    </row>
    <row r="14" spans="1:9">
      <c r="A14" s="3285"/>
      <c r="B14" s="3286" t="s">
        <v>1094</v>
      </c>
      <c r="C14" s="3286"/>
      <c r="D14" s="1301"/>
      <c r="E14" s="1301"/>
      <c r="F14" s="1302"/>
      <c r="G14" s="1303"/>
      <c r="H14" s="1310"/>
      <c r="I14" s="1300">
        <f>ROUND(D14*E14*F14*G14/10000,0)</f>
        <v>0</v>
      </c>
    </row>
    <row r="15" spans="1:9">
      <c r="A15" s="3285"/>
      <c r="B15" s="3286" t="s">
        <v>1095</v>
      </c>
      <c r="C15" s="3286"/>
      <c r="D15" s="1301"/>
      <c r="E15" s="1301"/>
      <c r="F15" s="1302"/>
      <c r="G15" s="1303"/>
      <c r="H15" s="1310"/>
      <c r="I15" s="1300">
        <f>ROUND(D15*E15*F15*G15/10000,0)</f>
        <v>0</v>
      </c>
    </row>
    <row r="16" spans="1:9">
      <c r="A16" s="3285"/>
      <c r="B16" s="3287" t="s">
        <v>1086</v>
      </c>
      <c r="C16" s="3287"/>
      <c r="D16" s="1305"/>
      <c r="E16" s="1305">
        <f>SUM(E13:E15)</f>
        <v>100</v>
      </c>
      <c r="F16" s="1306"/>
      <c r="G16" s="1303"/>
      <c r="H16" s="1310"/>
      <c r="I16" s="2999">
        <f>SUM(I13:I15)</f>
        <v>146</v>
      </c>
    </row>
    <row r="17" spans="1:11" ht="24">
      <c r="A17" s="3285" t="s">
        <v>1096</v>
      </c>
      <c r="B17" s="3286" t="s">
        <v>1097</v>
      </c>
      <c r="C17" s="3286"/>
      <c r="D17" s="1301" t="s">
        <v>1079</v>
      </c>
      <c r="E17" s="1312" t="s">
        <v>1098</v>
      </c>
      <c r="F17" s="1302" t="s">
        <v>1099</v>
      </c>
      <c r="G17" s="1303" t="s">
        <v>1083</v>
      </c>
      <c r="H17" s="1309" t="s">
        <v>1092</v>
      </c>
      <c r="I17" s="1300" t="s">
        <v>1084</v>
      </c>
      <c r="K17">
        <f ca="1">结果表!G19</f>
        <v>102110</v>
      </c>
    </row>
    <row r="18" spans="1:11" ht="14.25">
      <c r="A18" s="3285"/>
      <c r="B18" s="3286" t="s">
        <v>1100</v>
      </c>
      <c r="C18" s="3286"/>
      <c r="D18" s="1301"/>
      <c r="E18" s="1301"/>
      <c r="F18" s="1302"/>
      <c r="G18" s="1303"/>
      <c r="H18" s="1313"/>
      <c r="I18" s="1314">
        <f>ROUND(D18*E18*F18*G18/10000,0)</f>
        <v>0</v>
      </c>
    </row>
    <row r="19" spans="1:11" ht="14.25">
      <c r="A19" s="3285"/>
      <c r="B19" s="3286" t="s">
        <v>1101</v>
      </c>
      <c r="C19" s="3286"/>
      <c r="D19" s="1301"/>
      <c r="E19" s="1301"/>
      <c r="F19" s="1302"/>
      <c r="G19" s="1303"/>
      <c r="H19" s="1313"/>
      <c r="I19" s="1314">
        <f>ROUND(D19*E19*F19*G19/10000,0)</f>
        <v>0</v>
      </c>
    </row>
    <row r="20" spans="1:11" ht="14.25">
      <c r="A20" s="3285"/>
      <c r="B20" s="3286" t="s">
        <v>1102</v>
      </c>
      <c r="C20" s="3286"/>
      <c r="D20" s="1301"/>
      <c r="E20" s="1301"/>
      <c r="F20" s="1302"/>
      <c r="G20" s="1303"/>
      <c r="H20" s="1313"/>
      <c r="I20" s="1314">
        <f>ROUND(D20*E20*F20*G20/10000,0)</f>
        <v>0</v>
      </c>
    </row>
    <row r="21" spans="1:11">
      <c r="A21" s="3285"/>
      <c r="B21" s="3287" t="s">
        <v>1086</v>
      </c>
      <c r="C21" s="3287"/>
      <c r="D21" s="1305">
        <f>SUM(D18:D20)</f>
        <v>0</v>
      </c>
      <c r="E21" s="1305"/>
      <c r="F21" s="1306"/>
      <c r="G21" s="1303"/>
      <c r="H21" s="1310"/>
      <c r="I21" s="1311">
        <f>SUM(I18:I20)</f>
        <v>0</v>
      </c>
    </row>
    <row r="22" spans="1:11">
      <c r="A22" s="3285" t="s">
        <v>1103</v>
      </c>
      <c r="B22" s="3288"/>
      <c r="C22" s="3288"/>
      <c r="D22" s="3288"/>
      <c r="E22" s="3288"/>
      <c r="F22" s="3288"/>
      <c r="G22" s="3288"/>
      <c r="H22" s="1763">
        <v>0.1</v>
      </c>
      <c r="I22" s="1308">
        <f>ROUND(I11*H22,0)</f>
        <v>1299</v>
      </c>
    </row>
    <row r="23" spans="1:11" ht="14.25">
      <c r="A23" s="3289" t="s">
        <v>1104</v>
      </c>
      <c r="B23" s="3290"/>
      <c r="C23" s="3291"/>
      <c r="D23" s="1315" t="s">
        <v>1105</v>
      </c>
      <c r="E23" s="1315" t="s">
        <v>1106</v>
      </c>
      <c r="F23" s="1316" t="s">
        <v>1107</v>
      </c>
      <c r="G23" s="1316" t="s">
        <v>1108</v>
      </c>
      <c r="H23" s="1309" t="s">
        <v>1109</v>
      </c>
      <c r="I23" s="1300" t="s">
        <v>1110</v>
      </c>
    </row>
    <row r="24" spans="1:11" ht="14.25" thickBot="1">
      <c r="A24" s="3292"/>
      <c r="B24" s="3293"/>
      <c r="C24" s="3294"/>
      <c r="D24" s="1317"/>
      <c r="E24" s="1317"/>
      <c r="F24" s="1317"/>
      <c r="G24" s="1318"/>
      <c r="H24" s="1319"/>
      <c r="I24" s="1320">
        <f>ROUND(E24*D24*F24*(1-G24)/10000,0)</f>
        <v>0</v>
      </c>
    </row>
    <row r="27" spans="1:11">
      <c r="A27" s="1321" t="s">
        <v>1111</v>
      </c>
      <c r="B27" s="1321"/>
      <c r="C27" s="1321"/>
      <c r="D27" s="1321"/>
      <c r="E27" s="3282">
        <f>C28-C31-C32-C33</f>
        <v>10105.200000000001</v>
      </c>
      <c r="F27" s="3282"/>
      <c r="G27" s="3282"/>
      <c r="H27" s="1735" t="s">
        <v>1334</v>
      </c>
    </row>
    <row r="28" spans="1:11">
      <c r="A28" s="1322">
        <v>1</v>
      </c>
      <c r="B28" s="1323" t="s">
        <v>1112</v>
      </c>
      <c r="C28" s="1323">
        <f>C29+C30</f>
        <v>14436</v>
      </c>
      <c r="D28" s="1323"/>
      <c r="E28" s="3283"/>
      <c r="F28" s="3283"/>
      <c r="G28" s="3283"/>
    </row>
    <row r="29" spans="1:11">
      <c r="A29" s="1324" t="s">
        <v>1113</v>
      </c>
      <c r="B29" s="1323" t="s">
        <v>1114</v>
      </c>
      <c r="C29" s="1323">
        <f>D1</f>
        <v>14436</v>
      </c>
      <c r="D29" s="1323"/>
      <c r="E29" s="3283"/>
      <c r="F29" s="3283"/>
      <c r="G29" s="3283"/>
    </row>
    <row r="30" spans="1:11">
      <c r="A30" s="1324" t="s">
        <v>1115</v>
      </c>
      <c r="B30" s="1323" t="s">
        <v>1116</v>
      </c>
      <c r="C30" s="2988"/>
      <c r="D30" s="1323"/>
      <c r="E30" s="1323" t="s">
        <v>1117</v>
      </c>
      <c r="F30" s="1323"/>
      <c r="G30" s="1323"/>
    </row>
    <row r="31" spans="1:11">
      <c r="A31" s="1322">
        <v>2</v>
      </c>
      <c r="B31" s="1323" t="s">
        <v>1118</v>
      </c>
      <c r="C31" s="1323">
        <f>C28*D31</f>
        <v>2165.4</v>
      </c>
      <c r="D31" s="3000">
        <v>0.15</v>
      </c>
      <c r="E31" s="1323" t="s">
        <v>1119</v>
      </c>
      <c r="F31" s="1323"/>
      <c r="G31" s="1323"/>
    </row>
    <row r="32" spans="1:11">
      <c r="A32" s="1322">
        <v>3</v>
      </c>
      <c r="B32" s="1323" t="s">
        <v>1120</v>
      </c>
      <c r="C32" s="1323">
        <f>C28*D32</f>
        <v>1443.6000000000001</v>
      </c>
      <c r="D32" s="1325">
        <v>0.1</v>
      </c>
      <c r="E32" s="1323" t="s">
        <v>1121</v>
      </c>
      <c r="F32" s="1323"/>
      <c r="G32" s="1323"/>
    </row>
    <row r="33" spans="1:7">
      <c r="A33" s="1322">
        <v>4</v>
      </c>
      <c r="B33" s="1323" t="s">
        <v>1122</v>
      </c>
      <c r="C33" s="1323">
        <f>C28*D33</f>
        <v>721.80000000000007</v>
      </c>
      <c r="D33" s="1325">
        <v>0.05</v>
      </c>
      <c r="E33" s="3284"/>
      <c r="F33" s="3284"/>
      <c r="G33" s="3284"/>
    </row>
    <row r="34" spans="1:7" hidden="1">
      <c r="A34" s="3279" t="s">
        <v>1123</v>
      </c>
      <c r="B34" s="3280"/>
      <c r="C34" s="3280"/>
      <c r="D34" s="3281"/>
      <c r="E34" s="3282"/>
      <c r="F34" s="3282"/>
      <c r="G34" s="3282"/>
    </row>
    <row r="35" spans="1:7" hidden="1">
      <c r="A35" s="1326">
        <v>1</v>
      </c>
      <c r="B35" s="1323" t="s">
        <v>1124</v>
      </c>
      <c r="C35" s="1323"/>
      <c r="D35" s="1323"/>
      <c r="E35" s="3283"/>
      <c r="F35" s="3283"/>
      <c r="G35" s="3283"/>
    </row>
    <row r="36" spans="1:7" hidden="1">
      <c r="A36" s="1326">
        <v>2</v>
      </c>
      <c r="B36" s="1323" t="s">
        <v>1125</v>
      </c>
      <c r="C36" s="1323"/>
      <c r="D36" s="1323"/>
      <c r="E36" s="3283"/>
      <c r="F36" s="3283"/>
      <c r="G36" s="3283"/>
    </row>
    <row r="37" spans="1:7" hidden="1">
      <c r="A37" s="1326">
        <v>3</v>
      </c>
      <c r="B37" s="1323" t="s">
        <v>1126</v>
      </c>
      <c r="C37" s="1323"/>
      <c r="D37" s="1323"/>
      <c r="E37" s="3283"/>
      <c r="F37" s="3283"/>
      <c r="G37" s="3283"/>
    </row>
    <row r="38" spans="1:7" hidden="1">
      <c r="A38" s="1326">
        <v>4</v>
      </c>
      <c r="B38" s="1323" t="s">
        <v>1127</v>
      </c>
      <c r="C38" s="1323"/>
      <c r="D38" s="1323"/>
      <c r="E38" s="3283"/>
      <c r="F38" s="3283"/>
      <c r="G38" s="3283"/>
    </row>
    <row r="39" spans="1:7" hidden="1">
      <c r="A39" s="3279" t="s">
        <v>1128</v>
      </c>
      <c r="B39" s="3280"/>
      <c r="C39" s="3280"/>
      <c r="D39" s="3281"/>
      <c r="E39" s="3282"/>
      <c r="F39" s="3282"/>
      <c r="G39" s="3282"/>
    </row>
  </sheetData>
  <mergeCells count="39">
    <mergeCell ref="A1:C1"/>
    <mergeCell ref="D1:I1"/>
    <mergeCell ref="A2:A11"/>
    <mergeCell ref="B2:C2"/>
    <mergeCell ref="B5:C5"/>
    <mergeCell ref="B4:C4"/>
    <mergeCell ref="B3:C3"/>
    <mergeCell ref="B8:C8"/>
    <mergeCell ref="B9:C9"/>
    <mergeCell ref="B10:C10"/>
    <mergeCell ref="B11:C11"/>
    <mergeCell ref="B6:C6"/>
    <mergeCell ref="B7:C7"/>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580" t="s">
        <v>2507</v>
      </c>
      <c r="C1" s="1632" t="s">
        <v>2508</v>
      </c>
      <c r="D1" s="1619"/>
      <c r="E1" s="2581"/>
      <c r="F1" s="2582" t="s">
        <v>2509</v>
      </c>
      <c r="G1" s="1629" t="s">
        <v>2510</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88" customFormat="1" ht="28.5" customHeight="1" thickTop="1">
      <c r="A2" s="1615" t="s">
        <v>1388</v>
      </c>
      <c r="B2" s="1416" t="e">
        <f ca="1">IF(C2="——",ROUND(C49*D3/10000,0),ROUND(C49*D3/10000,0)-D2)</f>
        <v>#DIV/0!</v>
      </c>
      <c r="C2" s="2584"/>
      <c r="D2" s="1363" t="e">
        <f ca="1">SUMIF(INDIRECT("'"&amp;F2&amp;"'"&amp;"!A:A"),"承租人权益价值",INDIRECT("'"&amp;F2&amp;"'"&amp;"!c:c"))</f>
        <v>#REF!</v>
      </c>
      <c r="E2" s="2585" t="s">
        <v>2511</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1389</v>
      </c>
      <c r="B3" s="394" t="e">
        <f ca="1">IF(C2="——",C49,ROUND(B2*10000/D3,0))</f>
        <v>#DIV/0!</v>
      </c>
      <c r="C3" s="395" t="s">
        <v>2512</v>
      </c>
      <c r="D3" s="394">
        <f>IF(D1="",'数据-汇总表'!E3,SUMIF('数据-汇总表'!$C19:$C33,D1,'数据-汇总表'!$E19:$E33))</f>
        <v>96535.67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396" t="s">
        <v>2513</v>
      </c>
      <c r="B4" s="397"/>
      <c r="C4" s="3214" t="s">
        <v>2514</v>
      </c>
      <c r="D4" s="3227"/>
      <c r="E4" s="3228" t="s">
        <v>2515</v>
      </c>
      <c r="F4" s="3229"/>
      <c r="G4" s="3214" t="s">
        <v>2516</v>
      </c>
      <c r="H4" s="3227"/>
      <c r="I4" s="3214" t="s">
        <v>2517</v>
      </c>
      <c r="J4" s="3227"/>
      <c r="K4" s="2594" t="s">
        <v>2518</v>
      </c>
      <c r="L4" s="1128"/>
      <c r="M4" s="1129"/>
      <c r="N4" s="1129"/>
      <c r="O4" s="1129"/>
      <c r="P4" s="3230" t="s">
        <v>2519</v>
      </c>
      <c r="Q4" s="3231"/>
      <c r="R4" s="3236" t="s">
        <v>2515</v>
      </c>
      <c r="S4" s="3237"/>
      <c r="T4" s="3236" t="s">
        <v>2516</v>
      </c>
      <c r="U4" s="3237"/>
      <c r="V4" s="3223" t="s">
        <v>2517</v>
      </c>
      <c r="W4" s="3223"/>
      <c r="X4" s="1811"/>
      <c r="Y4" s="3236" t="s">
        <v>2519</v>
      </c>
      <c r="Z4" s="3237"/>
      <c r="AA4" s="3224" t="s">
        <v>2515</v>
      </c>
      <c r="AB4" s="3224" t="s">
        <v>2516</v>
      </c>
      <c r="AC4" s="3224" t="s">
        <v>2517</v>
      </c>
    </row>
    <row r="5" spans="1:29" ht="15">
      <c r="A5" s="399"/>
      <c r="B5" s="400"/>
      <c r="C5" s="3244" t="s">
        <v>2520</v>
      </c>
      <c r="D5" s="3245"/>
      <c r="E5" s="3251" t="s">
        <v>2521</v>
      </c>
      <c r="F5" s="3252"/>
      <c r="G5" s="3244" t="s">
        <v>2522</v>
      </c>
      <c r="H5" s="3245"/>
      <c r="I5" s="3244" t="s">
        <v>2523</v>
      </c>
      <c r="J5" s="3245"/>
      <c r="K5" s="2595"/>
      <c r="L5" s="1128"/>
      <c r="M5" s="1129"/>
      <c r="N5" s="1129"/>
      <c r="O5" s="1129"/>
      <c r="P5" s="3232"/>
      <c r="Q5" s="3233"/>
      <c r="R5" s="3238"/>
      <c r="S5" s="3239"/>
      <c r="T5" s="3238"/>
      <c r="U5" s="3239"/>
      <c r="V5" s="3223"/>
      <c r="W5" s="3223"/>
      <c r="X5" s="1811"/>
      <c r="Y5" s="3238"/>
      <c r="Z5" s="3239"/>
      <c r="AA5" s="3225"/>
      <c r="AB5" s="3225"/>
      <c r="AC5" s="3225"/>
    </row>
    <row r="6" spans="1:29" ht="15.75" thickBot="1">
      <c r="A6" s="401"/>
      <c r="B6" s="402"/>
      <c r="C6" s="3242" t="s">
        <v>2524</v>
      </c>
      <c r="D6" s="3243"/>
      <c r="E6" s="3249" t="s">
        <v>2524</v>
      </c>
      <c r="F6" s="3250"/>
      <c r="G6" s="3242" t="s">
        <v>2524</v>
      </c>
      <c r="H6" s="3243"/>
      <c r="I6" s="3242" t="s">
        <v>2524</v>
      </c>
      <c r="J6" s="3243"/>
      <c r="K6" s="2595" t="s">
        <v>2525</v>
      </c>
      <c r="L6" s="1128"/>
      <c r="M6" s="1129"/>
      <c r="N6" s="1129"/>
      <c r="O6" s="1129"/>
      <c r="P6" s="3234"/>
      <c r="Q6" s="3235"/>
      <c r="R6" s="3238"/>
      <c r="S6" s="3239"/>
      <c r="T6" s="3240"/>
      <c r="U6" s="3241"/>
      <c r="V6" s="3223"/>
      <c r="W6" s="3223"/>
      <c r="X6" s="1811"/>
      <c r="Y6" s="3240"/>
      <c r="Z6" s="3241"/>
      <c r="AA6" s="3226"/>
      <c r="AB6" s="3226"/>
      <c r="AC6" s="3226"/>
    </row>
    <row r="7" spans="1:29" s="115" customFormat="1" ht="15.75" thickBot="1">
      <c r="A7" s="403" t="s">
        <v>2526</v>
      </c>
      <c r="B7" s="404"/>
      <c r="C7" s="405">
        <f>'数据-取费表'!B2</f>
        <v>43318</v>
      </c>
      <c r="D7" s="406">
        <v>100</v>
      </c>
      <c r="E7" s="407"/>
      <c r="F7" s="408">
        <f>SUMIF(58:58,YEAR(E7)&amp;"-"&amp;MONTH(E7),59:59)</f>
        <v>0</v>
      </c>
      <c r="G7" s="407"/>
      <c r="H7" s="406">
        <f>SUMIF(58:58,YEAR(G7)&amp;"-"&amp;MONTH(G7),59:59)</f>
        <v>0</v>
      </c>
      <c r="I7" s="407"/>
      <c r="J7" s="406">
        <f>SUMIF(58:58,YEAR(I7)&amp;"-"&amp;MONTH(I7),59:59)</f>
        <v>0</v>
      </c>
      <c r="K7" s="2596"/>
      <c r="L7" s="1130"/>
      <c r="M7" s="1131"/>
      <c r="N7" s="1131"/>
      <c r="O7" s="1131"/>
      <c r="P7" s="3246" t="s">
        <v>2527</v>
      </c>
      <c r="Q7" s="3248"/>
      <c r="R7" s="765" t="s">
        <v>23</v>
      </c>
      <c r="S7" s="766">
        <f t="shared" ref="S7:S15" si="0">F7</f>
        <v>0</v>
      </c>
      <c r="T7" s="765" t="s">
        <v>23</v>
      </c>
      <c r="U7" s="766">
        <f t="shared" ref="U7:U15" si="1">H7</f>
        <v>0</v>
      </c>
      <c r="V7" s="765" t="s">
        <v>23</v>
      </c>
      <c r="W7" s="766">
        <f t="shared" ref="W7:W15" si="2">J7</f>
        <v>0</v>
      </c>
      <c r="X7" s="767"/>
      <c r="Y7" s="3246" t="s">
        <v>2527</v>
      </c>
      <c r="Z7" s="3247"/>
      <c r="AA7" s="768" t="e">
        <f>D7/F7</f>
        <v>#DIV/0!</v>
      </c>
      <c r="AB7" s="768" t="e">
        <f>D7/H7</f>
        <v>#DIV/0!</v>
      </c>
      <c r="AC7" s="768" t="e">
        <f>D7/J7</f>
        <v>#DIV/0!</v>
      </c>
    </row>
    <row r="8" spans="1:29" s="115" customFormat="1" ht="15.75" thickBot="1">
      <c r="A8" s="403" t="s">
        <v>2528</v>
      </c>
      <c r="B8" s="404"/>
      <c r="C8" s="409" t="s">
        <v>2529</v>
      </c>
      <c r="D8" s="406">
        <v>100</v>
      </c>
      <c r="E8" s="2597"/>
      <c r="F8" s="408">
        <f>SUMIF(61:61,E8,62:62)-SUMIF(61:61,C8,62:62)+100</f>
        <v>0</v>
      </c>
      <c r="G8" s="409"/>
      <c r="H8" s="406">
        <f>SUMIF(61:61,G8,62:62)-SUMIF(61:61,C8,62:62)+100</f>
        <v>0</v>
      </c>
      <c r="I8" s="2597"/>
      <c r="J8" s="406">
        <f>SUMIF(61:61,I8,62:62)-SUMIF(61:61,C8,62:62)+100</f>
        <v>0</v>
      </c>
      <c r="K8" s="2596"/>
      <c r="L8" s="1130"/>
      <c r="M8" s="1131"/>
      <c r="N8" s="1131"/>
      <c r="O8" s="1131"/>
      <c r="P8" s="3246" t="s">
        <v>2530</v>
      </c>
      <c r="Q8" s="3247"/>
      <c r="R8" s="765" t="s">
        <v>23</v>
      </c>
      <c r="S8" s="766">
        <f t="shared" si="0"/>
        <v>0</v>
      </c>
      <c r="T8" s="765" t="s">
        <v>23</v>
      </c>
      <c r="U8" s="766">
        <f t="shared" si="1"/>
        <v>0</v>
      </c>
      <c r="V8" s="765" t="s">
        <v>23</v>
      </c>
      <c r="W8" s="766">
        <f t="shared" si="2"/>
        <v>0</v>
      </c>
      <c r="X8" s="767"/>
      <c r="Y8" s="3246" t="s">
        <v>2530</v>
      </c>
      <c r="Z8" s="3247"/>
      <c r="AA8" s="768" t="e">
        <f t="shared" ref="AA8:AA19" si="3">D8/F8</f>
        <v>#DIV/0!</v>
      </c>
      <c r="AB8" s="768" t="e">
        <f t="shared" ref="AB8:AB19" si="4">D8/H8</f>
        <v>#DIV/0!</v>
      </c>
      <c r="AC8" s="768" t="e">
        <f t="shared" ref="AC8:AC19" si="5">D8/J8</f>
        <v>#DIV/0!</v>
      </c>
    </row>
    <row r="9" spans="1:29" s="115" customFormat="1">
      <c r="A9" s="410" t="s">
        <v>2531</v>
      </c>
      <c r="B9" s="71" t="s">
        <v>2532</v>
      </c>
      <c r="C9" s="411"/>
      <c r="D9" s="132">
        <v>100</v>
      </c>
      <c r="E9" s="412"/>
      <c r="F9" s="413">
        <f>SUMIF(63:63,E9,64:64)-SUMIF(63:63,C9,64:64)+100</f>
        <v>100</v>
      </c>
      <c r="G9" s="414"/>
      <c r="H9" s="132">
        <f>SUMIF(63:63,G9,64:64)-SUMIF(63:63,C9,64:64)+100</f>
        <v>100</v>
      </c>
      <c r="I9" s="414"/>
      <c r="J9" s="132">
        <f>SUMIF(63:63,I9,64:64)-SUMIF(63:63,C9,64:64)+100</f>
        <v>100</v>
      </c>
      <c r="K9" s="2596"/>
      <c r="L9" s="1130"/>
      <c r="M9" s="1131"/>
      <c r="N9" s="1131"/>
      <c r="O9" s="1131"/>
      <c r="P9" s="3216"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9"/>
      <c r="F10" s="420">
        <f>SUMIF(65:65,E10,66:66)-SUMIF(65:65,C10,66:66)+100</f>
        <v>100</v>
      </c>
      <c r="G10" s="418"/>
      <c r="H10" s="133">
        <f>SUMIF(65:65,G10,66:66)-SUMIF(65:65,C10,66:66)+100</f>
        <v>100</v>
      </c>
      <c r="I10" s="418"/>
      <c r="J10" s="133">
        <f>SUMIF(65:65,I10,66:66)-SUMIF(65:65,C10,66:66)+100</f>
        <v>100</v>
      </c>
      <c r="K10" s="421"/>
      <c r="L10" s="1133"/>
      <c r="M10" s="1134"/>
      <c r="N10" s="1134"/>
      <c r="O10" s="1134"/>
      <c r="P10" s="3216"/>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768">
        <f t="shared" si="5"/>
        <v>1</v>
      </c>
    </row>
    <row r="11" spans="1:29" ht="15">
      <c r="A11" s="423"/>
      <c r="B11" s="417" t="s">
        <v>2536</v>
      </c>
      <c r="C11" s="424"/>
      <c r="D11" s="133">
        <v>100</v>
      </c>
      <c r="E11" s="425"/>
      <c r="F11" s="420" t="e">
        <f>LOOKUP(E11,68:68,69:69)-LOOKUP(C11,68:68,69:69)+100</f>
        <v>#N/A</v>
      </c>
      <c r="G11" s="424"/>
      <c r="H11" s="133" t="e">
        <f>LOOKUP(G11,68:68,69:69)-LOOKUP(C11,68:68,69:69)+100</f>
        <v>#N/A</v>
      </c>
      <c r="I11" s="424"/>
      <c r="J11" s="133" t="e">
        <f>LOOKUP(I11,68:68,69:69)-LOOKUP(C11,68:68,69:69)+100</f>
        <v>#N/A</v>
      </c>
      <c r="K11" s="421"/>
      <c r="L11" s="1136"/>
      <c r="M11" s="1129"/>
      <c r="N11" s="1129"/>
      <c r="O11" s="1129"/>
      <c r="P11" s="3216"/>
      <c r="Q11" s="1793" t="str">
        <f t="shared" si="6"/>
        <v>容积率</v>
      </c>
      <c r="R11" s="765" t="s">
        <v>21</v>
      </c>
      <c r="S11" s="766" t="e">
        <f t="shared" si="0"/>
        <v>#N/A</v>
      </c>
      <c r="T11" s="765" t="s">
        <v>21</v>
      </c>
      <c r="U11" s="766" t="e">
        <f t="shared" si="1"/>
        <v>#N/A</v>
      </c>
      <c r="V11" s="765" t="s">
        <v>21</v>
      </c>
      <c r="W11" s="766" t="e">
        <f t="shared" si="2"/>
        <v>#N/A</v>
      </c>
      <c r="X11" s="767"/>
      <c r="Y11" s="3053"/>
      <c r="Z11" s="55" t="str">
        <f t="shared" si="7"/>
        <v>容积率</v>
      </c>
      <c r="AA11" s="768" t="e">
        <f t="shared" si="3"/>
        <v>#N/A</v>
      </c>
      <c r="AB11" s="768" t="e">
        <f t="shared" si="4"/>
        <v>#N/A</v>
      </c>
      <c r="AC11" s="768" t="e">
        <f t="shared" si="5"/>
        <v>#N/A</v>
      </c>
    </row>
    <row r="12" spans="1:29" s="115" customFormat="1" ht="15">
      <c r="A12" s="426"/>
      <c r="B12" s="2598">
        <v>111</v>
      </c>
      <c r="C12" s="427"/>
      <c r="D12" s="428">
        <v>100</v>
      </c>
      <c r="E12" s="427"/>
      <c r="F12" s="420">
        <f>SUMIF(70:70,E12,71:71)-SUMIF(70:70,C12,71:71)+100</f>
        <v>100</v>
      </c>
      <c r="G12" s="427"/>
      <c r="H12" s="133">
        <f>SUMIF(70:70,G12,71:71)-SUMIF(70:70,C12,71:71)+100</f>
        <v>100</v>
      </c>
      <c r="I12" s="427"/>
      <c r="J12" s="133">
        <f>SUMIF(70:70,I12,71:71)-SUMIF(70:70,C12,71:71)+100</f>
        <v>100</v>
      </c>
      <c r="K12" s="2599"/>
      <c r="L12" s="1130"/>
      <c r="M12" s="1131"/>
      <c r="N12" s="1131"/>
      <c r="O12" s="1131"/>
      <c r="P12" s="3216"/>
      <c r="Q12" s="1793">
        <f t="shared" si="6"/>
        <v>111</v>
      </c>
      <c r="R12" s="765" t="s">
        <v>21</v>
      </c>
      <c r="S12" s="766">
        <f t="shared" si="0"/>
        <v>100</v>
      </c>
      <c r="T12" s="765" t="s">
        <v>21</v>
      </c>
      <c r="U12" s="766">
        <f t="shared" si="1"/>
        <v>100</v>
      </c>
      <c r="V12" s="765" t="s">
        <v>21</v>
      </c>
      <c r="W12" s="766">
        <f t="shared" si="2"/>
        <v>100</v>
      </c>
      <c r="X12" s="767"/>
      <c r="Y12" s="3053"/>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8"/>
      <c r="M13" s="1129"/>
      <c r="N13" s="1129"/>
      <c r="O13" s="1129"/>
      <c r="P13" s="3216"/>
      <c r="Q13" s="1793">
        <f t="shared" si="6"/>
        <v>111</v>
      </c>
      <c r="R13" s="765" t="s">
        <v>21</v>
      </c>
      <c r="S13" s="766">
        <f t="shared" si="0"/>
        <v>100</v>
      </c>
      <c r="T13" s="765" t="s">
        <v>21</v>
      </c>
      <c r="U13" s="766">
        <f t="shared" si="1"/>
        <v>100</v>
      </c>
      <c r="V13" s="765" t="s">
        <v>21</v>
      </c>
      <c r="W13" s="766">
        <f t="shared" si="2"/>
        <v>100</v>
      </c>
      <c r="X13" s="767"/>
      <c r="Y13" s="3053"/>
      <c r="Z13" s="55">
        <f t="shared" si="7"/>
        <v>111</v>
      </c>
      <c r="AA13" s="768">
        <f t="shared" si="3"/>
        <v>1</v>
      </c>
      <c r="AB13" s="768">
        <f t="shared" si="4"/>
        <v>1</v>
      </c>
      <c r="AC13" s="768">
        <f t="shared" si="5"/>
        <v>1</v>
      </c>
    </row>
    <row r="14" spans="1:29" ht="15.75"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8"/>
      <c r="M14" s="1129"/>
      <c r="N14" s="1129"/>
      <c r="O14" s="1129"/>
      <c r="P14" s="3216"/>
      <c r="Q14" s="1793">
        <f t="shared" si="6"/>
        <v>111</v>
      </c>
      <c r="R14" s="765" t="s">
        <v>21</v>
      </c>
      <c r="S14" s="766">
        <f t="shared" si="0"/>
        <v>100</v>
      </c>
      <c r="T14" s="765" t="s">
        <v>21</v>
      </c>
      <c r="U14" s="766">
        <f t="shared" si="1"/>
        <v>100</v>
      </c>
      <c r="V14" s="765" t="s">
        <v>21</v>
      </c>
      <c r="W14" s="766">
        <f t="shared" si="2"/>
        <v>100</v>
      </c>
      <c r="X14" s="767"/>
      <c r="Y14" s="3053"/>
      <c r="Z14" s="55">
        <f t="shared" si="7"/>
        <v>111</v>
      </c>
      <c r="AA14" s="768">
        <f t="shared" si="3"/>
        <v>1</v>
      </c>
      <c r="AB14" s="768">
        <f t="shared" si="4"/>
        <v>1</v>
      </c>
      <c r="AC14" s="768">
        <f t="shared" si="5"/>
        <v>1</v>
      </c>
    </row>
    <row r="15" spans="1:29" ht="15">
      <c r="A15" s="435" t="s">
        <v>2537</v>
      </c>
      <c r="B15" s="69" t="s">
        <v>2076</v>
      </c>
      <c r="C15" s="2601">
        <f>估价对象房地状况!C3</f>
        <v>0</v>
      </c>
      <c r="D15" s="436">
        <v>100</v>
      </c>
      <c r="E15" s="439"/>
      <c r="F15" s="436">
        <f>SUMIF(76:76,E16,77:77)-SUMIF(76:76,C16,77:77)+100</f>
        <v>100</v>
      </c>
      <c r="G15" s="437"/>
      <c r="H15" s="436">
        <f>SUMIF(76:76,G16,77:77)-SUMIF(76:76,C16,77:77)+100</f>
        <v>100</v>
      </c>
      <c r="I15" s="437"/>
      <c r="J15" s="436">
        <f>SUMIF(76:76,I16,77:77)-SUMIF(76:76,C16,77:77)+100</f>
        <v>100</v>
      </c>
      <c r="K15" s="440"/>
      <c r="L15" s="1138"/>
      <c r="M15" s="1129"/>
      <c r="N15" s="1129"/>
      <c r="O15" s="1129"/>
      <c r="P15" s="3307" t="s">
        <v>2538</v>
      </c>
      <c r="Q15" s="1808" t="str">
        <f t="shared" si="6"/>
        <v>居住社区成熟度</v>
      </c>
      <c r="R15" s="769" t="s">
        <v>21</v>
      </c>
      <c r="S15" s="770">
        <f t="shared" si="0"/>
        <v>100</v>
      </c>
      <c r="T15" s="769" t="s">
        <v>21</v>
      </c>
      <c r="U15" s="770">
        <f t="shared" si="1"/>
        <v>100</v>
      </c>
      <c r="V15" s="769" t="s">
        <v>21</v>
      </c>
      <c r="W15" s="770">
        <f t="shared" si="2"/>
        <v>100</v>
      </c>
      <c r="X15" s="1811"/>
      <c r="Y15" s="3219" t="s">
        <v>2538</v>
      </c>
      <c r="Z15" s="1812" t="str">
        <f t="shared" si="7"/>
        <v>居住社区成熟度</v>
      </c>
      <c r="AA15" s="1809">
        <f t="shared" si="3"/>
        <v>1</v>
      </c>
      <c r="AB15" s="1809">
        <f t="shared" si="4"/>
        <v>1</v>
      </c>
      <c r="AC15" s="1809">
        <f t="shared" si="5"/>
        <v>1</v>
      </c>
    </row>
    <row r="16" spans="1:29" ht="15">
      <c r="A16" s="423"/>
      <c r="B16" s="441"/>
      <c r="C16" s="442"/>
      <c r="D16" s="443"/>
      <c r="E16" s="2602"/>
      <c r="F16" s="443"/>
      <c r="G16" s="2603"/>
      <c r="H16" s="445"/>
      <c r="I16" s="2603"/>
      <c r="J16" s="443"/>
      <c r="K16" s="2604"/>
      <c r="L16" s="1138"/>
      <c r="M16" s="1129"/>
      <c r="N16" s="1129"/>
      <c r="O16" s="1129"/>
      <c r="P16" s="3308"/>
      <c r="Q16" s="1808"/>
      <c r="R16" s="769"/>
      <c r="S16" s="770"/>
      <c r="T16" s="769"/>
      <c r="U16" s="770"/>
      <c r="V16" s="769"/>
      <c r="W16" s="770"/>
      <c r="X16" s="1811"/>
      <c r="Y16" s="3220"/>
      <c r="Z16" s="1812"/>
      <c r="AA16" s="1809">
        <v>1</v>
      </c>
      <c r="AB16" s="1809">
        <v>1</v>
      </c>
      <c r="AC16" s="1809">
        <v>1</v>
      </c>
    </row>
    <row r="17" spans="1:29" ht="15">
      <c r="A17" s="423"/>
      <c r="B17" s="446" t="s">
        <v>2082</v>
      </c>
      <c r="C17" s="2605">
        <f>估价对象房地状况!C6</f>
        <v>0</v>
      </c>
      <c r="D17" s="445">
        <v>100</v>
      </c>
      <c r="E17" s="449"/>
      <c r="F17" s="445">
        <f>SUMIF(78:78,E18,79:79)-SUMIF(78:78,C18,79:79)+100</f>
        <v>100</v>
      </c>
      <c r="G17" s="447"/>
      <c r="H17" s="450">
        <f>SUMIF(78:78,G18,79:79)-SUMIF(78:78,C18,79:79)+100</f>
        <v>100</v>
      </c>
      <c r="I17" s="447"/>
      <c r="J17" s="450">
        <f>SUMIF(78:78,I18,79:79)-SUMIF(78:78,C18,79:79)+100</f>
        <v>100</v>
      </c>
      <c r="K17" s="440"/>
      <c r="L17" s="1138"/>
      <c r="M17" s="1129"/>
      <c r="N17" s="1129"/>
      <c r="O17" s="1129"/>
      <c r="P17" s="3308"/>
      <c r="Q17" s="1808" t="str">
        <f>B17</f>
        <v>交通便捷度</v>
      </c>
      <c r="R17" s="769" t="s">
        <v>21</v>
      </c>
      <c r="S17" s="770">
        <f>F17</f>
        <v>100</v>
      </c>
      <c r="T17" s="769" t="s">
        <v>21</v>
      </c>
      <c r="U17" s="770">
        <f>H17</f>
        <v>100</v>
      </c>
      <c r="V17" s="769" t="s">
        <v>21</v>
      </c>
      <c r="W17" s="770">
        <f>J17</f>
        <v>100</v>
      </c>
      <c r="X17" s="1811"/>
      <c r="Y17" s="3220"/>
      <c r="Z17" s="1812" t="str">
        <f>Q17</f>
        <v>交通便捷度</v>
      </c>
      <c r="AA17" s="1809">
        <f t="shared" si="3"/>
        <v>1</v>
      </c>
      <c r="AB17" s="1809">
        <f t="shared" si="4"/>
        <v>1</v>
      </c>
      <c r="AC17" s="1809">
        <f t="shared" si="5"/>
        <v>1</v>
      </c>
    </row>
    <row r="18" spans="1:29" ht="15">
      <c r="A18" s="423"/>
      <c r="B18" s="451"/>
      <c r="C18" s="2606"/>
      <c r="D18" s="445"/>
      <c r="E18" s="2607"/>
      <c r="F18" s="445"/>
      <c r="G18" s="2608"/>
      <c r="H18" s="443"/>
      <c r="I18" s="2608"/>
      <c r="J18" s="443"/>
      <c r="K18" s="2604"/>
      <c r="L18" s="1138"/>
      <c r="M18" s="1129"/>
      <c r="N18" s="1129"/>
      <c r="O18" s="1129"/>
      <c r="P18" s="3308"/>
      <c r="Q18" s="1808"/>
      <c r="R18" s="769"/>
      <c r="S18" s="770"/>
      <c r="T18" s="769"/>
      <c r="U18" s="770"/>
      <c r="V18" s="769"/>
      <c r="W18" s="770"/>
      <c r="X18" s="1811"/>
      <c r="Y18" s="3220"/>
      <c r="Z18" s="1812"/>
      <c r="AA18" s="1809">
        <v>1</v>
      </c>
      <c r="AB18" s="1809">
        <v>1</v>
      </c>
      <c r="AC18" s="1809">
        <v>1</v>
      </c>
    </row>
    <row r="19" spans="1:29" ht="15">
      <c r="A19" s="423"/>
      <c r="B19" s="446" t="s">
        <v>2081</v>
      </c>
      <c r="C19" s="2605">
        <f>估价对象房地状况!C7</f>
        <v>0</v>
      </c>
      <c r="D19" s="450">
        <v>100</v>
      </c>
      <c r="E19" s="454"/>
      <c r="F19" s="450">
        <f>SUMIF(80:80,E20,81:81)-SUMIF(80:80,C20,81:81)+100</f>
        <v>100</v>
      </c>
      <c r="G19" s="452"/>
      <c r="H19" s="445">
        <f>SUMIF(80:80,G20,81:81)-SUMIF(80:80,C20,81:81)+100</f>
        <v>100</v>
      </c>
      <c r="I19" s="452"/>
      <c r="J19" s="445">
        <f>SUMIF(80:80,I20,81:81)-SUMIF(80:80,C20,81:81)+100</f>
        <v>100</v>
      </c>
      <c r="K19" s="440"/>
      <c r="L19" s="1138"/>
      <c r="M19" s="1129"/>
      <c r="N19" s="1129"/>
      <c r="O19" s="1129"/>
      <c r="P19" s="3308"/>
      <c r="Q19" s="1808" t="str">
        <f>B19</f>
        <v>公共配套设施</v>
      </c>
      <c r="R19" s="769" t="s">
        <v>21</v>
      </c>
      <c r="S19" s="770">
        <f>F19</f>
        <v>100</v>
      </c>
      <c r="T19" s="769" t="s">
        <v>21</v>
      </c>
      <c r="U19" s="770">
        <f>H19</f>
        <v>100</v>
      </c>
      <c r="V19" s="769" t="s">
        <v>21</v>
      </c>
      <c r="W19" s="770">
        <f>J19</f>
        <v>100</v>
      </c>
      <c r="X19" s="1811"/>
      <c r="Y19" s="3220"/>
      <c r="Z19" s="1812" t="str">
        <f>Q19</f>
        <v>公共配套设施</v>
      </c>
      <c r="AA19" s="1809">
        <f t="shared" si="3"/>
        <v>1</v>
      </c>
      <c r="AB19" s="1809">
        <f t="shared" si="4"/>
        <v>1</v>
      </c>
      <c r="AC19" s="1809">
        <f t="shared" si="5"/>
        <v>1</v>
      </c>
    </row>
    <row r="20" spans="1:29" ht="15">
      <c r="A20" s="423"/>
      <c r="B20" s="451"/>
      <c r="C20" s="442"/>
      <c r="D20" s="443"/>
      <c r="E20" s="2602"/>
      <c r="F20" s="443"/>
      <c r="G20" s="2603"/>
      <c r="H20" s="443"/>
      <c r="I20" s="2603"/>
      <c r="J20" s="443"/>
      <c r="K20" s="2604"/>
      <c r="L20" s="1138"/>
      <c r="M20" s="1129"/>
      <c r="N20" s="1129"/>
      <c r="O20" s="1129"/>
      <c r="P20" s="3308"/>
      <c r="Q20" s="1808"/>
      <c r="R20" s="769"/>
      <c r="S20" s="770"/>
      <c r="T20" s="769"/>
      <c r="U20" s="770"/>
      <c r="V20" s="769"/>
      <c r="W20" s="770"/>
      <c r="X20" s="1811"/>
      <c r="Y20" s="3220"/>
      <c r="Z20" s="1812"/>
      <c r="AA20" s="1809">
        <v>1</v>
      </c>
      <c r="AB20" s="1809">
        <v>1</v>
      </c>
      <c r="AC20" s="1809">
        <v>1</v>
      </c>
    </row>
    <row r="21" spans="1:29" ht="15">
      <c r="A21" s="423"/>
      <c r="B21" s="1382" t="s">
        <v>2083</v>
      </c>
      <c r="C21" s="2605">
        <f>估价对象房地状况!C8</f>
        <v>0</v>
      </c>
      <c r="D21" s="445">
        <v>100</v>
      </c>
      <c r="E21" s="454"/>
      <c r="F21" s="450">
        <f>SUMIF(82:82,E22,83:83)-SUMIF(82:82,C22,83:83)+100</f>
        <v>100</v>
      </c>
      <c r="G21" s="452"/>
      <c r="H21" s="445">
        <f>SUMIF(82:82,G22,83:83)-SUMIF(82:82,C22,83:83)+100</f>
        <v>100</v>
      </c>
      <c r="I21" s="452"/>
      <c r="J21" s="445">
        <f>SUMIF(82:82,I22,83:83)-SUMIF(82:82,C22,83:83)+100</f>
        <v>100</v>
      </c>
      <c r="K21" s="440"/>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20"/>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3"/>
      <c r="G22" s="2609"/>
      <c r="H22" s="443"/>
      <c r="I22" s="442"/>
      <c r="J22" s="443"/>
      <c r="K22" s="2610"/>
      <c r="L22" s="1138"/>
      <c r="M22" s="1129"/>
      <c r="N22" s="1129"/>
      <c r="O22" s="1129"/>
      <c r="P22" s="3308"/>
      <c r="Q22" s="1808"/>
      <c r="R22" s="769"/>
      <c r="S22" s="770"/>
      <c r="T22" s="769"/>
      <c r="U22" s="770"/>
      <c r="V22" s="769"/>
      <c r="W22" s="770"/>
      <c r="X22" s="1811"/>
      <c r="Y22" s="3220"/>
      <c r="Z22" s="1812"/>
      <c r="AA22" s="1809">
        <v>1</v>
      </c>
      <c r="AB22" s="1809">
        <v>1</v>
      </c>
      <c r="AC22" s="1809">
        <v>1</v>
      </c>
    </row>
    <row r="23" spans="1:29" ht="15">
      <c r="A23" s="423"/>
      <c r="B23" s="446" t="s">
        <v>2085</v>
      </c>
      <c r="C23" s="2605">
        <f>估价对象房地状况!C9</f>
        <v>0</v>
      </c>
      <c r="D23" s="445">
        <v>100</v>
      </c>
      <c r="E23" s="449"/>
      <c r="F23" s="445">
        <f>SUMIF(84:84,E24,85:85)-SUMIF(84:84,C24,85:85)+100</f>
        <v>100</v>
      </c>
      <c r="G23" s="447"/>
      <c r="H23" s="445">
        <f>SUMIF(84:84,G24,85:85)-SUMIF(84:84,C24,85:85)+100</f>
        <v>100</v>
      </c>
      <c r="I23" s="447"/>
      <c r="J23" s="445">
        <f>SUMIF(84:84,I24,85:85)-SUMIF(84:84,C24,85:85)+100</f>
        <v>100</v>
      </c>
      <c r="K23" s="440"/>
      <c r="L23" s="1138"/>
      <c r="M23" s="1129"/>
      <c r="N23" s="1129"/>
      <c r="O23" s="1129"/>
      <c r="P23" s="3308"/>
      <c r="Q23" s="1808" t="str">
        <f>B23</f>
        <v>自然及人文环境</v>
      </c>
      <c r="R23" s="769" t="s">
        <v>21</v>
      </c>
      <c r="S23" s="770">
        <f>F23</f>
        <v>100</v>
      </c>
      <c r="T23" s="769" t="s">
        <v>21</v>
      </c>
      <c r="U23" s="770">
        <f>H23</f>
        <v>100</v>
      </c>
      <c r="V23" s="769" t="s">
        <v>21</v>
      </c>
      <c r="W23" s="770">
        <f>J23</f>
        <v>100</v>
      </c>
      <c r="X23" s="1811"/>
      <c r="Y23" s="3220"/>
      <c r="Z23" s="1812" t="str">
        <f>Q23</f>
        <v>自然及人文环境</v>
      </c>
      <c r="AA23" s="1809">
        <f>D23/F23</f>
        <v>1</v>
      </c>
      <c r="AB23" s="1809">
        <f>D23/H23</f>
        <v>1</v>
      </c>
      <c r="AC23" s="1809">
        <f>D23/J23</f>
        <v>1</v>
      </c>
    </row>
    <row r="24" spans="1:29" ht="15">
      <c r="A24" s="423"/>
      <c r="B24" s="451"/>
      <c r="C24" s="442"/>
      <c r="D24" s="443"/>
      <c r="E24" s="2602"/>
      <c r="F24" s="443"/>
      <c r="G24" s="2603"/>
      <c r="H24" s="443"/>
      <c r="I24" s="2603"/>
      <c r="J24" s="443"/>
      <c r="K24" s="2604"/>
      <c r="L24" s="1138"/>
      <c r="M24" s="1129"/>
      <c r="N24" s="1129"/>
      <c r="O24" s="1129"/>
      <c r="P24" s="3308"/>
      <c r="Q24" s="1808"/>
      <c r="R24" s="769"/>
      <c r="S24" s="770"/>
      <c r="T24" s="769"/>
      <c r="U24" s="770"/>
      <c r="V24" s="769"/>
      <c r="W24" s="770"/>
      <c r="X24" s="1811"/>
      <c r="Y24" s="3220"/>
      <c r="Z24" s="1812"/>
      <c r="AA24" s="1809">
        <v>1</v>
      </c>
      <c r="AB24" s="1809">
        <v>1</v>
      </c>
      <c r="AC24" s="1809">
        <v>1</v>
      </c>
    </row>
    <row r="25" spans="1:29" ht="15">
      <c r="A25" s="423"/>
      <c r="B25" s="417" t="s">
        <v>2539</v>
      </c>
      <c r="C25" s="455"/>
      <c r="D25" s="430">
        <v>100</v>
      </c>
      <c r="E25" s="2611"/>
      <c r="F25" s="430">
        <f>SUMIF(86:86,E25,87:87)-SUMIF(86:86,C25,87:87)+100</f>
        <v>100</v>
      </c>
      <c r="G25" s="2612"/>
      <c r="H25" s="430">
        <f>SUMIF(86:86,G25,87:87)-SUMIF(86:86,C25,87:87)+100</f>
        <v>100</v>
      </c>
      <c r="I25" s="2612"/>
      <c r="J25" s="430">
        <f>SUMIF(86:86,I25,87:87)-SUMIF(86:86,C25,87:87)+100</f>
        <v>100</v>
      </c>
      <c r="K25" s="421"/>
      <c r="L25" s="1138"/>
      <c r="M25" s="1129"/>
      <c r="N25" s="1129"/>
      <c r="O25" s="1129"/>
      <c r="P25" s="3308"/>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20"/>
      <c r="Z25" s="1812" t="str">
        <f>Q25</f>
        <v>楼层-1</v>
      </c>
      <c r="AA25" s="1809">
        <f t="shared" ref="AA25:AA46" si="15">D25/F25</f>
        <v>1</v>
      </c>
      <c r="AB25" s="1809">
        <f t="shared" ref="AB25:AB46" si="16">D25/H25</f>
        <v>1</v>
      </c>
      <c r="AC25" s="1809">
        <f t="shared" ref="AC25:AC46" si="17">D25/J25</f>
        <v>1</v>
      </c>
    </row>
    <row r="26" spans="1:29" ht="15">
      <c r="A26" s="423"/>
      <c r="B26" s="417" t="s">
        <v>2540</v>
      </c>
      <c r="C26" s="455"/>
      <c r="D26" s="430">
        <v>100</v>
      </c>
      <c r="E26" s="2611"/>
      <c r="F26" s="430">
        <f>SUMIF(88:88,E26,89:89)-SUMIF(88:88,C26,89:89)+100</f>
        <v>100</v>
      </c>
      <c r="G26" s="2612"/>
      <c r="H26" s="430">
        <f>SUMIF(88:88,G26,89:89)-SUMIF(88:88,C26,89:89)+100</f>
        <v>100</v>
      </c>
      <c r="I26" s="2612"/>
      <c r="J26" s="430">
        <f>SUMIF(88:88,I26,89:89)-SUMIF(88:88,C26,89:89)+100</f>
        <v>100</v>
      </c>
      <c r="K26" s="421"/>
      <c r="L26" s="1138"/>
      <c r="M26" s="1129"/>
      <c r="N26" s="1129"/>
      <c r="O26" s="1129"/>
      <c r="P26" s="3308"/>
      <c r="Q26" s="1808" t="str">
        <f t="shared" si="11"/>
        <v>朝向</v>
      </c>
      <c r="R26" s="769" t="s">
        <v>21</v>
      </c>
      <c r="S26" s="770">
        <f t="shared" si="12"/>
        <v>100</v>
      </c>
      <c r="T26" s="769" t="s">
        <v>21</v>
      </c>
      <c r="U26" s="770">
        <f t="shared" si="13"/>
        <v>100</v>
      </c>
      <c r="V26" s="769" t="s">
        <v>21</v>
      </c>
      <c r="W26" s="770">
        <f t="shared" si="14"/>
        <v>100</v>
      </c>
      <c r="X26" s="1811"/>
      <c r="Y26" s="3220"/>
      <c r="Z26" s="1812" t="str">
        <f>Q26</f>
        <v>朝向</v>
      </c>
      <c r="AA26" s="1809">
        <f t="shared" si="15"/>
        <v>1</v>
      </c>
      <c r="AB26" s="1809">
        <f t="shared" si="16"/>
        <v>1</v>
      </c>
      <c r="AC26" s="1809">
        <f t="shared" si="17"/>
        <v>1</v>
      </c>
    </row>
    <row r="27" spans="1:29" s="115" customFormat="1" ht="15">
      <c r="A27" s="426"/>
      <c r="B27" s="1384">
        <v>111</v>
      </c>
      <c r="C27" s="427"/>
      <c r="D27" s="457">
        <v>100</v>
      </c>
      <c r="E27" s="460"/>
      <c r="F27" s="457">
        <f>SUMIF(90:90,E27,91:91)-SUMIF(90:90,C27,91:91)+100</f>
        <v>100</v>
      </c>
      <c r="G27" s="458"/>
      <c r="H27" s="457">
        <f>SUMIF(90:90,G27,91:91)-SUMIF(90:90,C27,91:91)+100</f>
        <v>100</v>
      </c>
      <c r="I27" s="458"/>
      <c r="J27" s="457">
        <f>SUMIF(90:90,I27,91:91)-SUMIF(90:90,C27,91:91)+100</f>
        <v>100</v>
      </c>
      <c r="K27" s="2599"/>
      <c r="L27" s="1130"/>
      <c r="M27" s="1131"/>
      <c r="N27" s="1131"/>
      <c r="O27" s="1131"/>
      <c r="P27" s="3308"/>
      <c r="Q27" s="1793">
        <f t="shared" si="11"/>
        <v>111</v>
      </c>
      <c r="R27" s="765" t="s">
        <v>21</v>
      </c>
      <c r="S27" s="766">
        <f t="shared" si="12"/>
        <v>100</v>
      </c>
      <c r="T27" s="765" t="s">
        <v>21</v>
      </c>
      <c r="U27" s="766">
        <f t="shared" si="13"/>
        <v>100</v>
      </c>
      <c r="V27" s="765" t="s">
        <v>21</v>
      </c>
      <c r="W27" s="766">
        <f t="shared" si="14"/>
        <v>100</v>
      </c>
      <c r="X27" s="767"/>
      <c r="Y27" s="3220"/>
      <c r="Z27" s="55">
        <f>Q27</f>
        <v>111</v>
      </c>
      <c r="AA27" s="1809">
        <f t="shared" si="15"/>
        <v>1</v>
      </c>
      <c r="AB27" s="1809">
        <f t="shared" si="16"/>
        <v>1</v>
      </c>
      <c r="AC27" s="1809">
        <f t="shared" si="17"/>
        <v>1</v>
      </c>
    </row>
    <row r="28" spans="1:29" ht="15">
      <c r="A28" s="423"/>
      <c r="B28" s="1384">
        <v>111</v>
      </c>
      <c r="C28" s="429"/>
      <c r="D28" s="430">
        <v>100</v>
      </c>
      <c r="E28" s="429"/>
      <c r="F28" s="430">
        <f>SUMIF(92:92,E28,93:93)-SUMIF(92:92,C28,93:93)+100</f>
        <v>100</v>
      </c>
      <c r="G28" s="2613"/>
      <c r="H28" s="430">
        <f>SUMIF(92:92,G28,93:93)-SUMIF(92:92,C28,93:93)+100</f>
        <v>100</v>
      </c>
      <c r="I28" s="429"/>
      <c r="J28" s="430">
        <f>SUMIF(92:92,I28,93:93)-SUMIF(92:92,C28,93:93)+100</f>
        <v>100</v>
      </c>
      <c r="K28" s="2599"/>
      <c r="L28" s="1138"/>
      <c r="M28" s="1129"/>
      <c r="N28" s="1129"/>
      <c r="O28" s="1129"/>
      <c r="P28" s="3308"/>
      <c r="Q28" s="1808">
        <f t="shared" si="11"/>
        <v>111</v>
      </c>
      <c r="R28" s="769" t="s">
        <v>21</v>
      </c>
      <c r="S28" s="770">
        <f t="shared" si="12"/>
        <v>100</v>
      </c>
      <c r="T28" s="769" t="s">
        <v>21</v>
      </c>
      <c r="U28" s="770">
        <f t="shared" si="13"/>
        <v>100</v>
      </c>
      <c r="V28" s="769" t="s">
        <v>21</v>
      </c>
      <c r="W28" s="770">
        <f t="shared" si="14"/>
        <v>100</v>
      </c>
      <c r="X28" s="1811"/>
      <c r="Y28" s="3220"/>
      <c r="Z28" s="1812">
        <f t="shared" ref="Z28:Z46" si="18">Q28</f>
        <v>111</v>
      </c>
      <c r="AA28" s="1809">
        <f t="shared" si="15"/>
        <v>1</v>
      </c>
      <c r="AB28" s="1809">
        <f t="shared" si="16"/>
        <v>1</v>
      </c>
      <c r="AC28" s="1809">
        <f t="shared" si="17"/>
        <v>1</v>
      </c>
    </row>
    <row r="29" spans="1:29" ht="15">
      <c r="A29" s="423"/>
      <c r="B29" s="1384">
        <v>111</v>
      </c>
      <c r="C29" s="429"/>
      <c r="D29" s="430">
        <v>100</v>
      </c>
      <c r="E29" s="429"/>
      <c r="F29" s="430">
        <f>SUMIF(94:94,E29,95:95)-SUMIF(94:94,C29,95:95)+100</f>
        <v>100</v>
      </c>
      <c r="G29" s="2613"/>
      <c r="H29" s="430">
        <f>SUMIF(94:94,G29,95:95)-SUMIF(94:94,C29,95:95)+100</f>
        <v>100</v>
      </c>
      <c r="I29" s="429"/>
      <c r="J29" s="430">
        <f>SUMIF(94:94,I29,95:95)-SUMIF(94:94,C29,95:95)+100</f>
        <v>100</v>
      </c>
      <c r="K29" s="2599"/>
      <c r="L29" s="1138"/>
      <c r="M29" s="1129"/>
      <c r="N29" s="1129"/>
      <c r="O29" s="1129"/>
      <c r="P29" s="3308"/>
      <c r="Q29" s="1808">
        <f t="shared" si="11"/>
        <v>111</v>
      </c>
      <c r="R29" s="769" t="s">
        <v>21</v>
      </c>
      <c r="S29" s="770">
        <f t="shared" si="12"/>
        <v>100</v>
      </c>
      <c r="T29" s="769" t="s">
        <v>21</v>
      </c>
      <c r="U29" s="770">
        <f t="shared" si="13"/>
        <v>100</v>
      </c>
      <c r="V29" s="769" t="s">
        <v>21</v>
      </c>
      <c r="W29" s="770">
        <f t="shared" si="14"/>
        <v>100</v>
      </c>
      <c r="X29" s="1811"/>
      <c r="Y29" s="3220"/>
      <c r="Z29" s="1812">
        <f t="shared" si="18"/>
        <v>111</v>
      </c>
      <c r="AA29" s="1809">
        <f t="shared" si="15"/>
        <v>1</v>
      </c>
      <c r="AB29" s="1809">
        <f t="shared" si="16"/>
        <v>1</v>
      </c>
      <c r="AC29" s="1809">
        <f t="shared" si="17"/>
        <v>1</v>
      </c>
    </row>
    <row r="30" spans="1:29" ht="15">
      <c r="A30" s="423"/>
      <c r="B30" s="1384">
        <v>111</v>
      </c>
      <c r="C30" s="429"/>
      <c r="D30" s="430">
        <v>100</v>
      </c>
      <c r="E30" s="429"/>
      <c r="F30" s="430">
        <f>SUMIF(96:96,E30,97:97)-SUMIF(96:96,C30,97:97)+100</f>
        <v>100</v>
      </c>
      <c r="G30" s="2613"/>
      <c r="H30" s="430">
        <f>SUMIF(96:96,G30,97:97)-SUMIF(96:96,C30,97:97)+100</f>
        <v>100</v>
      </c>
      <c r="I30" s="429"/>
      <c r="J30" s="430">
        <f>SUMIF(96:96,I30,97:97)-SUMIF(96:96,C30,97:97)+100</f>
        <v>100</v>
      </c>
      <c r="K30" s="2599"/>
      <c r="L30" s="1138"/>
      <c r="M30" s="1129"/>
      <c r="N30" s="1129"/>
      <c r="O30" s="1129"/>
      <c r="P30" s="3308"/>
      <c r="Q30" s="1808">
        <f t="shared" si="11"/>
        <v>111</v>
      </c>
      <c r="R30" s="769" t="s">
        <v>21</v>
      </c>
      <c r="S30" s="770">
        <f t="shared" si="12"/>
        <v>100</v>
      </c>
      <c r="T30" s="769" t="s">
        <v>21</v>
      </c>
      <c r="U30" s="770">
        <f t="shared" si="13"/>
        <v>100</v>
      </c>
      <c r="V30" s="769" t="s">
        <v>21</v>
      </c>
      <c r="W30" s="770">
        <f t="shared" si="14"/>
        <v>100</v>
      </c>
      <c r="X30" s="1811"/>
      <c r="Y30" s="3220"/>
      <c r="Z30" s="1812">
        <f t="shared" si="18"/>
        <v>111</v>
      </c>
      <c r="AA30" s="1809">
        <f t="shared" si="15"/>
        <v>1</v>
      </c>
      <c r="AB30" s="1809">
        <f t="shared" si="16"/>
        <v>1</v>
      </c>
      <c r="AC30" s="1809">
        <f t="shared" si="17"/>
        <v>1</v>
      </c>
    </row>
    <row r="31" spans="1:29" ht="15.75" thickBot="1">
      <c r="A31" s="431"/>
      <c r="B31" s="1384">
        <v>111</v>
      </c>
      <c r="C31" s="432"/>
      <c r="D31" s="433">
        <v>100</v>
      </c>
      <c r="E31" s="432"/>
      <c r="F31" s="433">
        <f>SUMIF(98:98,E31,99:99)-SUMIF(98:98,C31,99:99)+100</f>
        <v>100</v>
      </c>
      <c r="G31" s="2614"/>
      <c r="H31" s="433">
        <f>SUMIF(98:98,G31,99:99)-SUMIF(98:98,C31,99:99)+100</f>
        <v>100</v>
      </c>
      <c r="I31" s="432"/>
      <c r="J31" s="433">
        <f>SUMIF(98:98,I31,99:99)-SUMIF(98:98,C31,99:99)+100</f>
        <v>100</v>
      </c>
      <c r="K31" s="2599"/>
      <c r="L31" s="1138"/>
      <c r="M31" s="1129"/>
      <c r="N31" s="1129"/>
      <c r="O31" s="1129"/>
      <c r="P31" s="3308"/>
      <c r="Q31" s="1808">
        <f t="shared" si="11"/>
        <v>111</v>
      </c>
      <c r="R31" s="769" t="s">
        <v>21</v>
      </c>
      <c r="S31" s="770">
        <f t="shared" si="12"/>
        <v>100</v>
      </c>
      <c r="T31" s="769" t="s">
        <v>21</v>
      </c>
      <c r="U31" s="770">
        <f t="shared" si="13"/>
        <v>100</v>
      </c>
      <c r="V31" s="769" t="s">
        <v>21</v>
      </c>
      <c r="W31" s="770">
        <f t="shared" si="14"/>
        <v>100</v>
      </c>
      <c r="X31" s="1811"/>
      <c r="Y31" s="3220"/>
      <c r="Z31" s="1812">
        <f t="shared" si="18"/>
        <v>111</v>
      </c>
      <c r="AA31" s="1809">
        <f t="shared" si="15"/>
        <v>1</v>
      </c>
      <c r="AB31" s="1809">
        <f t="shared" si="16"/>
        <v>1</v>
      </c>
      <c r="AC31" s="1809">
        <f t="shared" si="17"/>
        <v>1</v>
      </c>
    </row>
    <row r="32" spans="1:29" ht="15">
      <c r="A32" s="435" t="s">
        <v>2541</v>
      </c>
      <c r="B32" s="71" t="s">
        <v>2542</v>
      </c>
      <c r="C32" s="2615"/>
      <c r="D32" s="462">
        <v>100</v>
      </c>
      <c r="E32" s="2616"/>
      <c r="F32" s="456">
        <f>SUMIF(100:100,E32,101:101)-SUMIF(100:100,C32,101:101)+100</f>
        <v>100</v>
      </c>
      <c r="G32" s="2615"/>
      <c r="H32" s="462">
        <f>SUMIF(100:100,G32,101:101)-SUMIF(100:100,C32,101:101)+100</f>
        <v>100</v>
      </c>
      <c r="I32" s="2616"/>
      <c r="J32" s="430">
        <f>SUMIF(100:100,I32,101:101)-SUMIF(100:100,C32,101:101)+100</f>
        <v>100</v>
      </c>
      <c r="K32" s="421"/>
      <c r="L32" s="1138"/>
      <c r="M32" s="1129"/>
      <c r="N32" s="1129"/>
      <c r="O32" s="1129"/>
      <c r="P32" s="3303" t="s">
        <v>2543</v>
      </c>
      <c r="Q32" s="1808" t="str">
        <f t="shared" si="11"/>
        <v>建筑类型</v>
      </c>
      <c r="R32" s="769" t="s">
        <v>21</v>
      </c>
      <c r="S32" s="770">
        <f t="shared" si="12"/>
        <v>100</v>
      </c>
      <c r="T32" s="769" t="s">
        <v>21</v>
      </c>
      <c r="U32" s="770">
        <f t="shared" si="13"/>
        <v>100</v>
      </c>
      <c r="V32" s="769" t="s">
        <v>21</v>
      </c>
      <c r="W32" s="770">
        <f t="shared" si="14"/>
        <v>100</v>
      </c>
      <c r="X32" s="1811"/>
      <c r="Y32" s="3222" t="s">
        <v>2543</v>
      </c>
      <c r="Z32" s="1812" t="str">
        <f t="shared" si="18"/>
        <v>建筑类型</v>
      </c>
      <c r="AA32" s="1809">
        <f t="shared" si="15"/>
        <v>1</v>
      </c>
      <c r="AB32" s="1809">
        <f t="shared" si="16"/>
        <v>1</v>
      </c>
      <c r="AC32" s="1809">
        <f t="shared" si="17"/>
        <v>1</v>
      </c>
    </row>
    <row r="33" spans="1:29" s="466" customFormat="1" ht="15">
      <c r="A33" s="463"/>
      <c r="B33" s="417" t="s">
        <v>2544</v>
      </c>
      <c r="C33" s="464"/>
      <c r="D33" s="133">
        <v>100</v>
      </c>
      <c r="E33" s="425"/>
      <c r="F33" s="420" t="e">
        <f>LOOKUP(E33,103:103,104:104)-LOOKUP(C33,103:103,104:104)+100</f>
        <v>#N/A</v>
      </c>
      <c r="G33" s="424"/>
      <c r="H33" s="133" t="e">
        <f>LOOKUP(G33,103:103,104:104)-LOOKUP(C33,103:103,104:104)+100</f>
        <v>#N/A</v>
      </c>
      <c r="I33" s="425"/>
      <c r="J33" s="133" t="e">
        <f>LOOKUP(I33,103:103,104:104)-LOOKUP(C33,103:103,104:104)+100</f>
        <v>#N/A</v>
      </c>
      <c r="K33" s="2599"/>
      <c r="L33" s="1136"/>
      <c r="M33" s="1139"/>
      <c r="N33" s="1139"/>
      <c r="O33" s="1139"/>
      <c r="P33" s="3304"/>
      <c r="Q33" s="771" t="str">
        <f t="shared" si="11"/>
        <v>项目建筑规模</v>
      </c>
      <c r="R33" s="772" t="s">
        <v>21</v>
      </c>
      <c r="S33" s="773" t="e">
        <f t="shared" si="12"/>
        <v>#N/A</v>
      </c>
      <c r="T33" s="772" t="s">
        <v>21</v>
      </c>
      <c r="U33" s="773" t="e">
        <f t="shared" si="13"/>
        <v>#N/A</v>
      </c>
      <c r="V33" s="772" t="s">
        <v>21</v>
      </c>
      <c r="W33" s="773" t="e">
        <f t="shared" si="14"/>
        <v>#N/A</v>
      </c>
      <c r="X33" s="774"/>
      <c r="Y33" s="3222"/>
      <c r="Z33" s="775" t="str">
        <f t="shared" si="18"/>
        <v>项目建筑规模</v>
      </c>
      <c r="AA33" s="1809" t="e">
        <f t="shared" si="15"/>
        <v>#N/A</v>
      </c>
      <c r="AB33" s="1809" t="e">
        <f t="shared" si="16"/>
        <v>#N/A</v>
      </c>
      <c r="AC33" s="1809" t="e">
        <f t="shared" si="17"/>
        <v>#N/A</v>
      </c>
    </row>
    <row r="34" spans="1:29" ht="15">
      <c r="A34" s="467"/>
      <c r="B34" s="417" t="s">
        <v>2545</v>
      </c>
      <c r="C34" s="2617"/>
      <c r="D34" s="430">
        <v>100</v>
      </c>
      <c r="E34" s="2618"/>
      <c r="F34" s="456">
        <f>SUMIF(105:105,E34,106:106)-SUMIF(105:105,C34,106:106)+100</f>
        <v>100</v>
      </c>
      <c r="G34" s="2617"/>
      <c r="H34" s="430">
        <f>SUMIF(105:105,G34,106:106)-SUMIF(105:105,C34,106:106)+100</f>
        <v>100</v>
      </c>
      <c r="I34" s="2618"/>
      <c r="J34" s="430">
        <f>SUMIF(105:105,I34,106:106)-SUMIF(105:105,C34,106:106)+100</f>
        <v>100</v>
      </c>
      <c r="K34" s="421"/>
      <c r="L34" s="1138"/>
      <c r="M34" s="1129"/>
      <c r="N34" s="1129"/>
      <c r="O34" s="1129"/>
      <c r="P34" s="3304"/>
      <c r="Q34" s="1808" t="str">
        <f t="shared" si="11"/>
        <v>建筑结构</v>
      </c>
      <c r="R34" s="769" t="s">
        <v>21</v>
      </c>
      <c r="S34" s="770">
        <f t="shared" si="12"/>
        <v>100</v>
      </c>
      <c r="T34" s="769" t="s">
        <v>21</v>
      </c>
      <c r="U34" s="770">
        <f t="shared" si="13"/>
        <v>100</v>
      </c>
      <c r="V34" s="769" t="s">
        <v>21</v>
      </c>
      <c r="W34" s="770">
        <f t="shared" si="14"/>
        <v>100</v>
      </c>
      <c r="X34" s="1811"/>
      <c r="Y34" s="3222"/>
      <c r="Z34" s="1812" t="str">
        <f t="shared" si="18"/>
        <v>建筑结构</v>
      </c>
      <c r="AA34" s="1809">
        <f t="shared" si="15"/>
        <v>1</v>
      </c>
      <c r="AB34" s="1809">
        <f t="shared" si="16"/>
        <v>1</v>
      </c>
      <c r="AC34" s="1809">
        <f t="shared" si="17"/>
        <v>1</v>
      </c>
    </row>
    <row r="35" spans="1:29" ht="15">
      <c r="A35" s="467"/>
      <c r="B35" s="417" t="s">
        <v>2546</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8"/>
      <c r="M35" s="1129"/>
      <c r="N35" s="1129"/>
      <c r="O35" s="1129"/>
      <c r="P35" s="3304"/>
      <c r="Q35" s="1808" t="str">
        <f t="shared" si="11"/>
        <v>建筑品质</v>
      </c>
      <c r="R35" s="769" t="s">
        <v>21</v>
      </c>
      <c r="S35" s="770">
        <f t="shared" si="12"/>
        <v>100</v>
      </c>
      <c r="T35" s="769" t="s">
        <v>21</v>
      </c>
      <c r="U35" s="770">
        <f t="shared" si="13"/>
        <v>100</v>
      </c>
      <c r="V35" s="769" t="s">
        <v>21</v>
      </c>
      <c r="W35" s="770">
        <f t="shared" si="14"/>
        <v>100</v>
      </c>
      <c r="X35" s="1811"/>
      <c r="Y35" s="3222"/>
      <c r="Z35" s="1812" t="str">
        <f t="shared" si="18"/>
        <v>建筑品质</v>
      </c>
      <c r="AA35" s="1809">
        <f t="shared" si="15"/>
        <v>1</v>
      </c>
      <c r="AB35" s="1809">
        <f t="shared" si="16"/>
        <v>1</v>
      </c>
      <c r="AC35" s="1809">
        <f t="shared" si="17"/>
        <v>1</v>
      </c>
    </row>
    <row r="36" spans="1:29" ht="15">
      <c r="A36" s="467"/>
      <c r="B36" s="417" t="s">
        <v>2547</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8"/>
      <c r="M36" s="1129"/>
      <c r="N36" s="1129"/>
      <c r="O36" s="1129"/>
      <c r="P36" s="3304"/>
      <c r="Q36" s="1808" t="str">
        <f t="shared" si="11"/>
        <v>公共部分装修</v>
      </c>
      <c r="R36" s="769" t="s">
        <v>21</v>
      </c>
      <c r="S36" s="770">
        <f t="shared" si="12"/>
        <v>100</v>
      </c>
      <c r="T36" s="769" t="s">
        <v>21</v>
      </c>
      <c r="U36" s="770">
        <f t="shared" si="13"/>
        <v>100</v>
      </c>
      <c r="V36" s="769" t="s">
        <v>21</v>
      </c>
      <c r="W36" s="770">
        <f t="shared" si="14"/>
        <v>100</v>
      </c>
      <c r="X36" s="1811"/>
      <c r="Y36" s="3222"/>
      <c r="Z36" s="1812" t="str">
        <f t="shared" si="18"/>
        <v>公共部分装修</v>
      </c>
      <c r="AA36" s="1809">
        <f t="shared" si="15"/>
        <v>1</v>
      </c>
      <c r="AB36" s="1809">
        <f t="shared" si="16"/>
        <v>1</v>
      </c>
      <c r="AC36" s="1809">
        <f t="shared" si="17"/>
        <v>1</v>
      </c>
    </row>
    <row r="37" spans="1:29" s="115" customFormat="1" ht="15">
      <c r="A37" s="468"/>
      <c r="B37" s="417" t="s">
        <v>2548</v>
      </c>
      <c r="C37" s="469"/>
      <c r="D37" s="133">
        <v>100</v>
      </c>
      <c r="E37" s="469"/>
      <c r="F37" s="420" t="e">
        <f>LOOKUP(E37,112:112,113:113)-LOOKUP(C37,112:112,113:113)+100</f>
        <v>#N/A</v>
      </c>
      <c r="G37" s="471"/>
      <c r="H37" s="133" t="e">
        <f>LOOKUP(G37,112:112,113:113)-LOOKUP(C37,112:112,113:113)+100</f>
        <v>#N/A</v>
      </c>
      <c r="I37" s="470"/>
      <c r="J37" s="133" t="e">
        <f>LOOKUP(I37,112:112,113:113)-LOOKUP(C37,112:112,113:113)+100</f>
        <v>#N/A</v>
      </c>
      <c r="K37" s="421"/>
      <c r="L37" s="1130"/>
      <c r="M37" s="1131"/>
      <c r="N37" s="1131"/>
      <c r="O37" s="1131"/>
      <c r="P37" s="3304"/>
      <c r="Q37" s="1793" t="str">
        <f t="shared" si="11"/>
        <v>成新度</v>
      </c>
      <c r="R37" s="765" t="s">
        <v>21</v>
      </c>
      <c r="S37" s="766" t="e">
        <f t="shared" si="12"/>
        <v>#N/A</v>
      </c>
      <c r="T37" s="765" t="s">
        <v>21</v>
      </c>
      <c r="U37" s="766" t="e">
        <f t="shared" si="13"/>
        <v>#N/A</v>
      </c>
      <c r="V37" s="765" t="s">
        <v>21</v>
      </c>
      <c r="W37" s="766" t="e">
        <f t="shared" si="14"/>
        <v>#N/A</v>
      </c>
      <c r="X37" s="767"/>
      <c r="Y37" s="3222"/>
      <c r="Z37" s="55" t="str">
        <f t="shared" si="18"/>
        <v>成新度</v>
      </c>
      <c r="AA37" s="768" t="e">
        <f t="shared" si="15"/>
        <v>#N/A</v>
      </c>
      <c r="AB37" s="768" t="e">
        <f t="shared" si="16"/>
        <v>#N/A</v>
      </c>
      <c r="AC37" s="768" t="e">
        <f t="shared" si="17"/>
        <v>#N/A</v>
      </c>
    </row>
    <row r="38" spans="1:29" ht="15">
      <c r="A38" s="467"/>
      <c r="B38" s="417" t="s">
        <v>2549</v>
      </c>
      <c r="C38" s="2611"/>
      <c r="D38" s="430">
        <v>100</v>
      </c>
      <c r="E38" s="2612"/>
      <c r="F38" s="456">
        <f>SUMIF(114:114,E38,115:115)-SUMIF(114:114,C38,115:115)+100</f>
        <v>100</v>
      </c>
      <c r="G38" s="2611"/>
      <c r="H38" s="430">
        <f>SUMIF(114:114,G38,115:115)-SUMIF(114:114,C38,115:115)+100</f>
        <v>100</v>
      </c>
      <c r="I38" s="2612"/>
      <c r="J38" s="430">
        <f>SUMIF(114:114,I38,115:115)-SUMIF(114:114,C38,115:115)+100</f>
        <v>100</v>
      </c>
      <c r="K38" s="421"/>
      <c r="L38" s="1138"/>
      <c r="M38" s="1129"/>
      <c r="N38" s="1129"/>
      <c r="O38" s="1129"/>
      <c r="P38" s="3304" t="s">
        <v>2543</v>
      </c>
      <c r="Q38" s="1808" t="str">
        <f t="shared" si="11"/>
        <v>物业管理</v>
      </c>
      <c r="R38" s="769" t="s">
        <v>21</v>
      </c>
      <c r="S38" s="770">
        <f t="shared" si="12"/>
        <v>100</v>
      </c>
      <c r="T38" s="769" t="s">
        <v>21</v>
      </c>
      <c r="U38" s="770">
        <f t="shared" si="13"/>
        <v>100</v>
      </c>
      <c r="V38" s="769" t="s">
        <v>21</v>
      </c>
      <c r="W38" s="770">
        <f t="shared" si="14"/>
        <v>100</v>
      </c>
      <c r="X38" s="1811"/>
      <c r="Y38" s="3222" t="s">
        <v>2543</v>
      </c>
      <c r="Z38" s="1812" t="str">
        <f t="shared" si="18"/>
        <v>物业管理</v>
      </c>
      <c r="AA38" s="1809">
        <f t="shared" si="15"/>
        <v>1</v>
      </c>
      <c r="AB38" s="1809">
        <f t="shared" si="16"/>
        <v>1</v>
      </c>
      <c r="AC38" s="1809">
        <f t="shared" si="17"/>
        <v>1</v>
      </c>
    </row>
    <row r="39" spans="1:29" ht="15">
      <c r="A39" s="467"/>
      <c r="B39" s="417" t="s">
        <v>2550</v>
      </c>
      <c r="C39" s="2611"/>
      <c r="D39" s="430">
        <v>100</v>
      </c>
      <c r="E39" s="2612"/>
      <c r="F39" s="456">
        <f>SUMIF(116:116,E39,117:117)-SUMIF(116:116,C39,117:117)+100</f>
        <v>100</v>
      </c>
      <c r="G39" s="2611"/>
      <c r="H39" s="430">
        <f>SUMIF(116:116,G39,117:117)-SUMIF(116:116,C39,117:117)+100</f>
        <v>100</v>
      </c>
      <c r="I39" s="2612"/>
      <c r="J39" s="430">
        <f>SUMIF(116:116,I39,117:117)-SUMIF(116:116,C39,117:117)+100</f>
        <v>100</v>
      </c>
      <c r="K39" s="421"/>
      <c r="L39" s="1138"/>
      <c r="M39" s="1129"/>
      <c r="N39" s="1129"/>
      <c r="O39" s="1129"/>
      <c r="P39" s="3304"/>
      <c r="Q39" s="1808" t="str">
        <f t="shared" si="11"/>
        <v>市政基础设施</v>
      </c>
      <c r="R39" s="769" t="s">
        <v>21</v>
      </c>
      <c r="S39" s="770">
        <f t="shared" si="12"/>
        <v>100</v>
      </c>
      <c r="T39" s="769" t="s">
        <v>21</v>
      </c>
      <c r="U39" s="770">
        <f t="shared" si="13"/>
        <v>100</v>
      </c>
      <c r="V39" s="769" t="s">
        <v>21</v>
      </c>
      <c r="W39" s="770">
        <f t="shared" si="14"/>
        <v>100</v>
      </c>
      <c r="X39" s="1811"/>
      <c r="Y39" s="3222"/>
      <c r="Z39" s="1812" t="str">
        <f t="shared" si="18"/>
        <v>市政基础设施</v>
      </c>
      <c r="AA39" s="1809">
        <f t="shared" si="15"/>
        <v>1</v>
      </c>
      <c r="AB39" s="1809">
        <f t="shared" si="16"/>
        <v>1</v>
      </c>
      <c r="AC39" s="1809">
        <f t="shared" si="17"/>
        <v>1</v>
      </c>
    </row>
    <row r="40" spans="1:29" ht="15">
      <c r="A40" s="467"/>
      <c r="B40" s="417" t="s">
        <v>2551</v>
      </c>
      <c r="C40" s="2611"/>
      <c r="D40" s="430">
        <v>100</v>
      </c>
      <c r="E40" s="2612"/>
      <c r="F40" s="456">
        <f>SUMIF(118:118,E40,119:119)-SUMIF(118:118,C40,119:119)+100</f>
        <v>100</v>
      </c>
      <c r="G40" s="2611"/>
      <c r="H40" s="430">
        <f>SUMIF(118:118,G40,119:119)-SUMIF(118:118,C40,119:119)+100</f>
        <v>100</v>
      </c>
      <c r="I40" s="2612"/>
      <c r="J40" s="430">
        <f>SUMIF(118:118,I40,119:119)-SUMIF(118:118,C40,119:119)+100</f>
        <v>100</v>
      </c>
      <c r="K40" s="421"/>
      <c r="L40" s="1138"/>
      <c r="M40" s="1129"/>
      <c r="N40" s="1129"/>
      <c r="O40" s="1129"/>
      <c r="P40" s="3304"/>
      <c r="Q40" s="1808" t="str">
        <f t="shared" si="11"/>
        <v>房型</v>
      </c>
      <c r="R40" s="769" t="s">
        <v>21</v>
      </c>
      <c r="S40" s="770">
        <f t="shared" si="12"/>
        <v>100</v>
      </c>
      <c r="T40" s="769" t="s">
        <v>21</v>
      </c>
      <c r="U40" s="770">
        <f t="shared" si="13"/>
        <v>100</v>
      </c>
      <c r="V40" s="769" t="s">
        <v>21</v>
      </c>
      <c r="W40" s="770">
        <f t="shared" si="14"/>
        <v>100</v>
      </c>
      <c r="X40" s="1811"/>
      <c r="Y40" s="3222"/>
      <c r="Z40" s="1812" t="str">
        <f t="shared" si="18"/>
        <v>房型</v>
      </c>
      <c r="AA40" s="1809">
        <f t="shared" si="15"/>
        <v>1</v>
      </c>
      <c r="AB40" s="1809">
        <f t="shared" si="16"/>
        <v>1</v>
      </c>
      <c r="AC40" s="1809">
        <f t="shared" si="17"/>
        <v>1</v>
      </c>
    </row>
    <row r="41" spans="1:29" s="466" customFormat="1" ht="28.5">
      <c r="A41" s="463"/>
      <c r="B41" s="417" t="s">
        <v>2552</v>
      </c>
      <c r="C41" s="464"/>
      <c r="D41" s="133">
        <v>100</v>
      </c>
      <c r="E41" s="425"/>
      <c r="F41" s="420">
        <f>SUMIF(120:120,E41,121:121)-SUMIF(120:120,C41,121:121)+100</f>
        <v>100</v>
      </c>
      <c r="G41" s="424"/>
      <c r="H41" s="133">
        <f>SUMIF(120:120,G41,121:121)-SUMIF(120:120,C41,121:121)+100</f>
        <v>100</v>
      </c>
      <c r="I41" s="472"/>
      <c r="J41" s="430">
        <f>SUMIF(120:120,I41,121:121)-SUMIF(120:120,C41,121:121)+100</f>
        <v>100</v>
      </c>
      <c r="K41" s="2599"/>
      <c r="L41" s="1136"/>
      <c r="M41" s="1139"/>
      <c r="N41" s="1139"/>
      <c r="O41" s="1139"/>
      <c r="P41" s="3304"/>
      <c r="Q41" s="771" t="str">
        <f t="shared" si="11"/>
        <v>单套/主力户型建筑面积</v>
      </c>
      <c r="R41" s="772" t="s">
        <v>21</v>
      </c>
      <c r="S41" s="773">
        <f t="shared" si="12"/>
        <v>100</v>
      </c>
      <c r="T41" s="772" t="s">
        <v>21</v>
      </c>
      <c r="U41" s="773">
        <f t="shared" si="13"/>
        <v>100</v>
      </c>
      <c r="V41" s="772" t="s">
        <v>21</v>
      </c>
      <c r="W41" s="773">
        <f t="shared" si="14"/>
        <v>100</v>
      </c>
      <c r="X41" s="774"/>
      <c r="Y41" s="3222"/>
      <c r="Z41" s="775" t="str">
        <f t="shared" si="18"/>
        <v>单套/主力户型建筑面积</v>
      </c>
      <c r="AA41" s="1809">
        <f t="shared" si="15"/>
        <v>1</v>
      </c>
      <c r="AB41" s="1809">
        <f t="shared" si="16"/>
        <v>1</v>
      </c>
      <c r="AC41" s="1809">
        <f t="shared" si="17"/>
        <v>1</v>
      </c>
    </row>
    <row r="42" spans="1:29" ht="15">
      <c r="A42" s="467"/>
      <c r="B42" s="417" t="s">
        <v>2553</v>
      </c>
      <c r="C42" s="2611"/>
      <c r="D42" s="430">
        <v>100</v>
      </c>
      <c r="E42" s="2612"/>
      <c r="F42" s="456">
        <f>SUMIF(122:122,E42,123:123)-SUMIF(122:122,C42,123:123)+100</f>
        <v>100</v>
      </c>
      <c r="G42" s="2611"/>
      <c r="H42" s="430">
        <f>SUMIF(122:122,G42,123:123)-SUMIF(122:122,C42,123:123)+100</f>
        <v>100</v>
      </c>
      <c r="I42" s="2612"/>
      <c r="J42" s="430">
        <f>SUMIF(122:122,I42,123:123)-SUMIF(122:122,C42,123:123)+100</f>
        <v>100</v>
      </c>
      <c r="K42" s="421"/>
      <c r="L42" s="1138"/>
      <c r="M42" s="1129"/>
      <c r="N42" s="1129"/>
      <c r="O42" s="1129"/>
      <c r="P42" s="3304"/>
      <c r="Q42" s="1808" t="str">
        <f t="shared" si="11"/>
        <v>内部装修</v>
      </c>
      <c r="R42" s="769" t="s">
        <v>21</v>
      </c>
      <c r="S42" s="770">
        <f t="shared" si="12"/>
        <v>100</v>
      </c>
      <c r="T42" s="769" t="s">
        <v>21</v>
      </c>
      <c r="U42" s="770">
        <f t="shared" si="13"/>
        <v>100</v>
      </c>
      <c r="V42" s="769" t="s">
        <v>21</v>
      </c>
      <c r="W42" s="770">
        <f t="shared" si="14"/>
        <v>100</v>
      </c>
      <c r="X42" s="1811"/>
      <c r="Y42" s="3222"/>
      <c r="Z42" s="1812" t="str">
        <f t="shared" si="18"/>
        <v>内部装修</v>
      </c>
      <c r="AA42" s="1809">
        <f t="shared" si="15"/>
        <v>1</v>
      </c>
      <c r="AB42" s="1809">
        <f t="shared" si="16"/>
        <v>1</v>
      </c>
      <c r="AC42" s="1809">
        <f t="shared" si="17"/>
        <v>1</v>
      </c>
    </row>
    <row r="43" spans="1:29" ht="15">
      <c r="A43" s="467"/>
      <c r="B43" s="417" t="s">
        <v>2554</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8"/>
      <c r="M43" s="1129"/>
      <c r="N43" s="1129"/>
      <c r="O43" s="1129"/>
      <c r="P43" s="3304"/>
      <c r="Q43" s="1808" t="str">
        <f t="shared" si="11"/>
        <v>内部装修维护情况</v>
      </c>
      <c r="R43" s="769" t="s">
        <v>21</v>
      </c>
      <c r="S43" s="770">
        <f t="shared" si="12"/>
        <v>100</v>
      </c>
      <c r="T43" s="769" t="s">
        <v>21</v>
      </c>
      <c r="U43" s="770">
        <f t="shared" si="13"/>
        <v>100</v>
      </c>
      <c r="V43" s="769" t="s">
        <v>21</v>
      </c>
      <c r="W43" s="770">
        <f t="shared" si="14"/>
        <v>100</v>
      </c>
      <c r="X43" s="1811"/>
      <c r="Y43" s="3222"/>
      <c r="Z43" s="1812" t="str">
        <f t="shared" si="18"/>
        <v>内部装修维护情况</v>
      </c>
      <c r="AA43" s="1809">
        <f t="shared" si="15"/>
        <v>1</v>
      </c>
      <c r="AB43" s="1809">
        <f t="shared" si="16"/>
        <v>1</v>
      </c>
      <c r="AC43" s="1809">
        <f t="shared" si="17"/>
        <v>1</v>
      </c>
    </row>
    <row r="44" spans="1:29" s="115" customFormat="1" ht="15">
      <c r="A44" s="468"/>
      <c r="B44" s="1384">
        <v>111</v>
      </c>
      <c r="C44" s="464"/>
      <c r="D44" s="133">
        <v>100</v>
      </c>
      <c r="E44" s="464"/>
      <c r="F44" s="420">
        <f>SUMIF(126:126,E44,127:127)-SUMIF(126:126,C44,127:127)+100</f>
        <v>100</v>
      </c>
      <c r="G44" s="464"/>
      <c r="H44" s="133">
        <f>SUMIF(126:126,G44,127:127)-SUMIF(126:126,C44,127:127)+100</f>
        <v>100</v>
      </c>
      <c r="I44" s="464"/>
      <c r="J44" s="133">
        <f>SUMIF(126:126,I44,127:127)-SUMIF(126:126,C44,127:127)+100</f>
        <v>100</v>
      </c>
      <c r="K44" s="2599"/>
      <c r="L44" s="1130"/>
      <c r="M44" s="1131"/>
      <c r="N44" s="1131"/>
      <c r="O44" s="1131"/>
      <c r="P44" s="3304"/>
      <c r="Q44" s="1793">
        <f t="shared" si="11"/>
        <v>111</v>
      </c>
      <c r="R44" s="765" t="s">
        <v>21</v>
      </c>
      <c r="S44" s="766">
        <f t="shared" si="12"/>
        <v>100</v>
      </c>
      <c r="T44" s="765" t="s">
        <v>21</v>
      </c>
      <c r="U44" s="766">
        <f t="shared" si="13"/>
        <v>100</v>
      </c>
      <c r="V44" s="765" t="s">
        <v>21</v>
      </c>
      <c r="W44" s="766">
        <f t="shared" si="14"/>
        <v>100</v>
      </c>
      <c r="X44" s="767"/>
      <c r="Y44" s="3222"/>
      <c r="Z44" s="55">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9"/>
      <c r="L45" s="1138"/>
      <c r="M45" s="1129"/>
      <c r="N45" s="1129"/>
      <c r="O45" s="1129"/>
      <c r="P45" s="3304"/>
      <c r="Q45" s="1808">
        <f t="shared" si="11"/>
        <v>111</v>
      </c>
      <c r="R45" s="769" t="s">
        <v>21</v>
      </c>
      <c r="S45" s="770">
        <f t="shared" si="12"/>
        <v>100</v>
      </c>
      <c r="T45" s="769" t="s">
        <v>21</v>
      </c>
      <c r="U45" s="770">
        <f t="shared" si="13"/>
        <v>100</v>
      </c>
      <c r="V45" s="769" t="s">
        <v>21</v>
      </c>
      <c r="W45" s="770">
        <f t="shared" si="14"/>
        <v>100</v>
      </c>
      <c r="X45" s="1811"/>
      <c r="Y45" s="3222"/>
      <c r="Z45" s="1812">
        <f t="shared" si="18"/>
        <v>111</v>
      </c>
      <c r="AA45" s="1809">
        <f t="shared" si="15"/>
        <v>1</v>
      </c>
      <c r="AB45" s="1809">
        <f t="shared" si="16"/>
        <v>1</v>
      </c>
      <c r="AC45" s="1809">
        <f t="shared" si="17"/>
        <v>1</v>
      </c>
    </row>
    <row r="46" spans="1:29" ht="15.75" thickBot="1">
      <c r="A46" s="473"/>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8"/>
      <c r="M46" s="1129"/>
      <c r="N46" s="1129"/>
      <c r="O46" s="1129"/>
      <c r="P46" s="3305"/>
      <c r="Q46" s="1808">
        <f t="shared" si="11"/>
        <v>111</v>
      </c>
      <c r="R46" s="769" t="s">
        <v>20</v>
      </c>
      <c r="S46" s="770">
        <f t="shared" si="12"/>
        <v>100</v>
      </c>
      <c r="T46" s="769" t="s">
        <v>20</v>
      </c>
      <c r="U46" s="770">
        <f t="shared" si="13"/>
        <v>100</v>
      </c>
      <c r="V46" s="769" t="s">
        <v>20</v>
      </c>
      <c r="W46" s="770">
        <f t="shared" si="14"/>
        <v>100</v>
      </c>
      <c r="X46" s="1811"/>
      <c r="Y46" s="3306"/>
      <c r="Z46" s="1812">
        <f t="shared" si="18"/>
        <v>111</v>
      </c>
      <c r="AA46" s="1809">
        <f t="shared" si="15"/>
        <v>1</v>
      </c>
      <c r="AB46" s="1809">
        <f t="shared" si="16"/>
        <v>1</v>
      </c>
      <c r="AC46" s="1809">
        <f t="shared" si="17"/>
        <v>1</v>
      </c>
    </row>
    <row r="47" spans="1:29" ht="15">
      <c r="A47" s="474" t="s">
        <v>2555</v>
      </c>
      <c r="B47" s="475"/>
      <c r="C47" s="1405" t="s">
        <v>19</v>
      </c>
      <c r="D47" s="1406"/>
      <c r="E47" s="1407"/>
      <c r="F47" s="1408"/>
      <c r="G47" s="1409"/>
      <c r="H47" s="1410"/>
      <c r="I47" s="1407"/>
      <c r="J47" s="1410"/>
      <c r="K47" s="2619"/>
      <c r="L47" s="1141"/>
      <c r="M47" s="1142"/>
      <c r="N47" s="1129"/>
      <c r="O47" s="1142"/>
      <c r="P47" s="3217" t="str">
        <f>A47</f>
        <v>成交单价（元/平方米）</v>
      </c>
      <c r="Q47" s="3217"/>
      <c r="R47" s="3302">
        <f>E47</f>
        <v>0</v>
      </c>
      <c r="S47" s="3302"/>
      <c r="T47" s="3302">
        <f>G47</f>
        <v>0</v>
      </c>
      <c r="U47" s="3302"/>
      <c r="V47" s="3302">
        <f>I47</f>
        <v>0</v>
      </c>
      <c r="W47" s="3302"/>
      <c r="X47" s="754"/>
      <c r="Y47" s="776"/>
      <c r="Z47" s="754"/>
      <c r="AA47" s="754"/>
      <c r="AB47" s="754"/>
      <c r="AC47" s="754"/>
    </row>
    <row r="48" spans="1:29" ht="15.75" thickBot="1">
      <c r="A48" s="481" t="s">
        <v>2556</v>
      </c>
      <c r="B48" s="482"/>
      <c r="C48" s="1411" t="e">
        <f>R49</f>
        <v>#DIV/0!</v>
      </c>
      <c r="D48" s="1412"/>
      <c r="E48" s="1413" t="e">
        <f>R48</f>
        <v>#DIV/0!</v>
      </c>
      <c r="F48" s="1413"/>
      <c r="G48" s="1411" t="e">
        <f>T48</f>
        <v>#DIV/0!</v>
      </c>
      <c r="H48" s="1412"/>
      <c r="I48" s="1413" t="e">
        <f>V48</f>
        <v>#DIV/0!</v>
      </c>
      <c r="J48" s="1412"/>
      <c r="K48" s="2620"/>
      <c r="L48" s="1141"/>
      <c r="M48" s="1142"/>
      <c r="N48" s="1142"/>
      <c r="O48" s="1142"/>
      <c r="P48" s="3217" t="str">
        <f>A48</f>
        <v>比较价值（元/平方米）</v>
      </c>
      <c r="Q48" s="3217"/>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4"/>
      <c r="Y48" s="754"/>
      <c r="Z48" s="754"/>
      <c r="AA48" s="754"/>
      <c r="AB48" s="754"/>
      <c r="AC48" s="754"/>
    </row>
    <row r="49" spans="1:29" ht="15.75" thickBot="1">
      <c r="A49" s="487" t="s">
        <v>2557</v>
      </c>
      <c r="B49" s="488"/>
      <c r="C49" s="1414" t="e">
        <f>R49</f>
        <v>#DIV/0!</v>
      </c>
      <c r="D49" s="1415"/>
      <c r="E49" s="1415"/>
      <c r="F49" s="1415"/>
      <c r="G49" s="1415"/>
      <c r="H49" s="1415"/>
      <c r="I49" s="1415"/>
      <c r="J49" s="1415"/>
      <c r="K49" s="2621"/>
      <c r="L49" s="1141"/>
      <c r="M49" s="1142"/>
      <c r="N49" s="1142"/>
      <c r="O49" s="1142"/>
      <c r="P49" s="3211" t="str">
        <f>A49</f>
        <v>估价对象XX用房的比较价值（楼面单价，元/平方米）</v>
      </c>
      <c r="Q49" s="3212"/>
      <c r="R49" s="3301" t="e">
        <f>IF(F1="售价",ROUND(AVERAGE(R48:V48),0),ROUND(AVERAGE(R48:V48),1))</f>
        <v>#DIV/0!</v>
      </c>
      <c r="S49" s="3301"/>
      <c r="T49" s="3301"/>
      <c r="U49" s="3301"/>
      <c r="V49" s="3301"/>
      <c r="W49" s="330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2558</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row>
    <row r="53" spans="1:29" ht="13.5" customHeight="1">
      <c r="A53" s="1142"/>
      <c r="B53" s="1142"/>
      <c r="C53" s="492" t="s">
        <v>2559</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row>
    <row r="54" spans="1:29" s="497" customFormat="1" ht="13.5" customHeight="1">
      <c r="A54" s="1143"/>
      <c r="B54" s="1143"/>
      <c r="C54" s="492" t="s">
        <v>2560</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2561</v>
      </c>
      <c r="B57" s="754"/>
      <c r="C57" s="759"/>
      <c r="D57" s="759"/>
      <c r="E57" s="759"/>
      <c r="F57" s="760"/>
      <c r="G57" s="760"/>
      <c r="H57" s="759"/>
      <c r="I57" s="759"/>
      <c r="J57" s="759"/>
      <c r="K57" s="1158"/>
      <c r="L57" s="1159"/>
      <c r="M57" s="1157"/>
      <c r="N57" s="1157"/>
      <c r="O57" s="1157"/>
      <c r="P57" s="2624"/>
      <c r="Q57" s="499"/>
    </row>
    <row r="58" spans="1:29" s="503" customFormat="1" ht="15">
      <c r="A58" s="500" t="s">
        <v>2562</v>
      </c>
      <c r="B58" s="501"/>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5" customFormat="1" ht="15">
      <c r="A59" s="504"/>
      <c r="B59" s="2625"/>
      <c r="C59" s="1571">
        <v>100</v>
      </c>
      <c r="D59" s="506"/>
      <c r="E59" s="507"/>
      <c r="F59" s="507"/>
      <c r="G59" s="507"/>
      <c r="H59" s="507"/>
      <c r="I59" s="507"/>
      <c r="J59" s="507"/>
      <c r="K59" s="507"/>
      <c r="L59" s="507"/>
      <c r="M59" s="508"/>
      <c r="N59" s="507"/>
      <c r="O59" s="508"/>
      <c r="P59" s="2626"/>
    </row>
    <row r="60" spans="1:29" s="115" customFormat="1" ht="15.75" thickBot="1">
      <c r="A60" s="510" t="s">
        <v>2563</v>
      </c>
      <c r="B60" s="511"/>
      <c r="C60" s="512"/>
      <c r="D60" s="513"/>
      <c r="E60" s="513"/>
      <c r="F60" s="513"/>
      <c r="G60" s="513"/>
      <c r="H60" s="513"/>
      <c r="I60" s="513"/>
      <c r="J60" s="513"/>
      <c r="K60" s="513"/>
      <c r="L60" s="513"/>
      <c r="M60" s="514"/>
      <c r="N60" s="513"/>
      <c r="O60" s="514"/>
      <c r="P60" s="2626"/>
      <c r="Q60" s="499"/>
    </row>
    <row r="61" spans="1:29" s="115" customFormat="1" ht="15">
      <c r="A61" s="516" t="s">
        <v>2564</v>
      </c>
      <c r="B61" s="505"/>
      <c r="C61" s="517" t="s">
        <v>2565</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2566</v>
      </c>
      <c r="B63" s="523" t="s">
        <v>2532</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2535</v>
      </c>
      <c r="C65" s="534" t="s">
        <v>2567</v>
      </c>
      <c r="D65" s="534" t="s">
        <v>2568</v>
      </c>
      <c r="E65" s="534" t="s">
        <v>2569</v>
      </c>
      <c r="F65" s="534" t="s">
        <v>2570</v>
      </c>
      <c r="G65" s="534" t="s">
        <v>2571</v>
      </c>
      <c r="H65" s="534" t="s">
        <v>2572</v>
      </c>
      <c r="I65" s="534" t="s">
        <v>2573</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2536</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2537</v>
      </c>
      <c r="B76" s="523" t="s">
        <v>2574</v>
      </c>
      <c r="C76" s="568" t="s">
        <v>2575</v>
      </c>
      <c r="D76" s="568" t="s">
        <v>2576</v>
      </c>
      <c r="E76" s="568" t="s">
        <v>2577</v>
      </c>
      <c r="F76" s="568" t="s">
        <v>2578</v>
      </c>
      <c r="G76" s="568" t="s">
        <v>2579</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2580</v>
      </c>
      <c r="C78" s="573" t="s">
        <v>2575</v>
      </c>
      <c r="D78" s="573" t="s">
        <v>2576</v>
      </c>
      <c r="E78" s="573" t="s">
        <v>2577</v>
      </c>
      <c r="F78" s="573" t="s">
        <v>2578</v>
      </c>
      <c r="G78" s="573" t="s">
        <v>2579</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2581</v>
      </c>
      <c r="C80" s="573" t="s">
        <v>2575</v>
      </c>
      <c r="D80" s="573" t="s">
        <v>2576</v>
      </c>
      <c r="E80" s="573" t="s">
        <v>2577</v>
      </c>
      <c r="F80" s="573" t="s">
        <v>2578</v>
      </c>
      <c r="G80" s="573" t="s">
        <v>2579</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2083</v>
      </c>
      <c r="C82" s="534" t="s">
        <v>2582</v>
      </c>
      <c r="D82" s="534" t="s">
        <v>2583</v>
      </c>
      <c r="E82" s="534" t="s">
        <v>2584</v>
      </c>
      <c r="F82" s="534" t="s">
        <v>2585</v>
      </c>
      <c r="G82" s="534" t="s">
        <v>2586</v>
      </c>
      <c r="H82" s="534"/>
      <c r="I82" s="534"/>
      <c r="J82" s="534"/>
      <c r="K82" s="534"/>
      <c r="L82" s="534"/>
      <c r="M82" s="1380"/>
      <c r="N82" s="1151"/>
      <c r="O82" s="1151"/>
      <c r="P82" s="262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51"/>
      <c r="O83" s="1151"/>
      <c r="P83" s="2628"/>
      <c r="Q83" s="499"/>
    </row>
    <row r="84" spans="1:17" ht="15.75" thickTop="1">
      <c r="A84" s="529"/>
      <c r="B84" s="533" t="s">
        <v>2587</v>
      </c>
      <c r="C84" s="573" t="s">
        <v>2575</v>
      </c>
      <c r="D84" s="573" t="s">
        <v>2576</v>
      </c>
      <c r="E84" s="573" t="s">
        <v>2577</v>
      </c>
      <c r="F84" s="573" t="s">
        <v>2578</v>
      </c>
      <c r="G84" s="573" t="s">
        <v>2579</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2588</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5" customFormat="1" ht="15.75" thickTop="1">
      <c r="A88" s="574"/>
      <c r="B88" s="533" t="s">
        <v>2589</v>
      </c>
      <c r="C88" s="549"/>
      <c r="D88" s="549"/>
      <c r="E88" s="549"/>
      <c r="F88" s="2633"/>
      <c r="G88" s="549"/>
      <c r="H88" s="549"/>
      <c r="I88" s="549"/>
      <c r="J88" s="549"/>
      <c r="K88" s="549"/>
      <c r="L88" s="549"/>
      <c r="M88" s="576"/>
      <c r="N88" s="1149"/>
      <c r="O88" s="1149"/>
      <c r="P88" s="2628"/>
      <c r="Q88" s="499"/>
    </row>
    <row r="89" spans="1:17" s="115"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111</v>
      </c>
      <c r="C90" s="549"/>
      <c r="D90" s="549"/>
      <c r="E90" s="549"/>
      <c r="F90" s="549"/>
      <c r="G90" s="549"/>
      <c r="H90" s="550"/>
      <c r="I90" s="550"/>
      <c r="J90" s="550"/>
      <c r="K90" s="550"/>
      <c r="L90" s="551"/>
      <c r="M90" s="552"/>
      <c r="N90" s="1152"/>
      <c r="O90" s="1152"/>
      <c r="P90" s="2629"/>
      <c r="Q90" s="554"/>
    </row>
    <row r="91" spans="1:17" s="466" customFormat="1" ht="15.75" thickBot="1">
      <c r="A91" s="548"/>
      <c r="B91" s="538"/>
      <c r="C91" s="555"/>
      <c r="D91" s="555"/>
      <c r="E91" s="555"/>
      <c r="F91" s="555"/>
      <c r="G91" s="555"/>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2541</v>
      </c>
      <c r="B100" s="523" t="s">
        <v>2590</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51"/>
      <c r="O101" s="1151"/>
      <c r="P101" s="2628"/>
      <c r="Q101" s="499"/>
    </row>
    <row r="102" spans="1:17" ht="15.75" thickTop="1">
      <c r="A102" s="529"/>
      <c r="B102" s="533" t="s">
        <v>2591</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2592</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28"/>
      <c r="Q106" s="499"/>
    </row>
    <row r="107" spans="1:17" ht="15" thickTop="1">
      <c r="A107" s="594"/>
      <c r="B107" s="533" t="s">
        <v>2593</v>
      </c>
      <c r="C107" s="578"/>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28"/>
      <c r="Q108" s="499"/>
    </row>
    <row r="109" spans="1:17" ht="15" thickTop="1">
      <c r="A109" s="594"/>
      <c r="B109" s="533" t="s">
        <v>2594</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1986</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29"/>
      <c r="Q113" s="554"/>
    </row>
    <row r="114" spans="1:17" ht="15" thickTop="1">
      <c r="A114" s="594"/>
      <c r="B114" s="533" t="s">
        <v>2595</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28"/>
      <c r="Q115" s="499"/>
    </row>
    <row r="116" spans="1:17" ht="15" thickTop="1">
      <c r="A116" s="594"/>
      <c r="B116" s="533" t="s">
        <v>2596</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2597</v>
      </c>
      <c r="C118" s="578"/>
      <c r="D118" s="578"/>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28"/>
      <c r="Q119" s="499"/>
    </row>
    <row r="120" spans="1:17" s="466" customFormat="1" ht="28.5" thickTop="1">
      <c r="A120" s="588"/>
      <c r="B120" s="533" t="s">
        <v>2552</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2598</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28"/>
      <c r="Q123" s="499"/>
    </row>
    <row r="124" spans="1:17" ht="15" thickTop="1">
      <c r="A124" s="594"/>
      <c r="B124" s="533" t="s">
        <v>2599</v>
      </c>
      <c r="C124" s="573" t="s">
        <v>2575</v>
      </c>
      <c r="D124" s="573" t="s">
        <v>2576</v>
      </c>
      <c r="E124" s="573" t="s">
        <v>2577</v>
      </c>
      <c r="F124" s="573" t="s">
        <v>2578</v>
      </c>
      <c r="G124" s="573" t="s">
        <v>2579</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2600</v>
      </c>
    </row>
    <row r="137" spans="1:17" ht="15">
      <c r="B137" s="2636" t="s">
        <v>2601</v>
      </c>
      <c r="C137" s="2637"/>
      <c r="D137" s="2637"/>
      <c r="E137" s="2637"/>
      <c r="F137" s="2637"/>
      <c r="G137" s="2638"/>
      <c r="H137" s="2639"/>
      <c r="I137" s="2640" t="s">
        <v>2602</v>
      </c>
      <c r="J137" s="2637"/>
      <c r="K137" s="2641"/>
    </row>
    <row r="138" spans="1:17" ht="15">
      <c r="B138" s="2642"/>
      <c r="C138" s="143" t="s">
        <v>2603</v>
      </c>
      <c r="D138" s="143" t="s">
        <v>2604</v>
      </c>
      <c r="E138" s="2643" t="s">
        <v>2605</v>
      </c>
      <c r="F138" s="2644" t="s">
        <v>2606</v>
      </c>
      <c r="G138" s="143" t="s">
        <v>2604</v>
      </c>
      <c r="H138" s="144" t="s">
        <v>2605</v>
      </c>
      <c r="I138" s="2645"/>
      <c r="J138" s="143" t="s">
        <v>2607</v>
      </c>
      <c r="K138" s="144" t="s">
        <v>2608</v>
      </c>
    </row>
    <row r="139" spans="1:17" ht="15">
      <c r="B139" s="1082">
        <v>6</v>
      </c>
      <c r="C139" s="1083">
        <v>96</v>
      </c>
      <c r="D139" s="2646" t="s">
        <v>2609</v>
      </c>
      <c r="E139" s="1084">
        <v>100</v>
      </c>
      <c r="F139" s="1085">
        <v>102.5</v>
      </c>
      <c r="G139" s="2646" t="s">
        <v>2609</v>
      </c>
      <c r="H139" s="1086">
        <v>105</v>
      </c>
      <c r="I139" s="2647" t="s">
        <v>2610</v>
      </c>
      <c r="J139" s="1083">
        <v>20</v>
      </c>
      <c r="K139" s="1087">
        <f>C145/(J139-2)</f>
        <v>4.0555555555555553E-3</v>
      </c>
    </row>
    <row r="140" spans="1:17" ht="15">
      <c r="B140" s="1088">
        <v>5</v>
      </c>
      <c r="C140" s="1089">
        <v>100</v>
      </c>
      <c r="D140" s="1089"/>
      <c r="E140" s="1090"/>
      <c r="F140" s="1091">
        <v>102</v>
      </c>
      <c r="G140" s="1089"/>
      <c r="H140" s="1092"/>
      <c r="I140" s="2648" t="s">
        <v>2611</v>
      </c>
      <c r="J140" s="310">
        <f>ROUNDUP((J139-1)/2,0)</f>
        <v>10</v>
      </c>
      <c r="K140" s="1093">
        <v>100</v>
      </c>
    </row>
    <row r="141" spans="1:17" ht="15">
      <c r="B141" s="1088">
        <v>4</v>
      </c>
      <c r="C141" s="1089">
        <v>102</v>
      </c>
      <c r="D141" s="1089"/>
      <c r="E141" s="1090"/>
      <c r="F141" s="1091">
        <v>101.5</v>
      </c>
      <c r="G141" s="1089"/>
      <c r="H141" s="1092"/>
      <c r="I141" s="2648" t="s">
        <v>2612</v>
      </c>
      <c r="J141" s="310">
        <v>1</v>
      </c>
      <c r="K141" s="1094">
        <f>ROUND(100+(J141-J140)*K139*100,1)</f>
        <v>96.4</v>
      </c>
    </row>
    <row r="142" spans="1:17" ht="15">
      <c r="B142" s="1088">
        <v>3</v>
      </c>
      <c r="C142" s="1089">
        <v>103</v>
      </c>
      <c r="D142" s="1089"/>
      <c r="E142" s="1090"/>
      <c r="F142" s="1091">
        <v>101</v>
      </c>
      <c r="G142" s="1089"/>
      <c r="H142" s="1092"/>
      <c r="I142" s="2648" t="s">
        <v>2613</v>
      </c>
      <c r="J142" s="310">
        <f>J139</f>
        <v>20</v>
      </c>
      <c r="K142" s="1095">
        <v>95</v>
      </c>
    </row>
    <row r="143" spans="1:17" ht="15">
      <c r="B143" s="1088">
        <v>2</v>
      </c>
      <c r="C143" s="1089">
        <v>100</v>
      </c>
      <c r="D143" s="1089"/>
      <c r="E143" s="1090"/>
      <c r="F143" s="1091">
        <v>100.5</v>
      </c>
      <c r="G143" s="1089"/>
      <c r="H143" s="1092"/>
      <c r="I143" s="2648" t="s">
        <v>2614</v>
      </c>
      <c r="J143" s="1089">
        <v>15</v>
      </c>
      <c r="K143" s="1094">
        <f>ROUND(100+(J143-J140)*K139*100,1)</f>
        <v>102</v>
      </c>
    </row>
    <row r="144" spans="1:17" ht="15">
      <c r="B144" s="1088">
        <v>1</v>
      </c>
      <c r="C144" s="1089">
        <v>98</v>
      </c>
      <c r="D144" s="2649" t="s">
        <v>2615</v>
      </c>
      <c r="E144" s="1090">
        <v>102</v>
      </c>
      <c r="F144" s="1096">
        <v>100</v>
      </c>
      <c r="G144" s="2649" t="s">
        <v>2615</v>
      </c>
      <c r="H144" s="1092">
        <v>105</v>
      </c>
      <c r="I144" s="2648" t="s">
        <v>2614</v>
      </c>
      <c r="J144" s="1089">
        <v>18</v>
      </c>
      <c r="K144" s="1094">
        <f>ROUND(100+(J144-J140)*K139*100,1)</f>
        <v>103.2</v>
      </c>
    </row>
    <row r="145" spans="2:11" ht="15.75" thickBot="1">
      <c r="B145" s="2650" t="s">
        <v>2616</v>
      </c>
      <c r="C145" s="1097">
        <f>ROUND(MAX(C139:C144)/MIN(C139:C144)-1,3)</f>
        <v>7.2999999999999995E-2</v>
      </c>
      <c r="D145" s="1098"/>
      <c r="E145" s="1098"/>
      <c r="F145" s="2651" t="s">
        <v>2617</v>
      </c>
      <c r="G145" s="2652"/>
      <c r="H145" s="2653"/>
      <c r="I145" s="2654" t="s">
        <v>2614</v>
      </c>
      <c r="J145" s="1099">
        <v>8</v>
      </c>
      <c r="K145" s="1100">
        <f>ROUND(100+(J145-J140)*K139*100,1)</f>
        <v>99.2</v>
      </c>
    </row>
    <row r="147" spans="2:11">
      <c r="B147" s="2635" t="s">
        <v>2618</v>
      </c>
    </row>
    <row r="148" spans="2:11">
      <c r="B148" s="2635"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580" t="s">
        <v>2620</v>
      </c>
      <c r="C1" s="1632" t="s">
        <v>2508</v>
      </c>
      <c r="D1" s="1619"/>
      <c r="E1" s="2655"/>
      <c r="F1" s="2582"/>
      <c r="G1" s="1629" t="s">
        <v>2621</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3" customFormat="1" ht="28.5" customHeight="1" thickTop="1">
      <c r="A2" s="1615" t="s">
        <v>2308</v>
      </c>
      <c r="B2" s="1416" t="e">
        <f ca="1">IF(C2="——",ROUND(C49*D3/10000,0),ROUND(C49*D3/10000,0)-D2)</f>
        <v>#DIV/0!</v>
      </c>
      <c r="C2" s="2584"/>
      <c r="D2" s="1363" t="e">
        <f ca="1">SUMIF(INDIRECT("'"&amp;F2&amp;"'"&amp;"!A:A"),"承租人权益价值",INDIRECT("'"&amp;F2&amp;"'"&amp;"!c:c"))</f>
        <v>#REF!</v>
      </c>
      <c r="E2" s="2585" t="s">
        <v>2309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2310</v>
      </c>
      <c r="B3" s="604" t="e">
        <f ca="1">IF(C2="——",C49,ROUND(B2*10000/D3,0))</f>
        <v>#DIV/0!</v>
      </c>
      <c r="C3" s="395" t="s">
        <v>2622</v>
      </c>
      <c r="D3" s="394">
        <f>IF(D1="",'数据-汇总表'!E3,SUMIF('数据-汇总表'!$C19:$C33,D1,'数据-汇总表'!$E19:$E33))</f>
        <v>96535.67</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3" t="s">
        <v>2626</v>
      </c>
      <c r="AC4" s="3224" t="s">
        <v>2627</v>
      </c>
    </row>
    <row r="5" spans="1:29"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3"/>
      <c r="AC5" s="3225"/>
    </row>
    <row r="6" spans="1:29" ht="15.75" thickBot="1">
      <c r="A6" s="401"/>
      <c r="B6" s="402"/>
      <c r="C6" s="3242" t="s">
        <v>2524</v>
      </c>
      <c r="D6" s="3243"/>
      <c r="E6" s="3249" t="s">
        <v>2524</v>
      </c>
      <c r="F6" s="3250"/>
      <c r="G6" s="3242" t="s">
        <v>2524</v>
      </c>
      <c r="H6" s="3243"/>
      <c r="I6" s="3242" t="s">
        <v>2524</v>
      </c>
      <c r="J6" s="3243"/>
      <c r="K6" s="605" t="s">
        <v>2525</v>
      </c>
      <c r="L6" s="1128"/>
      <c r="M6" s="1129"/>
      <c r="N6" s="1129"/>
      <c r="O6" s="1129"/>
      <c r="P6" s="3234"/>
      <c r="Q6" s="3235"/>
      <c r="R6" s="3238"/>
      <c r="S6" s="3239"/>
      <c r="T6" s="3240"/>
      <c r="U6" s="3241"/>
      <c r="V6" s="3223"/>
      <c r="W6" s="3223"/>
      <c r="X6" s="1811"/>
      <c r="Y6" s="3240"/>
      <c r="Z6" s="3241"/>
      <c r="AA6" s="3226"/>
      <c r="AB6" s="3223"/>
      <c r="AC6" s="3226"/>
    </row>
    <row r="7" spans="1:29" s="115" customFormat="1" ht="15.75" thickBot="1">
      <c r="A7" s="403" t="s">
        <v>2526</v>
      </c>
      <c r="B7" s="404"/>
      <c r="C7" s="405">
        <f>'数据-取费表'!B2</f>
        <v>43318</v>
      </c>
      <c r="D7" s="406">
        <v>100</v>
      </c>
      <c r="E7" s="407"/>
      <c r="F7" s="408">
        <f>SUMIF(58:58,YEAR(E7)&amp;"-"&amp;MONTH(E7),59:59)</f>
        <v>0</v>
      </c>
      <c r="G7" s="407"/>
      <c r="H7" s="406">
        <f>SUMIF(58:58,YEAR(G7)&amp;"-"&amp;MONTH(G7),59:59)</f>
        <v>0</v>
      </c>
      <c r="I7" s="407"/>
      <c r="J7" s="406">
        <f>SUMIF(58:58,YEAR(I7)&amp;"-"&amp;MONTH(I7),59:59)</f>
        <v>0</v>
      </c>
      <c r="K7" s="606"/>
      <c r="L7" s="1130"/>
      <c r="M7" s="1131"/>
      <c r="N7" s="1131"/>
      <c r="O7" s="1131"/>
      <c r="P7" s="3246" t="s">
        <v>2527</v>
      </c>
      <c r="Q7" s="3248"/>
      <c r="R7" s="765" t="s">
        <v>17</v>
      </c>
      <c r="S7" s="766">
        <f t="shared" ref="S7:S15" si="0">F7</f>
        <v>0</v>
      </c>
      <c r="T7" s="765" t="s">
        <v>17</v>
      </c>
      <c r="U7" s="766">
        <f t="shared" ref="U7:U15" si="1">H7</f>
        <v>0</v>
      </c>
      <c r="V7" s="765" t="s">
        <v>17</v>
      </c>
      <c r="W7" s="766">
        <f t="shared" ref="W7:W15" si="2">J7</f>
        <v>0</v>
      </c>
      <c r="X7" s="767"/>
      <c r="Y7" s="3246" t="s">
        <v>2527</v>
      </c>
      <c r="Z7" s="3247"/>
      <c r="AA7" s="768" t="e">
        <f>D7/F7</f>
        <v>#DIV/0!</v>
      </c>
      <c r="AB7" s="768" t="e">
        <f>D7/H7</f>
        <v>#DIV/0!</v>
      </c>
      <c r="AC7" s="768" t="e">
        <f>D7/J7</f>
        <v>#DIV/0!</v>
      </c>
    </row>
    <row r="8" spans="1:29" s="115" customFormat="1" ht="15.75" thickBot="1">
      <c r="A8" s="403" t="s">
        <v>2528</v>
      </c>
      <c r="B8" s="404"/>
      <c r="C8" s="409" t="s">
        <v>2630</v>
      </c>
      <c r="D8" s="406">
        <v>100</v>
      </c>
      <c r="E8" s="409"/>
      <c r="F8" s="408">
        <f>SUMIF(61:61,E8,62:62)-SUMIF(61:61,C8,62:62)+100</f>
        <v>0</v>
      </c>
      <c r="G8" s="409"/>
      <c r="H8" s="406">
        <f>SUMIF(61:61,G8,62:62)-SUMIF(61:61,C8,62:62)+100</f>
        <v>0</v>
      </c>
      <c r="I8" s="409"/>
      <c r="J8" s="406">
        <f>SUMIF(61:61,I8,62:62)-SUMIF(61:61,C8,62:62)+100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46" si="3">D8/F8</f>
        <v>#DIV/0!</v>
      </c>
      <c r="AB8" s="768" t="e">
        <f t="shared" ref="AB8:AB46" si="4">D8/H8</f>
        <v>#DIV/0!</v>
      </c>
      <c r="AC8" s="768" t="e">
        <f t="shared" ref="AC8:AC46" si="5">D8/J8</f>
        <v>#DIV/0!</v>
      </c>
    </row>
    <row r="9" spans="1:29" s="115" customFormat="1">
      <c r="A9" s="410" t="s">
        <v>2531</v>
      </c>
      <c r="B9" s="71" t="s">
        <v>2532</v>
      </c>
      <c r="C9" s="411"/>
      <c r="D9" s="132">
        <v>100</v>
      </c>
      <c r="E9" s="412"/>
      <c r="F9" s="413">
        <f>SUMIF(63:63,E9,64:64)-SUMIF(63:63,C9,64:64)+100</f>
        <v>100</v>
      </c>
      <c r="G9" s="412"/>
      <c r="H9" s="132">
        <f>SUMIF(63:63,G9,64:64)-SUMIF(63:63,C9,64:64)+100</f>
        <v>100</v>
      </c>
      <c r="I9" s="412"/>
      <c r="J9" s="132">
        <f>SUMIF(63:63,I9,64:64)-SUMIF(63:63,C9,64:64)+100</f>
        <v>100</v>
      </c>
      <c r="K9" s="606"/>
      <c r="L9" s="1130"/>
      <c r="M9" s="1131"/>
      <c r="N9" s="1131"/>
      <c r="O9" s="1131"/>
      <c r="P9" s="3216"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9"/>
      <c r="F10" s="420">
        <f>SUMIF(65:65,E10,66:66)-SUMIF(65:65,C10,66:66)+100</f>
        <v>100</v>
      </c>
      <c r="G10" s="418"/>
      <c r="H10" s="133">
        <f>SUMIF(65:65,G10,66:66)-SUMIF(65:65,C10,66:66)+100</f>
        <v>100</v>
      </c>
      <c r="I10" s="418"/>
      <c r="J10" s="133">
        <f>SUMIF(65:65,I10,66:66)-SUMIF(65:65,C10,66:66)+100</f>
        <v>100</v>
      </c>
      <c r="K10" s="607"/>
      <c r="L10" s="1133"/>
      <c r="M10" s="1134"/>
      <c r="N10" s="1134"/>
      <c r="O10" s="1134"/>
      <c r="P10" s="3216"/>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768">
        <f t="shared" si="5"/>
        <v>1</v>
      </c>
    </row>
    <row r="11" spans="1:29" ht="15">
      <c r="A11" s="423"/>
      <c r="B11" s="417" t="s">
        <v>2536</v>
      </c>
      <c r="C11" s="424"/>
      <c r="D11" s="133">
        <v>100</v>
      </c>
      <c r="E11" s="425"/>
      <c r="F11" s="420" t="e">
        <f>LOOKUP(E11,68:68,69:69)-LOOKUP(C11,68:68,69:69)+100</f>
        <v>#N/A</v>
      </c>
      <c r="G11" s="424"/>
      <c r="H11" s="133" t="e">
        <f>LOOKUP(G11,68:68,69:69)-LOOKUP(C11,68:68,69:69)+100</f>
        <v>#N/A</v>
      </c>
      <c r="I11" s="424"/>
      <c r="J11" s="133" t="e">
        <f>LOOKUP(I11,68:68,69:69)-LOOKUP(C11,68:68,69:69)+100</f>
        <v>#N/A</v>
      </c>
      <c r="K11" s="607"/>
      <c r="L11" s="1136"/>
      <c r="M11" s="1129"/>
      <c r="N11" s="1129"/>
      <c r="O11" s="1129"/>
      <c r="P11" s="3216"/>
      <c r="Q11" s="1793" t="str">
        <f t="shared" si="6"/>
        <v>容积率</v>
      </c>
      <c r="R11" s="765" t="s">
        <v>17</v>
      </c>
      <c r="S11" s="766" t="e">
        <f t="shared" si="0"/>
        <v>#N/A</v>
      </c>
      <c r="T11" s="765" t="s">
        <v>17</v>
      </c>
      <c r="U11" s="766" t="e">
        <f t="shared" si="1"/>
        <v>#N/A</v>
      </c>
      <c r="V11" s="765" t="s">
        <v>17</v>
      </c>
      <c r="W11" s="766" t="e">
        <f t="shared" si="2"/>
        <v>#N/A</v>
      </c>
      <c r="X11" s="767"/>
      <c r="Y11" s="3053"/>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420">
        <f>SUMIF(70:70,E12,71:71)-SUMIF(70:70,C12,71:71)+100</f>
        <v>100</v>
      </c>
      <c r="G12" s="429"/>
      <c r="H12" s="133">
        <f>SUMIF(70:70,G12,71:71)-SUMIF(70:70,C12,71:71)+100</f>
        <v>100</v>
      </c>
      <c r="I12" s="429"/>
      <c r="J12" s="133">
        <f>SUMIF(70:70,I12,71:71)-SUMIF(70:70,C12,71:71)+100</f>
        <v>100</v>
      </c>
      <c r="K12" s="608"/>
      <c r="L12" s="1130"/>
      <c r="M12" s="1131"/>
      <c r="N12" s="1131"/>
      <c r="O12" s="1131"/>
      <c r="P12" s="3216"/>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216"/>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768">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216"/>
      <c r="Q14" s="1793">
        <f t="shared" si="6"/>
        <v>111</v>
      </c>
      <c r="R14" s="765" t="s">
        <v>17</v>
      </c>
      <c r="S14" s="766">
        <f t="shared" si="0"/>
        <v>100</v>
      </c>
      <c r="T14" s="765" t="s">
        <v>17</v>
      </c>
      <c r="U14" s="766">
        <f t="shared" si="1"/>
        <v>100</v>
      </c>
      <c r="V14" s="765" t="s">
        <v>17</v>
      </c>
      <c r="W14" s="766">
        <f t="shared" si="2"/>
        <v>100</v>
      </c>
      <c r="X14" s="767"/>
      <c r="Y14" s="3053"/>
      <c r="Z14" s="55">
        <f t="shared" si="7"/>
        <v>111</v>
      </c>
      <c r="AA14" s="768">
        <f t="shared" si="3"/>
        <v>1</v>
      </c>
      <c r="AB14" s="768">
        <f t="shared" si="4"/>
        <v>1</v>
      </c>
      <c r="AC14" s="768">
        <f t="shared" si="5"/>
        <v>1</v>
      </c>
    </row>
    <row r="15" spans="1:29" ht="15">
      <c r="A15" s="435" t="s">
        <v>2537</v>
      </c>
      <c r="B15" s="69" t="s">
        <v>2631</v>
      </c>
      <c r="C15" s="2601">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8"/>
      <c r="M15" s="1129"/>
      <c r="N15" s="1129"/>
      <c r="O15" s="1129"/>
      <c r="P15" s="3307" t="s">
        <v>2538</v>
      </c>
      <c r="Q15" s="1808" t="str">
        <f t="shared" si="6"/>
        <v>商业繁华度</v>
      </c>
      <c r="R15" s="769" t="s">
        <v>17</v>
      </c>
      <c r="S15" s="770">
        <f t="shared" si="0"/>
        <v>100</v>
      </c>
      <c r="T15" s="769" t="s">
        <v>17</v>
      </c>
      <c r="U15" s="770">
        <f t="shared" si="1"/>
        <v>100</v>
      </c>
      <c r="V15" s="769" t="s">
        <v>17</v>
      </c>
      <c r="W15" s="770">
        <f t="shared" si="2"/>
        <v>100</v>
      </c>
      <c r="X15" s="1811"/>
      <c r="Y15" s="3219" t="s">
        <v>2538</v>
      </c>
      <c r="Z15" s="1812" t="str">
        <f t="shared" si="7"/>
        <v>商业繁华度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29"/>
      <c r="P16" s="3308"/>
      <c r="Q16" s="1808"/>
      <c r="R16" s="769"/>
      <c r="S16" s="770"/>
      <c r="T16" s="769"/>
      <c r="U16" s="770"/>
      <c r="V16" s="769"/>
      <c r="W16" s="770"/>
      <c r="X16" s="1811"/>
      <c r="Y16" s="3220"/>
      <c r="Z16" s="1812"/>
      <c r="AA16" s="1809">
        <v>1</v>
      </c>
      <c r="AB16" s="1809">
        <v>1</v>
      </c>
      <c r="AC16" s="1809">
        <v>1</v>
      </c>
    </row>
    <row r="17" spans="1:29" ht="15">
      <c r="A17" s="423"/>
      <c r="B17" s="446" t="s">
        <v>2082</v>
      </c>
      <c r="C17" s="2605">
        <f>估价对象房地状况!C6</f>
        <v>0</v>
      </c>
      <c r="D17" s="445">
        <v>100</v>
      </c>
      <c r="E17" s="447"/>
      <c r="F17" s="448">
        <f>SUMIF(78:78,E18,79:79)-SUMIF(78:78,C18,79:79)+100</f>
        <v>100</v>
      </c>
      <c r="G17" s="449"/>
      <c r="H17" s="450">
        <f>SUMIF(78:78,G18,79:79)-SUMIF(78:78,C18,79:79)+100</f>
        <v>100</v>
      </c>
      <c r="I17" s="447"/>
      <c r="J17" s="450">
        <f>SUMIF(78:78,I18,79:79)-SUMIF(78:78,C18,79:79)+100</f>
        <v>100</v>
      </c>
      <c r="K17" s="609"/>
      <c r="L17" s="1138"/>
      <c r="M17" s="1129"/>
      <c r="N17" s="1129"/>
      <c r="O17" s="1129"/>
      <c r="P17" s="3308"/>
      <c r="Q17" s="1808" t="str">
        <f>B17</f>
        <v>交通便捷度</v>
      </c>
      <c r="R17" s="769" t="s">
        <v>17</v>
      </c>
      <c r="S17" s="770">
        <f>F17</f>
        <v>100</v>
      </c>
      <c r="T17" s="769" t="s">
        <v>17</v>
      </c>
      <c r="U17" s="770">
        <f>H17</f>
        <v>100</v>
      </c>
      <c r="V17" s="769" t="s">
        <v>17</v>
      </c>
      <c r="W17" s="770">
        <f>J17</f>
        <v>100</v>
      </c>
      <c r="X17" s="1811"/>
      <c r="Y17" s="3220"/>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29"/>
      <c r="P18" s="3308"/>
      <c r="Q18" s="1808"/>
      <c r="R18" s="769"/>
      <c r="S18" s="770"/>
      <c r="T18" s="769"/>
      <c r="U18" s="770"/>
      <c r="V18" s="769"/>
      <c r="W18" s="770"/>
      <c r="X18" s="1811"/>
      <c r="Y18" s="3220"/>
      <c r="Z18" s="1812"/>
      <c r="AA18" s="1809">
        <v>1</v>
      </c>
      <c r="AB18" s="1809">
        <v>1</v>
      </c>
      <c r="AC18" s="1809">
        <v>1</v>
      </c>
    </row>
    <row r="19" spans="1:29" ht="15">
      <c r="A19" s="423"/>
      <c r="B19" s="446" t="s">
        <v>2632</v>
      </c>
      <c r="C19" s="2605">
        <f>估价对象房地状况!C7</f>
        <v>0</v>
      </c>
      <c r="D19" s="450">
        <v>100</v>
      </c>
      <c r="E19" s="452"/>
      <c r="F19" s="453">
        <f>SUMIF(80:80,E20,81:81)-SUMIF(80:80,C20,81:81)+100</f>
        <v>100</v>
      </c>
      <c r="G19" s="454"/>
      <c r="H19" s="445">
        <f>SUMIF(80:80,G20,81:81)-SUMIF(80:80,C20,81:81)+100</f>
        <v>100</v>
      </c>
      <c r="I19" s="452"/>
      <c r="J19" s="445">
        <f>SUMIF(80:80,I20,81:81)-SUMIF(80:80,C20,81:81)+100</f>
        <v>100</v>
      </c>
      <c r="K19" s="609"/>
      <c r="L19" s="1138"/>
      <c r="M19" s="1129"/>
      <c r="N19" s="1129"/>
      <c r="O19" s="1129"/>
      <c r="P19" s="3308"/>
      <c r="Q19" s="1808" t="str">
        <f>B19</f>
        <v>公共配套设施</v>
      </c>
      <c r="R19" s="769" t="s">
        <v>17</v>
      </c>
      <c r="S19" s="770">
        <f>F19</f>
        <v>100</v>
      </c>
      <c r="T19" s="769" t="s">
        <v>17</v>
      </c>
      <c r="U19" s="770">
        <f>H19</f>
        <v>100</v>
      </c>
      <c r="V19" s="769" t="s">
        <v>17</v>
      </c>
      <c r="W19" s="770">
        <f>J19</f>
        <v>100</v>
      </c>
      <c r="X19" s="1811"/>
      <c r="Y19" s="3220"/>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29"/>
      <c r="P20" s="3308"/>
      <c r="Q20" s="1808"/>
      <c r="R20" s="769"/>
      <c r="S20" s="770"/>
      <c r="T20" s="769"/>
      <c r="U20" s="770"/>
      <c r="V20" s="769"/>
      <c r="W20" s="770"/>
      <c r="X20" s="1811"/>
      <c r="Y20" s="3220"/>
      <c r="Z20" s="1812"/>
      <c r="AA20" s="1809">
        <v>1</v>
      </c>
      <c r="AB20" s="1809">
        <v>1</v>
      </c>
      <c r="AC20" s="1809">
        <v>1</v>
      </c>
    </row>
    <row r="21" spans="1:29" ht="15">
      <c r="A21" s="423"/>
      <c r="B21" s="1382" t="s">
        <v>2633</v>
      </c>
      <c r="C21" s="2605">
        <f>估价对象房地状况!C8</f>
        <v>0</v>
      </c>
      <c r="D21" s="450">
        <v>100</v>
      </c>
      <c r="E21" s="452"/>
      <c r="F21" s="453">
        <f>SUMIF(82:82,E22,83:83)-SUMIF(82:82,C22,83:83)+100</f>
        <v>100</v>
      </c>
      <c r="G21" s="454"/>
      <c r="H21" s="445">
        <f>SUMIF(82:82,G22,83:83)-SUMIF(82:82,C22,83:83)+100</f>
        <v>100</v>
      </c>
      <c r="I21" s="452"/>
      <c r="J21" s="445">
        <f>SUMIF(82:82,I22,83:83)-SUMIF(82:82,C22,83:83)+100</f>
        <v>100</v>
      </c>
      <c r="K21" s="609"/>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20"/>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29"/>
      <c r="P22" s="3308"/>
      <c r="Q22" s="1808"/>
      <c r="R22" s="769"/>
      <c r="S22" s="770"/>
      <c r="T22" s="769"/>
      <c r="U22" s="770"/>
      <c r="V22" s="769"/>
      <c r="W22" s="770"/>
      <c r="X22" s="1811"/>
      <c r="Y22" s="3220"/>
      <c r="Z22" s="1812"/>
      <c r="AA22" s="1809">
        <v>1</v>
      </c>
      <c r="AB22" s="1809">
        <v>1</v>
      </c>
      <c r="AC22" s="1809">
        <v>1</v>
      </c>
    </row>
    <row r="23" spans="1:29" ht="15">
      <c r="A23" s="423"/>
      <c r="B23" s="446" t="s">
        <v>2085</v>
      </c>
      <c r="C23" s="2662">
        <f>估价对象房地状况!C9</f>
        <v>0</v>
      </c>
      <c r="D23" s="445">
        <v>100</v>
      </c>
      <c r="E23" s="447"/>
      <c r="F23" s="448">
        <f>SUMIF(84:84,E24,85:85)-SUMIF(84:84,C24,85:85)+100</f>
        <v>100</v>
      </c>
      <c r="G23" s="449"/>
      <c r="H23" s="445">
        <f>SUMIF(84:84,G24,85:85)-SUMIF(84:84,C24,85:85)+100</f>
        <v>100</v>
      </c>
      <c r="I23" s="447"/>
      <c r="J23" s="445">
        <f>SUMIF(84:84,I24,85:85)-SUMIF(84:84,C24,85:85)+100</f>
        <v>100</v>
      </c>
      <c r="K23" s="609"/>
      <c r="L23" s="1138"/>
      <c r="M23" s="1129"/>
      <c r="N23" s="1129"/>
      <c r="O23" s="1129"/>
      <c r="P23" s="3308"/>
      <c r="Q23" s="1808" t="str">
        <f>B23</f>
        <v>自然及人文环境</v>
      </c>
      <c r="R23" s="769" t="s">
        <v>17</v>
      </c>
      <c r="S23" s="770">
        <f>F23</f>
        <v>100</v>
      </c>
      <c r="T23" s="769" t="s">
        <v>17</v>
      </c>
      <c r="U23" s="770">
        <f>H23</f>
        <v>100</v>
      </c>
      <c r="V23" s="769" t="s">
        <v>17</v>
      </c>
      <c r="W23" s="770">
        <f>J23</f>
        <v>100</v>
      </c>
      <c r="X23" s="1811"/>
      <c r="Y23" s="3220"/>
      <c r="Z23" s="1812" t="str">
        <f>Q23</f>
        <v>自然及人文环境</v>
      </c>
      <c r="AA23" s="1809">
        <f t="shared" si="3"/>
        <v>1</v>
      </c>
      <c r="AB23" s="1809">
        <f t="shared" si="4"/>
        <v>1</v>
      </c>
      <c r="AC23" s="1809">
        <f t="shared" si="5"/>
        <v>1</v>
      </c>
    </row>
    <row r="24" spans="1:29" ht="15">
      <c r="A24" s="423"/>
      <c r="B24" s="451"/>
      <c r="C24" s="442"/>
      <c r="D24" s="443"/>
      <c r="E24" s="2603"/>
      <c r="F24" s="444"/>
      <c r="G24" s="2602"/>
      <c r="H24" s="443"/>
      <c r="I24" s="2603"/>
      <c r="J24" s="443"/>
      <c r="K24" s="610"/>
      <c r="L24" s="1138"/>
      <c r="M24" s="1129"/>
      <c r="N24" s="1129"/>
      <c r="O24" s="1129"/>
      <c r="P24" s="3308"/>
      <c r="Q24" s="1808"/>
      <c r="R24" s="769"/>
      <c r="S24" s="770"/>
      <c r="T24" s="769"/>
      <c r="U24" s="770"/>
      <c r="V24" s="769"/>
      <c r="W24" s="770"/>
      <c r="X24" s="1811"/>
      <c r="Y24" s="3220"/>
      <c r="Z24" s="1812"/>
      <c r="AA24" s="1809">
        <v>1</v>
      </c>
      <c r="AB24" s="1809">
        <v>1</v>
      </c>
      <c r="AC24" s="1809">
        <v>1</v>
      </c>
    </row>
    <row r="25" spans="1:29" ht="15">
      <c r="A25" s="423"/>
      <c r="B25" s="417" t="s">
        <v>2634</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308"/>
      <c r="Q25" s="1808" t="str">
        <f t="shared" ref="Q25:Q46" si="11">B25</f>
        <v>临街状况</v>
      </c>
      <c r="R25" s="769" t="s">
        <v>17</v>
      </c>
      <c r="S25" s="770">
        <f>F25</f>
        <v>100</v>
      </c>
      <c r="T25" s="769" t="s">
        <v>17</v>
      </c>
      <c r="U25" s="770">
        <f>H25</f>
        <v>100</v>
      </c>
      <c r="V25" s="769" t="s">
        <v>17</v>
      </c>
      <c r="W25" s="770">
        <f>J25</f>
        <v>100</v>
      </c>
      <c r="X25" s="1811"/>
      <c r="Y25" s="3220"/>
      <c r="Z25" s="1812" t="str">
        <f>Q25</f>
        <v>临街状况</v>
      </c>
      <c r="AA25" s="1809">
        <f t="shared" si="3"/>
        <v>1</v>
      </c>
      <c r="AB25" s="1809">
        <f t="shared" si="4"/>
        <v>1</v>
      </c>
      <c r="AC25" s="1809">
        <f t="shared" si="5"/>
        <v>1</v>
      </c>
    </row>
    <row r="26" spans="1:29" ht="15">
      <c r="A26" s="423"/>
      <c r="B26" s="1384" t="s">
        <v>2635</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308"/>
      <c r="Q26" s="1808" t="str">
        <f t="shared" si="11"/>
        <v>平面位置/可视性</v>
      </c>
      <c r="R26" s="769" t="s">
        <v>17</v>
      </c>
      <c r="S26" s="770">
        <f>F26</f>
        <v>100</v>
      </c>
      <c r="T26" s="769" t="s">
        <v>17</v>
      </c>
      <c r="U26" s="770">
        <f>H26</f>
        <v>100</v>
      </c>
      <c r="V26" s="769" t="s">
        <v>17</v>
      </c>
      <c r="W26" s="770">
        <f>J26</f>
        <v>100</v>
      </c>
      <c r="X26" s="1811"/>
      <c r="Y26" s="3220"/>
      <c r="Z26" s="1812" t="str">
        <f>Q26</f>
        <v>平面位置/可视性</v>
      </c>
      <c r="AA26" s="1809">
        <f t="shared" si="3"/>
        <v>1</v>
      </c>
      <c r="AB26" s="1809">
        <f t="shared" si="4"/>
        <v>1</v>
      </c>
      <c r="AC26" s="1809">
        <f t="shared" si="5"/>
        <v>1</v>
      </c>
    </row>
    <row r="27" spans="1:29" s="115" customFormat="1" ht="15">
      <c r="A27" s="426"/>
      <c r="B27" s="446" t="s">
        <v>2636</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308"/>
      <c r="Q27" s="1793" t="str">
        <f t="shared" si="11"/>
        <v>人流量</v>
      </c>
      <c r="R27" s="765" t="s">
        <v>17</v>
      </c>
      <c r="S27" s="766">
        <f>F27</f>
        <v>100</v>
      </c>
      <c r="T27" s="765" t="s">
        <v>17</v>
      </c>
      <c r="U27" s="766">
        <f>H27</f>
        <v>100</v>
      </c>
      <c r="V27" s="765" t="s">
        <v>17</v>
      </c>
      <c r="W27" s="766">
        <f>J27</f>
        <v>100</v>
      </c>
      <c r="X27" s="767"/>
      <c r="Y27" s="3220"/>
      <c r="Z27" s="55" t="str">
        <f>Q27</f>
        <v>人流量</v>
      </c>
      <c r="AA27" s="1809">
        <f>D27/F27</f>
        <v>1</v>
      </c>
      <c r="AB27" s="1809">
        <f>D27/H27</f>
        <v>1</v>
      </c>
      <c r="AC27" s="1809">
        <f>D27/J27</f>
        <v>1</v>
      </c>
    </row>
    <row r="28" spans="1:29" ht="15">
      <c r="A28" s="423"/>
      <c r="B28" s="417" t="s">
        <v>2637</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308"/>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20"/>
      <c r="Z28" s="1812" t="str">
        <f t="shared" ref="Z28:Z46" si="15">Q28</f>
        <v>楼层</v>
      </c>
      <c r="AA28" s="1809">
        <f t="shared" si="3"/>
        <v>1</v>
      </c>
      <c r="AB28" s="1809">
        <f t="shared" si="4"/>
        <v>1</v>
      </c>
      <c r="AC28" s="1809">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308"/>
      <c r="Q29" s="1808">
        <f t="shared" si="11"/>
        <v>111</v>
      </c>
      <c r="R29" s="769" t="s">
        <v>17</v>
      </c>
      <c r="S29" s="770">
        <f t="shared" si="12"/>
        <v>100</v>
      </c>
      <c r="T29" s="769" t="s">
        <v>17</v>
      </c>
      <c r="U29" s="770">
        <f t="shared" si="13"/>
        <v>100</v>
      </c>
      <c r="V29" s="769" t="s">
        <v>17</v>
      </c>
      <c r="W29" s="770">
        <f t="shared" si="14"/>
        <v>100</v>
      </c>
      <c r="X29" s="1811"/>
      <c r="Y29" s="3220"/>
      <c r="Z29" s="1812">
        <f t="shared" si="15"/>
        <v>111</v>
      </c>
      <c r="AA29" s="1809">
        <f t="shared" si="3"/>
        <v>1</v>
      </c>
      <c r="AB29" s="1809">
        <f t="shared" si="4"/>
        <v>1</v>
      </c>
      <c r="AC29" s="1809">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308"/>
      <c r="Q30" s="1808">
        <f t="shared" si="11"/>
        <v>111</v>
      </c>
      <c r="R30" s="769" t="s">
        <v>17</v>
      </c>
      <c r="S30" s="770">
        <f t="shared" si="12"/>
        <v>100</v>
      </c>
      <c r="T30" s="769" t="s">
        <v>17</v>
      </c>
      <c r="U30" s="770">
        <f t="shared" si="13"/>
        <v>100</v>
      </c>
      <c r="V30" s="769" t="s">
        <v>17</v>
      </c>
      <c r="W30" s="770">
        <f t="shared" si="14"/>
        <v>100</v>
      </c>
      <c r="X30" s="1811"/>
      <c r="Y30" s="3220"/>
      <c r="Z30" s="1812">
        <f t="shared" si="15"/>
        <v>111</v>
      </c>
      <c r="AA30" s="1809">
        <f t="shared" si="3"/>
        <v>1</v>
      </c>
      <c r="AB30" s="1809">
        <f t="shared" si="4"/>
        <v>1</v>
      </c>
      <c r="AC30" s="1809">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308"/>
      <c r="Q31" s="1808">
        <f t="shared" si="11"/>
        <v>111</v>
      </c>
      <c r="R31" s="769" t="s">
        <v>17</v>
      </c>
      <c r="S31" s="770">
        <f t="shared" si="12"/>
        <v>100</v>
      </c>
      <c r="T31" s="769" t="s">
        <v>17</v>
      </c>
      <c r="U31" s="770">
        <f t="shared" si="13"/>
        <v>100</v>
      </c>
      <c r="V31" s="769" t="s">
        <v>17</v>
      </c>
      <c r="W31" s="770">
        <f t="shared" si="14"/>
        <v>100</v>
      </c>
      <c r="X31" s="1811"/>
      <c r="Y31" s="3220"/>
      <c r="Z31" s="1812">
        <f t="shared" si="15"/>
        <v>111</v>
      </c>
      <c r="AA31" s="1809">
        <f t="shared" si="3"/>
        <v>1</v>
      </c>
      <c r="AB31" s="1809">
        <f t="shared" si="4"/>
        <v>1</v>
      </c>
      <c r="AC31" s="1809">
        <f t="shared" si="5"/>
        <v>1</v>
      </c>
    </row>
    <row r="32" spans="1:29" ht="15">
      <c r="A32" s="435" t="s">
        <v>2541</v>
      </c>
      <c r="B32" s="71" t="s">
        <v>2638</v>
      </c>
      <c r="C32" s="2615"/>
      <c r="D32" s="462">
        <v>100</v>
      </c>
      <c r="E32" s="2615"/>
      <c r="F32" s="456">
        <f>SUMIF(100:100,E32,101:101)-SUMIF(100:100,C32,101:101)+100</f>
        <v>100</v>
      </c>
      <c r="G32" s="2615"/>
      <c r="H32" s="430">
        <f>SUMIF(100:100,G32,101:101)-SUMIF(100:100,C32,101:101)+100</f>
        <v>100</v>
      </c>
      <c r="I32" s="2615"/>
      <c r="J32" s="462">
        <f>SUMIF(100:100,I32,101:101)-SUMIF(100:100,C32,101:101)+100</f>
        <v>100</v>
      </c>
      <c r="K32" s="607"/>
      <c r="L32" s="1138"/>
      <c r="M32" s="1129"/>
      <c r="N32" s="1129"/>
      <c r="O32" s="1129"/>
      <c r="P32" s="3303" t="s">
        <v>2543</v>
      </c>
      <c r="Q32" s="1808" t="str">
        <f t="shared" si="11"/>
        <v>商业类型</v>
      </c>
      <c r="R32" s="769" t="s">
        <v>17</v>
      </c>
      <c r="S32" s="770">
        <f t="shared" si="12"/>
        <v>100</v>
      </c>
      <c r="T32" s="769" t="s">
        <v>17</v>
      </c>
      <c r="U32" s="770">
        <f t="shared" si="13"/>
        <v>100</v>
      </c>
      <c r="V32" s="769" t="s">
        <v>17</v>
      </c>
      <c r="W32" s="770">
        <f t="shared" si="14"/>
        <v>100</v>
      </c>
      <c r="X32" s="1811"/>
      <c r="Y32" s="3222" t="s">
        <v>2543</v>
      </c>
      <c r="Z32" s="1812" t="str">
        <f t="shared" si="15"/>
        <v>商业类型</v>
      </c>
      <c r="AA32" s="1809">
        <f t="shared" si="3"/>
        <v>1</v>
      </c>
      <c r="AB32" s="1809">
        <f t="shared" si="4"/>
        <v>1</v>
      </c>
      <c r="AC32" s="1809">
        <f t="shared" si="5"/>
        <v>1</v>
      </c>
    </row>
    <row r="33" spans="1:29" s="466" customFormat="1" ht="15">
      <c r="A33" s="463"/>
      <c r="B33" s="417" t="s">
        <v>2544</v>
      </c>
      <c r="C33" s="464"/>
      <c r="D33" s="133">
        <v>100</v>
      </c>
      <c r="E33" s="425"/>
      <c r="F33" s="420" t="e">
        <f>LOOKUP(E33,103:103,104:104)-LOOKUP(C33,103:103,104:104)+100</f>
        <v>#N/A</v>
      </c>
      <c r="G33" s="424"/>
      <c r="H33" s="133" t="e">
        <f>LOOKUP(G33,103:103,104:104)-LOOKUP(C33,103:103,104:104)+100</f>
        <v>#N/A</v>
      </c>
      <c r="I33" s="424"/>
      <c r="J33" s="133" t="e">
        <f>LOOKUP(I33,103:103,104:104)-LOOKUP(C33,103:103,104:104)+100</f>
        <v>#N/A</v>
      </c>
      <c r="K33" s="608"/>
      <c r="L33" s="1136"/>
      <c r="M33" s="1139"/>
      <c r="N33" s="1139"/>
      <c r="O33" s="1139"/>
      <c r="P33" s="3304"/>
      <c r="Q33" s="771" t="str">
        <f t="shared" si="11"/>
        <v>项目建筑规模</v>
      </c>
      <c r="R33" s="772" t="s">
        <v>17</v>
      </c>
      <c r="S33" s="773" t="e">
        <f t="shared" si="12"/>
        <v>#N/A</v>
      </c>
      <c r="T33" s="772" t="s">
        <v>17</v>
      </c>
      <c r="U33" s="773" t="e">
        <f t="shared" si="13"/>
        <v>#N/A</v>
      </c>
      <c r="V33" s="772" t="s">
        <v>17</v>
      </c>
      <c r="W33" s="773" t="e">
        <f t="shared" si="14"/>
        <v>#N/A</v>
      </c>
      <c r="X33" s="774"/>
      <c r="Y33" s="3222"/>
      <c r="Z33" s="775" t="str">
        <f t="shared" si="15"/>
        <v>项目建筑规模</v>
      </c>
      <c r="AA33" s="1809" t="e">
        <f t="shared" si="3"/>
        <v>#N/A</v>
      </c>
      <c r="AB33" s="1809" t="e">
        <f t="shared" si="4"/>
        <v>#N/A</v>
      </c>
      <c r="AC33" s="1809" t="e">
        <f t="shared" si="5"/>
        <v>#N/A</v>
      </c>
    </row>
    <row r="34" spans="1:29" ht="15">
      <c r="A34" s="467"/>
      <c r="B34" s="417" t="s">
        <v>2545</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7"/>
      <c r="L34" s="1138"/>
      <c r="M34" s="1129"/>
      <c r="N34" s="1129"/>
      <c r="O34" s="1129"/>
      <c r="P34" s="3304"/>
      <c r="Q34" s="1808" t="str">
        <f t="shared" si="11"/>
        <v>建筑结构</v>
      </c>
      <c r="R34" s="769" t="s">
        <v>17</v>
      </c>
      <c r="S34" s="770">
        <f t="shared" si="12"/>
        <v>100</v>
      </c>
      <c r="T34" s="769" t="s">
        <v>17</v>
      </c>
      <c r="U34" s="770">
        <f t="shared" si="13"/>
        <v>100</v>
      </c>
      <c r="V34" s="769" t="s">
        <v>17</v>
      </c>
      <c r="W34" s="770">
        <f t="shared" si="14"/>
        <v>100</v>
      </c>
      <c r="X34" s="1811"/>
      <c r="Y34" s="3222"/>
      <c r="Z34" s="1812" t="str">
        <f t="shared" si="15"/>
        <v>建筑结构</v>
      </c>
      <c r="AA34" s="1809">
        <f t="shared" si="3"/>
        <v>1</v>
      </c>
      <c r="AB34" s="1809">
        <f t="shared" si="4"/>
        <v>1</v>
      </c>
      <c r="AC34" s="1809">
        <f t="shared" si="5"/>
        <v>1</v>
      </c>
    </row>
    <row r="35" spans="1:29" ht="15">
      <c r="A35" s="467"/>
      <c r="B35" s="417" t="s">
        <v>2639</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7"/>
      <c r="L35" s="1138"/>
      <c r="M35" s="1129"/>
      <c r="N35" s="1129"/>
      <c r="O35" s="1129"/>
      <c r="P35" s="3304"/>
      <c r="Q35" s="1808" t="str">
        <f t="shared" si="11"/>
        <v>公共部分装修</v>
      </c>
      <c r="R35" s="769" t="s">
        <v>17</v>
      </c>
      <c r="S35" s="770">
        <f t="shared" si="12"/>
        <v>100</v>
      </c>
      <c r="T35" s="769" t="s">
        <v>17</v>
      </c>
      <c r="U35" s="770">
        <f t="shared" si="13"/>
        <v>100</v>
      </c>
      <c r="V35" s="769" t="s">
        <v>17</v>
      </c>
      <c r="W35" s="770">
        <f t="shared" si="14"/>
        <v>100</v>
      </c>
      <c r="X35" s="1811"/>
      <c r="Y35" s="3222"/>
      <c r="Z35" s="1812" t="str">
        <f t="shared" si="15"/>
        <v>公共部分装修</v>
      </c>
      <c r="AA35" s="1809">
        <f t="shared" si="3"/>
        <v>1</v>
      </c>
      <c r="AB35" s="1809">
        <f t="shared" si="4"/>
        <v>1</v>
      </c>
      <c r="AC35" s="1809">
        <f t="shared" si="5"/>
        <v>1</v>
      </c>
    </row>
    <row r="36" spans="1:29" ht="15">
      <c r="A36" s="467"/>
      <c r="B36" s="417" t="s">
        <v>2640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304"/>
      <c r="Q36" s="1808" t="str">
        <f t="shared" si="11"/>
        <v>成新度</v>
      </c>
      <c r="R36" s="769" t="s">
        <v>17</v>
      </c>
      <c r="S36" s="770" t="e">
        <f t="shared" si="12"/>
        <v>#N/A</v>
      </c>
      <c r="T36" s="769" t="s">
        <v>17</v>
      </c>
      <c r="U36" s="770" t="e">
        <f t="shared" si="13"/>
        <v>#N/A</v>
      </c>
      <c r="V36" s="769" t="s">
        <v>17</v>
      </c>
      <c r="W36" s="770" t="e">
        <f t="shared" si="14"/>
        <v>#N/A</v>
      </c>
      <c r="X36" s="1811"/>
      <c r="Y36" s="3222"/>
      <c r="Z36" s="1812" t="str">
        <f t="shared" si="15"/>
        <v>成新度</v>
      </c>
      <c r="AA36" s="1809" t="e">
        <f t="shared" si="3"/>
        <v>#N/A</v>
      </c>
      <c r="AB36" s="1809" t="e">
        <f t="shared" si="4"/>
        <v>#N/A</v>
      </c>
      <c r="AC36" s="1809" t="e">
        <f t="shared" si="5"/>
        <v>#N/A</v>
      </c>
    </row>
    <row r="37" spans="1:29" s="115" customFormat="1" ht="15">
      <c r="A37" s="468"/>
      <c r="B37" s="417" t="s">
        <v>2641</v>
      </c>
      <c r="C37" s="2611"/>
      <c r="D37" s="133">
        <v>100</v>
      </c>
      <c r="E37" s="2611"/>
      <c r="F37" s="456">
        <f>SUMIF(112:112,E37,113:113)-SUMIF(112:112,C37,113:113)+100</f>
        <v>100</v>
      </c>
      <c r="G37" s="2611"/>
      <c r="H37" s="430">
        <f>SUMIF(112:112,G37,113:113)-SUMIF(112:112,C37,113:113)+100</f>
        <v>100</v>
      </c>
      <c r="I37" s="2611"/>
      <c r="J37" s="430">
        <f>SUMIF(112:112,I37,113:113)-SUMIF(112:112,C37,113:113)+100</f>
        <v>100</v>
      </c>
      <c r="K37" s="607"/>
      <c r="L37" s="1130"/>
      <c r="M37" s="1131"/>
      <c r="N37" s="1131"/>
      <c r="O37" s="1131"/>
      <c r="P37" s="3304"/>
      <c r="Q37" s="1793" t="str">
        <f t="shared" si="11"/>
        <v>市政基础设施</v>
      </c>
      <c r="R37" s="765" t="s">
        <v>17</v>
      </c>
      <c r="S37" s="766">
        <f t="shared" si="12"/>
        <v>100</v>
      </c>
      <c r="T37" s="765" t="s">
        <v>17</v>
      </c>
      <c r="U37" s="766">
        <f t="shared" si="13"/>
        <v>100</v>
      </c>
      <c r="V37" s="765" t="s">
        <v>17</v>
      </c>
      <c r="W37" s="766">
        <f t="shared" si="14"/>
        <v>100</v>
      </c>
      <c r="X37" s="767"/>
      <c r="Y37" s="3222"/>
      <c r="Z37" s="55" t="str">
        <f t="shared" si="15"/>
        <v>市政基础设施</v>
      </c>
      <c r="AA37" s="768">
        <f t="shared" si="3"/>
        <v>1</v>
      </c>
      <c r="AB37" s="768">
        <f t="shared" si="4"/>
        <v>1</v>
      </c>
      <c r="AC37" s="768">
        <f t="shared" si="5"/>
        <v>1</v>
      </c>
    </row>
    <row r="38" spans="1:29" ht="15">
      <c r="A38" s="467"/>
      <c r="B38" s="417" t="s">
        <v>2642</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7"/>
      <c r="L38" s="1138"/>
      <c r="M38" s="1129"/>
      <c r="N38" s="1129"/>
      <c r="O38" s="1129"/>
      <c r="P38" s="3304" t="s">
        <v>2543</v>
      </c>
      <c r="Q38" s="1808" t="str">
        <f t="shared" si="11"/>
        <v>业态</v>
      </c>
      <c r="R38" s="769" t="s">
        <v>17</v>
      </c>
      <c r="S38" s="770">
        <f t="shared" si="12"/>
        <v>100</v>
      </c>
      <c r="T38" s="769" t="s">
        <v>17</v>
      </c>
      <c r="U38" s="770">
        <f t="shared" si="13"/>
        <v>100</v>
      </c>
      <c r="V38" s="769" t="s">
        <v>17</v>
      </c>
      <c r="W38" s="770">
        <f t="shared" si="14"/>
        <v>100</v>
      </c>
      <c r="X38" s="1811"/>
      <c r="Y38" s="3222" t="s">
        <v>2543</v>
      </c>
      <c r="Z38" s="1812" t="str">
        <f t="shared" si="15"/>
        <v>业态</v>
      </c>
      <c r="AA38" s="1809">
        <f t="shared" si="3"/>
        <v>1</v>
      </c>
      <c r="AB38" s="1809">
        <f t="shared" si="4"/>
        <v>1</v>
      </c>
      <c r="AC38" s="1809">
        <f t="shared" si="5"/>
        <v>1</v>
      </c>
    </row>
    <row r="39" spans="1:29" ht="15">
      <c r="A39" s="467"/>
      <c r="B39" s="417" t="s">
        <v>2643</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7"/>
      <c r="L39" s="1138"/>
      <c r="M39" s="1129"/>
      <c r="N39" s="1129"/>
      <c r="O39" s="1129"/>
      <c r="P39" s="3304"/>
      <c r="Q39" s="1808" t="str">
        <f t="shared" si="11"/>
        <v>层高</v>
      </c>
      <c r="R39" s="769" t="s">
        <v>17</v>
      </c>
      <c r="S39" s="770">
        <f t="shared" si="12"/>
        <v>100</v>
      </c>
      <c r="T39" s="769" t="s">
        <v>17</v>
      </c>
      <c r="U39" s="770">
        <f t="shared" si="13"/>
        <v>100</v>
      </c>
      <c r="V39" s="769" t="s">
        <v>17</v>
      </c>
      <c r="W39" s="770">
        <f t="shared" si="14"/>
        <v>100</v>
      </c>
      <c r="X39" s="1811"/>
      <c r="Y39" s="3222"/>
      <c r="Z39" s="1812" t="str">
        <f t="shared" si="15"/>
        <v>层高</v>
      </c>
      <c r="AA39" s="1809">
        <f t="shared" si="3"/>
        <v>1</v>
      </c>
      <c r="AB39" s="1809">
        <f t="shared" si="4"/>
        <v>1</v>
      </c>
      <c r="AC39" s="1809">
        <f t="shared" si="5"/>
        <v>1</v>
      </c>
    </row>
    <row r="40" spans="1:29" ht="15">
      <c r="A40" s="467"/>
      <c r="B40" s="417" t="s">
        <v>2644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304"/>
      <c r="Q40" s="1808" t="str">
        <f t="shared" si="11"/>
        <v>单套建筑面积</v>
      </c>
      <c r="R40" s="769" t="s">
        <v>17</v>
      </c>
      <c r="S40" s="770">
        <f t="shared" si="12"/>
        <v>100</v>
      </c>
      <c r="T40" s="769" t="s">
        <v>17</v>
      </c>
      <c r="U40" s="770">
        <f t="shared" si="13"/>
        <v>100</v>
      </c>
      <c r="V40" s="769" t="s">
        <v>17</v>
      </c>
      <c r="W40" s="770">
        <f t="shared" si="14"/>
        <v>100</v>
      </c>
      <c r="X40" s="1811"/>
      <c r="Y40" s="3222"/>
      <c r="Z40" s="1812" t="str">
        <f t="shared" si="15"/>
        <v>单套建筑面积</v>
      </c>
      <c r="AA40" s="1809">
        <f t="shared" si="3"/>
        <v>1</v>
      </c>
      <c r="AB40" s="1809">
        <f t="shared" si="4"/>
        <v>1</v>
      </c>
      <c r="AC40" s="1809">
        <f t="shared" si="5"/>
        <v>1</v>
      </c>
    </row>
    <row r="41" spans="1:29" s="466" customFormat="1" ht="15">
      <c r="A41" s="463"/>
      <c r="B41" s="1810" t="s">
        <v>2645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304"/>
      <c r="Q41" s="771" t="str">
        <f t="shared" si="11"/>
        <v>进深比</v>
      </c>
      <c r="R41" s="772" t="s">
        <v>17</v>
      </c>
      <c r="S41" s="773">
        <f t="shared" si="12"/>
        <v>100</v>
      </c>
      <c r="T41" s="772" t="s">
        <v>17</v>
      </c>
      <c r="U41" s="773">
        <f t="shared" si="13"/>
        <v>100</v>
      </c>
      <c r="V41" s="772" t="s">
        <v>17</v>
      </c>
      <c r="W41" s="773">
        <f t="shared" si="14"/>
        <v>100</v>
      </c>
      <c r="X41" s="774"/>
      <c r="Y41" s="3222"/>
      <c r="Z41" s="775" t="str">
        <f t="shared" si="15"/>
        <v>进深比</v>
      </c>
      <c r="AA41" s="1809">
        <f t="shared" si="3"/>
        <v>1</v>
      </c>
      <c r="AB41" s="1809">
        <f t="shared" si="4"/>
        <v>1</v>
      </c>
      <c r="AC41" s="1809">
        <f t="shared" si="5"/>
        <v>1</v>
      </c>
    </row>
    <row r="42" spans="1:29" ht="15">
      <c r="A42" s="467"/>
      <c r="B42" s="417" t="s">
        <v>2646</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7"/>
      <c r="L42" s="1138"/>
      <c r="M42" s="1129"/>
      <c r="N42" s="1129"/>
      <c r="O42" s="1129"/>
      <c r="P42" s="3304"/>
      <c r="Q42" s="1808" t="str">
        <f t="shared" si="11"/>
        <v>内部装修</v>
      </c>
      <c r="R42" s="769" t="s">
        <v>17</v>
      </c>
      <c r="S42" s="770">
        <f t="shared" si="12"/>
        <v>100</v>
      </c>
      <c r="T42" s="769" t="s">
        <v>17</v>
      </c>
      <c r="U42" s="770">
        <f t="shared" si="13"/>
        <v>100</v>
      </c>
      <c r="V42" s="769" t="s">
        <v>17</v>
      </c>
      <c r="W42" s="770">
        <f t="shared" si="14"/>
        <v>100</v>
      </c>
      <c r="X42" s="1811"/>
      <c r="Y42" s="3222"/>
      <c r="Z42" s="1812" t="str">
        <f t="shared" si="15"/>
        <v>内部装修</v>
      </c>
      <c r="AA42" s="1809">
        <f t="shared" si="3"/>
        <v>1</v>
      </c>
      <c r="AB42" s="1809">
        <f t="shared" si="4"/>
        <v>1</v>
      </c>
      <c r="AC42" s="1809">
        <f t="shared" si="5"/>
        <v>1</v>
      </c>
    </row>
    <row r="43" spans="1:29" ht="15">
      <c r="A43" s="467"/>
      <c r="B43" s="417" t="s">
        <v>2554</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7"/>
      <c r="L43" s="1138"/>
      <c r="M43" s="1129"/>
      <c r="N43" s="1129"/>
      <c r="O43" s="1129"/>
      <c r="P43" s="3304"/>
      <c r="Q43" s="1808" t="str">
        <f t="shared" si="11"/>
        <v>内部装修维护情况</v>
      </c>
      <c r="R43" s="769" t="s">
        <v>17</v>
      </c>
      <c r="S43" s="770">
        <f t="shared" si="12"/>
        <v>100</v>
      </c>
      <c r="T43" s="769" t="s">
        <v>17</v>
      </c>
      <c r="U43" s="770">
        <f t="shared" si="13"/>
        <v>100</v>
      </c>
      <c r="V43" s="769" t="s">
        <v>17</v>
      </c>
      <c r="W43" s="770">
        <f t="shared" si="14"/>
        <v>100</v>
      </c>
      <c r="X43" s="1811"/>
      <c r="Y43" s="3222"/>
      <c r="Z43" s="1812" t="str">
        <f t="shared" si="15"/>
        <v>内部装修维护情况</v>
      </c>
      <c r="AA43" s="1809">
        <f t="shared" si="3"/>
        <v>1</v>
      </c>
      <c r="AB43" s="1809">
        <f t="shared" si="4"/>
        <v>1</v>
      </c>
      <c r="AC43" s="1809">
        <f t="shared" si="5"/>
        <v>1</v>
      </c>
    </row>
    <row r="44" spans="1:29" s="115" customFormat="1" ht="15">
      <c r="A44" s="468"/>
      <c r="B44" s="1384">
        <v>111</v>
      </c>
      <c r="C44" s="464"/>
      <c r="D44" s="133">
        <v>100</v>
      </c>
      <c r="E44" s="429"/>
      <c r="F44" s="420">
        <f>SUMIF(126:126,E44,127:127)-SUMIF(126:126,C44,127:127)+100</f>
        <v>100</v>
      </c>
      <c r="G44" s="429"/>
      <c r="H44" s="133">
        <f>SUMIF(126:126,G44,127:127)-SUMIF(126:126,C44,127:127)+100</f>
        <v>100</v>
      </c>
      <c r="I44" s="429"/>
      <c r="J44" s="133">
        <f>SUMIF(126:126,I44,127:127)-SUMIF(126:126,C44,127:127)+100</f>
        <v>100</v>
      </c>
      <c r="K44" s="608"/>
      <c r="L44" s="1130"/>
      <c r="M44" s="1131"/>
      <c r="N44" s="1131"/>
      <c r="O44" s="1131"/>
      <c r="P44" s="3304"/>
      <c r="Q44" s="1793">
        <f t="shared" si="11"/>
        <v>111</v>
      </c>
      <c r="R44" s="765" t="s">
        <v>17</v>
      </c>
      <c r="S44" s="766">
        <f t="shared" si="12"/>
        <v>100</v>
      </c>
      <c r="T44" s="765" t="s">
        <v>17</v>
      </c>
      <c r="U44" s="766">
        <f t="shared" si="13"/>
        <v>100</v>
      </c>
      <c r="V44" s="765" t="s">
        <v>17</v>
      </c>
      <c r="W44" s="766">
        <f t="shared" si="14"/>
        <v>100</v>
      </c>
      <c r="X44" s="767"/>
      <c r="Y44" s="3222"/>
      <c r="Z44" s="55">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304"/>
      <c r="Q45" s="1808">
        <f t="shared" si="11"/>
        <v>111</v>
      </c>
      <c r="R45" s="769" t="s">
        <v>17</v>
      </c>
      <c r="S45" s="770">
        <f t="shared" si="12"/>
        <v>100</v>
      </c>
      <c r="T45" s="769" t="s">
        <v>17</v>
      </c>
      <c r="U45" s="770">
        <f t="shared" si="13"/>
        <v>100</v>
      </c>
      <c r="V45" s="769" t="s">
        <v>17</v>
      </c>
      <c r="W45" s="770">
        <f t="shared" si="14"/>
        <v>100</v>
      </c>
      <c r="X45" s="1811"/>
      <c r="Y45" s="3222"/>
      <c r="Z45" s="1812">
        <f t="shared" si="15"/>
        <v>111</v>
      </c>
      <c r="AA45" s="1809">
        <f t="shared" si="3"/>
        <v>1</v>
      </c>
      <c r="AB45" s="1809">
        <f t="shared" si="4"/>
        <v>1</v>
      </c>
      <c r="AC45" s="1809">
        <f t="shared" si="5"/>
        <v>1</v>
      </c>
    </row>
    <row r="46" spans="1:29" ht="15.75" thickBot="1">
      <c r="A46" s="473"/>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305"/>
      <c r="Q46" s="1808">
        <f t="shared" si="11"/>
        <v>111</v>
      </c>
      <c r="R46" s="769" t="s">
        <v>17</v>
      </c>
      <c r="S46" s="770">
        <f t="shared" si="12"/>
        <v>100</v>
      </c>
      <c r="T46" s="769" t="s">
        <v>17</v>
      </c>
      <c r="U46" s="770">
        <f t="shared" si="13"/>
        <v>100</v>
      </c>
      <c r="V46" s="769" t="s">
        <v>17</v>
      </c>
      <c r="W46" s="770">
        <f t="shared" si="14"/>
        <v>100</v>
      </c>
      <c r="X46" s="1811"/>
      <c r="Y46" s="3306"/>
      <c r="Z46" s="1812">
        <f t="shared" si="15"/>
        <v>111</v>
      </c>
      <c r="AA46" s="1809">
        <f t="shared" si="3"/>
        <v>1</v>
      </c>
      <c r="AB46" s="1809">
        <f t="shared" si="4"/>
        <v>1</v>
      </c>
      <c r="AC46" s="1809">
        <f t="shared" si="5"/>
        <v>1</v>
      </c>
    </row>
    <row r="47" spans="1:29" ht="15">
      <c r="A47" s="474" t="s">
        <v>2555</v>
      </c>
      <c r="B47" s="475"/>
      <c r="C47" s="1405" t="s">
        <v>1</v>
      </c>
      <c r="D47" s="1406"/>
      <c r="E47" s="1407"/>
      <c r="F47" s="1408"/>
      <c r="G47" s="1409"/>
      <c r="H47" s="1410"/>
      <c r="I47" s="1407"/>
      <c r="J47" s="1410"/>
      <c r="K47" s="778"/>
      <c r="L47" s="1141"/>
      <c r="M47" s="1142"/>
      <c r="N47" s="1129"/>
      <c r="O47" s="1142"/>
      <c r="P47" s="3217" t="str">
        <f>A47</f>
        <v>成交单价（元/平方米）</v>
      </c>
      <c r="Q47" s="3217"/>
      <c r="R47" s="3223">
        <f>E47</f>
        <v>0</v>
      </c>
      <c r="S47" s="3223"/>
      <c r="T47" s="3223">
        <f>G47</f>
        <v>0</v>
      </c>
      <c r="U47" s="3223"/>
      <c r="V47" s="3223">
        <f>I47</f>
        <v>0</v>
      </c>
      <c r="W47" s="3223"/>
      <c r="X47" s="754"/>
      <c r="Y47" s="776"/>
      <c r="Z47" s="754"/>
      <c r="AA47" s="754"/>
      <c r="AB47" s="754"/>
      <c r="AC47" s="754"/>
    </row>
    <row r="48" spans="1:29" ht="15.75" thickBot="1">
      <c r="A48" s="481" t="s">
        <v>2647</v>
      </c>
      <c r="B48" s="482"/>
      <c r="C48" s="1411" t="e">
        <f>R49</f>
        <v>#DIV/0!</v>
      </c>
      <c r="D48" s="1412"/>
      <c r="E48" s="1413" t="e">
        <f>R48</f>
        <v>#DIV/0!</v>
      </c>
      <c r="F48" s="1413"/>
      <c r="G48" s="1411" t="e">
        <f>T48</f>
        <v>#DIV/0!</v>
      </c>
      <c r="H48" s="1412"/>
      <c r="I48" s="1413" t="e">
        <f>V48</f>
        <v>#DIV/0!</v>
      </c>
      <c r="J48" s="1412"/>
      <c r="K48" s="779"/>
      <c r="L48" s="1141"/>
      <c r="M48" s="1142"/>
      <c r="N48" s="1129"/>
      <c r="O48" s="1142"/>
      <c r="P48" s="3217" t="str">
        <f>A48</f>
        <v>比较价值（元/平方米）</v>
      </c>
      <c r="Q48" s="3217"/>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4"/>
      <c r="Y48" s="754"/>
      <c r="Z48" s="754"/>
      <c r="AA48" s="754"/>
      <c r="AB48" s="754"/>
      <c r="AC48" s="754"/>
    </row>
    <row r="49" spans="1:29" ht="15.75" thickBot="1">
      <c r="A49" s="487" t="s">
        <v>2648</v>
      </c>
      <c r="B49" s="488"/>
      <c r="C49" s="1415" t="e">
        <f>R49</f>
        <v>#DIV/0!</v>
      </c>
      <c r="D49" s="1415"/>
      <c r="E49" s="1415"/>
      <c r="F49" s="1415"/>
      <c r="G49" s="1415"/>
      <c r="H49" s="1415"/>
      <c r="I49" s="1415"/>
      <c r="J49" s="1415"/>
      <c r="K49" s="780"/>
      <c r="L49" s="1141"/>
      <c r="M49" s="1142"/>
      <c r="N49" s="1129"/>
      <c r="O49" s="1142"/>
      <c r="P49" s="3211" t="str">
        <f>A49</f>
        <v>估价对象XX用房的比较价值（楼面单价，元/平方米）</v>
      </c>
      <c r="Q49" s="3212"/>
      <c r="R49" s="3301" t="e">
        <f>IF(F1="售价",ROUND(AVERAGE(R48:V48),0),ROUND(AVERAGE(R48:V48),1))</f>
        <v>#DIV/0!</v>
      </c>
      <c r="S49" s="3301"/>
      <c r="T49" s="3301"/>
      <c r="U49" s="3301"/>
      <c r="V49" s="3301"/>
      <c r="W49" s="330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2649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2650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2651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2652</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2526</v>
      </c>
      <c r="B58" s="501"/>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5" customFormat="1" ht="15">
      <c r="A59" s="504"/>
      <c r="B59" s="505"/>
      <c r="C59" s="1571">
        <v>100</v>
      </c>
      <c r="D59" s="507"/>
      <c r="E59" s="507"/>
      <c r="F59" s="507"/>
      <c r="G59" s="507"/>
      <c r="H59" s="507"/>
      <c r="I59" s="507"/>
      <c r="J59" s="507"/>
      <c r="K59" s="507"/>
      <c r="L59" s="507"/>
      <c r="M59" s="508"/>
      <c r="N59" s="507"/>
      <c r="O59" s="508"/>
      <c r="P59" s="2626"/>
    </row>
    <row r="60" spans="1:29" s="115" customFormat="1" ht="15.75" thickBot="1">
      <c r="A60" s="510" t="s">
        <v>2563</v>
      </c>
      <c r="B60" s="511"/>
      <c r="C60" s="512"/>
      <c r="D60" s="513"/>
      <c r="E60" s="513"/>
      <c r="F60" s="513"/>
      <c r="G60" s="513"/>
      <c r="H60" s="513"/>
      <c r="I60" s="513"/>
      <c r="J60" s="513"/>
      <c r="K60" s="513"/>
      <c r="L60" s="513"/>
      <c r="M60" s="514"/>
      <c r="N60" s="513"/>
      <c r="O60" s="514"/>
      <c r="P60" s="2626"/>
      <c r="Q60" s="499"/>
    </row>
    <row r="61" spans="1:29" s="115" customFormat="1" ht="15">
      <c r="A61" s="516" t="s">
        <v>2528</v>
      </c>
      <c r="B61" s="505"/>
      <c r="C61" s="517" t="s">
        <v>2630</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2566</v>
      </c>
      <c r="B63" s="523" t="s">
        <v>2532</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2535</v>
      </c>
      <c r="C65" s="534" t="s">
        <v>2567</v>
      </c>
      <c r="D65" s="534" t="s">
        <v>2568</v>
      </c>
      <c r="E65" s="534" t="s">
        <v>2569</v>
      </c>
      <c r="F65" s="534" t="s">
        <v>2570</v>
      </c>
      <c r="G65" s="534" t="s">
        <v>2571</v>
      </c>
      <c r="H65" s="534" t="s">
        <v>2572</v>
      </c>
      <c r="I65" s="534" t="s">
        <v>2573</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2536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2537</v>
      </c>
      <c r="B76" s="523" t="s">
        <v>2574</v>
      </c>
      <c r="C76" s="568" t="s">
        <v>2575</v>
      </c>
      <c r="D76" s="568" t="s">
        <v>2576</v>
      </c>
      <c r="E76" s="568" t="s">
        <v>2577</v>
      </c>
      <c r="F76" s="568" t="s">
        <v>2578</v>
      </c>
      <c r="G76" s="568" t="s">
        <v>2579</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2580</v>
      </c>
      <c r="C78" s="573" t="s">
        <v>2575</v>
      </c>
      <c r="D78" s="573" t="s">
        <v>2576</v>
      </c>
      <c r="E78" s="573" t="s">
        <v>2577</v>
      </c>
      <c r="F78" s="573" t="s">
        <v>2578</v>
      </c>
      <c r="G78" s="573" t="s">
        <v>2579</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2581</v>
      </c>
      <c r="C80" s="573" t="s">
        <v>2575</v>
      </c>
      <c r="D80" s="573" t="s">
        <v>2576</v>
      </c>
      <c r="E80" s="573" t="s">
        <v>2577</v>
      </c>
      <c r="F80" s="573" t="s">
        <v>2578</v>
      </c>
      <c r="G80" s="573" t="s">
        <v>2579</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2633</v>
      </c>
      <c r="C82" s="655" t="s">
        <v>2653</v>
      </c>
      <c r="D82" s="655" t="s">
        <v>2654</v>
      </c>
      <c r="E82" s="655" t="s">
        <v>2655</v>
      </c>
      <c r="F82" s="655" t="s">
        <v>2656</v>
      </c>
      <c r="G82" s="655" t="s">
        <v>2657</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2587</v>
      </c>
      <c r="C84" s="573" t="s">
        <v>2575</v>
      </c>
      <c r="D84" s="573" t="s">
        <v>2576</v>
      </c>
      <c r="E84" s="573" t="s">
        <v>2577</v>
      </c>
      <c r="F84" s="573" t="s">
        <v>2578</v>
      </c>
      <c r="G84" s="573" t="s">
        <v>2579</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2658</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5"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5"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2541</v>
      </c>
      <c r="B100" s="523" t="s">
        <v>2659</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2591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2592</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2594</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1986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2596</v>
      </c>
      <c r="C112" s="549"/>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2660</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2661</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2662</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2663</v>
      </c>
      <c r="C120" s="578"/>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2598</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2599</v>
      </c>
      <c r="C124" s="573" t="s">
        <v>2575</v>
      </c>
      <c r="D124" s="573" t="s">
        <v>2576</v>
      </c>
      <c r="E124" s="573" t="s">
        <v>2577</v>
      </c>
      <c r="F124" s="573" t="s">
        <v>2578</v>
      </c>
      <c r="G124" s="573" t="s">
        <v>2579</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667" t="s">
        <v>2664</v>
      </c>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IF(C2="——",ROUND(C50*D3/10000,0),ROUND(C50*D3/10000,0)-D2)</f>
        <v>#DIV/0!</v>
      </c>
      <c r="C2" s="2584"/>
      <c r="D2" s="1363" t="e">
        <f ca="1">SUMIF(INDIRECT("'"&amp;F2&amp;"'"&amp;"!A:A"),"承租人权益价值",INDIRECT("'"&amp;F2&amp;"'"&amp;"!c:c"))</f>
        <v>#REF!</v>
      </c>
      <c r="E2" s="2585" t="s">
        <v>2309</v>
      </c>
      <c r="F2" s="2586"/>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 ca="1">IF(C2="——",C50,ROUND(B2*10000/D3,0))</f>
        <v>#DIV/0!</v>
      </c>
      <c r="C3" s="395" t="s">
        <v>2622</v>
      </c>
      <c r="D3" s="394">
        <f>IF(D1="",'数据-汇总表'!E3,SUMIF('数据-汇总表'!$C19:$C33,D1,'数据-汇总表'!$E19:$E33))</f>
        <v>96535.67</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315" t="s">
        <v>2629</v>
      </c>
      <c r="Q4" s="3316"/>
      <c r="R4" s="3319" t="s">
        <v>2625</v>
      </c>
      <c r="S4" s="3320"/>
      <c r="T4" s="3319" t="s">
        <v>2626</v>
      </c>
      <c r="U4" s="3320"/>
      <c r="V4" s="3321" t="s">
        <v>2627</v>
      </c>
      <c r="W4" s="3321"/>
      <c r="X4" s="2668"/>
      <c r="Y4" s="3319" t="s">
        <v>2629</v>
      </c>
      <c r="Z4" s="3320"/>
      <c r="AA4" s="3323" t="s">
        <v>2625</v>
      </c>
      <c r="AB4" s="3323" t="s">
        <v>2626</v>
      </c>
      <c r="AC4" s="3312" t="s">
        <v>2627</v>
      </c>
    </row>
    <row r="5" spans="1:29" ht="15">
      <c r="A5" s="399"/>
      <c r="B5" s="400"/>
      <c r="C5" s="3244" t="s">
        <v>2520</v>
      </c>
      <c r="D5" s="3245"/>
      <c r="E5" s="3251" t="s">
        <v>2521</v>
      </c>
      <c r="F5" s="3252"/>
      <c r="G5" s="3244" t="s">
        <v>2522</v>
      </c>
      <c r="H5" s="3245"/>
      <c r="I5" s="3244" t="s">
        <v>2523</v>
      </c>
      <c r="J5" s="3245"/>
      <c r="K5" s="605"/>
      <c r="L5" s="1128"/>
      <c r="M5" s="1129"/>
      <c r="N5" s="1129"/>
      <c r="O5" s="1129"/>
      <c r="P5" s="3317"/>
      <c r="Q5" s="3233"/>
      <c r="R5" s="3238"/>
      <c r="S5" s="3239"/>
      <c r="T5" s="3238"/>
      <c r="U5" s="3239"/>
      <c r="V5" s="3223"/>
      <c r="W5" s="3223"/>
      <c r="X5" s="1811"/>
      <c r="Y5" s="3238"/>
      <c r="Z5" s="3239"/>
      <c r="AA5" s="3225"/>
      <c r="AB5" s="3225"/>
      <c r="AC5" s="3313"/>
    </row>
    <row r="6" spans="1:29" ht="15.75" thickBot="1">
      <c r="A6" s="401"/>
      <c r="B6" s="402"/>
      <c r="C6" s="3242" t="s">
        <v>2524</v>
      </c>
      <c r="D6" s="3243"/>
      <c r="E6" s="3249" t="s">
        <v>2524</v>
      </c>
      <c r="F6" s="3250"/>
      <c r="G6" s="3242" t="s">
        <v>2524</v>
      </c>
      <c r="H6" s="3243"/>
      <c r="I6" s="3242" t="s">
        <v>2524</v>
      </c>
      <c r="J6" s="3243"/>
      <c r="K6" s="605" t="s">
        <v>2525</v>
      </c>
      <c r="L6" s="1128"/>
      <c r="M6" s="1129"/>
      <c r="N6" s="1129"/>
      <c r="O6" s="1129"/>
      <c r="P6" s="3318"/>
      <c r="Q6" s="3235"/>
      <c r="R6" s="3238"/>
      <c r="S6" s="3239"/>
      <c r="T6" s="3240"/>
      <c r="U6" s="3241"/>
      <c r="V6" s="3223"/>
      <c r="W6" s="3223"/>
      <c r="X6" s="1811"/>
      <c r="Y6" s="3240"/>
      <c r="Z6" s="3241"/>
      <c r="AA6" s="3226"/>
      <c r="AB6" s="3226"/>
      <c r="AC6" s="3314"/>
    </row>
    <row r="7" spans="1:29" s="115" customFormat="1" ht="15.75" thickBot="1">
      <c r="A7" s="403" t="s">
        <v>2526</v>
      </c>
      <c r="B7" s="404"/>
      <c r="C7" s="405">
        <f>'数据-取费表'!B2</f>
        <v>43318</v>
      </c>
      <c r="D7" s="406">
        <v>100</v>
      </c>
      <c r="E7" s="407"/>
      <c r="F7" s="408">
        <f>SUMIF(59:59,YEAR(E7)&amp;"-"&amp;MONTH(E7),60:60)</f>
        <v>0</v>
      </c>
      <c r="G7" s="407"/>
      <c r="H7" s="406">
        <f>SUMIF(59:59,YEAR(G7)&amp;"-"&amp;MONTH(G7),60:60)</f>
        <v>0</v>
      </c>
      <c r="I7" s="407"/>
      <c r="J7" s="406">
        <f>SUMIF(59:59,YEAR(I7)&amp;"-"&amp;MONTH(I7),60:60)</f>
        <v>0</v>
      </c>
      <c r="K7" s="606"/>
      <c r="L7" s="1130"/>
      <c r="M7" s="1131"/>
      <c r="N7" s="1131"/>
      <c r="O7" s="1131"/>
      <c r="P7" s="3322" t="s">
        <v>2527</v>
      </c>
      <c r="Q7" s="3248"/>
      <c r="R7" s="765" t="s">
        <v>17</v>
      </c>
      <c r="S7" s="766">
        <f t="shared" ref="S7:S15" si="0">F7</f>
        <v>0</v>
      </c>
      <c r="T7" s="765" t="s">
        <v>17</v>
      </c>
      <c r="U7" s="766">
        <f t="shared" ref="U7:U15" si="1">H7</f>
        <v>0</v>
      </c>
      <c r="V7" s="765" t="s">
        <v>17</v>
      </c>
      <c r="W7" s="766">
        <f t="shared" ref="W7:W15" si="2">J7</f>
        <v>0</v>
      </c>
      <c r="X7" s="767"/>
      <c r="Y7" s="3246" t="s">
        <v>2527</v>
      </c>
      <c r="Z7" s="3247"/>
      <c r="AA7" s="768" t="e">
        <f>D7/F7</f>
        <v>#DIV/0!</v>
      </c>
      <c r="AB7" s="768" t="e">
        <f>D7/H7</f>
        <v>#DIV/0!</v>
      </c>
      <c r="AC7" s="2669" t="e">
        <f>D7/J7</f>
        <v>#DIV/0!</v>
      </c>
    </row>
    <row r="8" spans="1:29" s="115" customFormat="1" ht="15.75" thickBot="1">
      <c r="A8" s="403" t="s">
        <v>2528</v>
      </c>
      <c r="B8" s="404"/>
      <c r="C8" s="409" t="s">
        <v>2630</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322" t="s">
        <v>2530</v>
      </c>
      <c r="Q8" s="3247"/>
      <c r="R8" s="765" t="s">
        <v>17</v>
      </c>
      <c r="S8" s="766">
        <f t="shared" si="0"/>
        <v>0</v>
      </c>
      <c r="T8" s="765" t="s">
        <v>17</v>
      </c>
      <c r="U8" s="766">
        <f t="shared" si="1"/>
        <v>0</v>
      </c>
      <c r="V8" s="765" t="s">
        <v>17</v>
      </c>
      <c r="W8" s="766">
        <f t="shared" si="2"/>
        <v>0</v>
      </c>
      <c r="X8" s="767"/>
      <c r="Y8" s="3246" t="s">
        <v>2530</v>
      </c>
      <c r="Z8" s="3247"/>
      <c r="AA8" s="768" t="e">
        <f t="shared" ref="AA8:AA47" si="3">D8/F8</f>
        <v>#DIV/0!</v>
      </c>
      <c r="AB8" s="768" t="e">
        <f t="shared" ref="AB8:AB47" si="4">D8/H8</f>
        <v>#DIV/0!</v>
      </c>
      <c r="AC8" s="2669" t="e">
        <f t="shared" ref="AC8:AC47" si="5">D8/J8</f>
        <v>#DIV/0!</v>
      </c>
    </row>
    <row r="9" spans="1:29" s="115" customFormat="1">
      <c r="A9" s="410" t="s">
        <v>2531</v>
      </c>
      <c r="B9" s="71" t="s">
        <v>2532</v>
      </c>
      <c r="C9" s="411"/>
      <c r="D9" s="132">
        <v>100</v>
      </c>
      <c r="E9" s="414"/>
      <c r="F9" s="132">
        <f>SUMIF(64:64,E9,65:65)-SUMIF(64:64,C9,65:65)+100</f>
        <v>100</v>
      </c>
      <c r="G9" s="412"/>
      <c r="H9" s="132">
        <f>SUMIF(64:64,G9,65:65)-SUMIF(64:64,C9,65:65)+100</f>
        <v>100</v>
      </c>
      <c r="I9" s="412"/>
      <c r="J9" s="132">
        <f>SUMIF(64:64,I9,65:65)-SUMIF(64:64,C9,65:65)+100</f>
        <v>100</v>
      </c>
      <c r="K9" s="606"/>
      <c r="L9" s="1130"/>
      <c r="M9" s="1131"/>
      <c r="N9" s="1131"/>
      <c r="O9" s="1131"/>
      <c r="P9" s="3216"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2669">
        <f t="shared" si="5"/>
        <v>1</v>
      </c>
    </row>
    <row r="10" spans="1:29" s="422" customFormat="1" ht="27">
      <c r="A10" s="416"/>
      <c r="B10" s="417" t="s">
        <v>2535</v>
      </c>
      <c r="C10" s="418"/>
      <c r="D10" s="133">
        <v>100</v>
      </c>
      <c r="E10" s="418"/>
      <c r="F10" s="133">
        <f>SUMIF(66:66,E10,67:67)-SUMIF(66:66,C10,67:67)+100</f>
        <v>100</v>
      </c>
      <c r="G10" s="419"/>
      <c r="H10" s="133">
        <f>SUMIF(66:66,G10,67:67)-SUMIF(66:66,C10,67:67)+100</f>
        <v>100</v>
      </c>
      <c r="I10" s="418"/>
      <c r="J10" s="133">
        <f>SUMIF(66:66,I10,67:67)-SUMIF(66:66,C10,67:67)+100</f>
        <v>100</v>
      </c>
      <c r="K10" s="607"/>
      <c r="L10" s="1133"/>
      <c r="M10" s="1134"/>
      <c r="N10" s="1134"/>
      <c r="O10" s="1134"/>
      <c r="P10" s="3216"/>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2669">
        <f t="shared" si="5"/>
        <v>1</v>
      </c>
    </row>
    <row r="11" spans="1:29" ht="15">
      <c r="A11" s="423"/>
      <c r="B11" s="417" t="s">
        <v>2536</v>
      </c>
      <c r="C11" s="424"/>
      <c r="D11" s="133">
        <v>100</v>
      </c>
      <c r="E11" s="424"/>
      <c r="F11" s="133" t="e">
        <f>LOOKUP(E11,69:69,70:70)-LOOKUP(C11,69:69,70:70)+100</f>
        <v>#N/A</v>
      </c>
      <c r="G11" s="425"/>
      <c r="H11" s="133" t="e">
        <f>LOOKUP(G11,69:69,70:70)-LOOKUP(C11,69:69,70:70)+100</f>
        <v>#N/A</v>
      </c>
      <c r="I11" s="424"/>
      <c r="J11" s="133" t="e">
        <f>LOOKUP(I11,69:69,70:70)-LOOKUP(C11,69:69,70:70)+100</f>
        <v>#N/A</v>
      </c>
      <c r="K11" s="607"/>
      <c r="L11" s="1136"/>
      <c r="M11" s="1129"/>
      <c r="N11" s="1129"/>
      <c r="O11" s="1129"/>
      <c r="P11" s="3216"/>
      <c r="Q11" s="1793" t="str">
        <f t="shared" si="6"/>
        <v>容积率</v>
      </c>
      <c r="R11" s="765" t="s">
        <v>17</v>
      </c>
      <c r="S11" s="766" t="e">
        <f t="shared" si="0"/>
        <v>#N/A</v>
      </c>
      <c r="T11" s="765" t="s">
        <v>17</v>
      </c>
      <c r="U11" s="766" t="e">
        <f t="shared" si="1"/>
        <v>#N/A</v>
      </c>
      <c r="V11" s="765" t="s">
        <v>17</v>
      </c>
      <c r="W11" s="766" t="e">
        <f t="shared" si="2"/>
        <v>#N/A</v>
      </c>
      <c r="X11" s="767"/>
      <c r="Y11" s="3053"/>
      <c r="Z11" s="55" t="str">
        <f t="shared" si="7"/>
        <v>容积率</v>
      </c>
      <c r="AA11" s="768" t="e">
        <f t="shared" si="3"/>
        <v>#N/A</v>
      </c>
      <c r="AB11" s="768" t="e">
        <f t="shared" si="4"/>
        <v>#N/A</v>
      </c>
      <c r="AC11" s="2669" t="e">
        <f t="shared" si="5"/>
        <v>#N/A</v>
      </c>
    </row>
    <row r="12" spans="1:29" s="115" customFormat="1" ht="15">
      <c r="A12" s="426"/>
      <c r="B12" s="2598">
        <v>111</v>
      </c>
      <c r="C12" s="427"/>
      <c r="D12" s="428">
        <v>100</v>
      </c>
      <c r="E12" s="427"/>
      <c r="F12" s="133">
        <f>SUMIF(71:71,E12,72:72)-SUMIF(71:71,C12,72:72)+100</f>
        <v>100</v>
      </c>
      <c r="G12" s="2670"/>
      <c r="H12" s="133">
        <f>SUMIF(71:71,G12,72:72)-SUMIF(71:71,C12,72:72)+100</f>
        <v>100</v>
      </c>
      <c r="I12" s="427"/>
      <c r="J12" s="133">
        <f>SUMIF(71:71,I12,72:72)-SUMIF(71:71,C12,72:72)+100</f>
        <v>100</v>
      </c>
      <c r="K12" s="608"/>
      <c r="L12" s="1130"/>
      <c r="M12" s="1131"/>
      <c r="N12" s="1131"/>
      <c r="O12" s="1131"/>
      <c r="P12" s="3216"/>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2669">
        <f>D12/J12</f>
        <v>1</v>
      </c>
    </row>
    <row r="13" spans="1:29" ht="15">
      <c r="A13" s="423"/>
      <c r="B13" s="2598">
        <v>111</v>
      </c>
      <c r="C13" s="429"/>
      <c r="D13" s="430">
        <v>100</v>
      </c>
      <c r="E13" s="427"/>
      <c r="F13" s="133">
        <f>SUMIF(73:73,E13,74:74)-SUMIF(73:73,C13,74:74)+100</f>
        <v>100</v>
      </c>
      <c r="G13" s="2670"/>
      <c r="H13" s="430">
        <f>SUMIF(73:73,G13,74:74)-SUMIF(73:73,C13,74:74)+100</f>
        <v>100</v>
      </c>
      <c r="I13" s="427"/>
      <c r="J13" s="430">
        <f>SUMIF(73:73,I13,74:74)-SUMIF(73:73,C13,74:74)+100</f>
        <v>100</v>
      </c>
      <c r="K13" s="608"/>
      <c r="L13" s="1138"/>
      <c r="M13" s="1129"/>
      <c r="N13" s="1129"/>
      <c r="O13" s="1129"/>
      <c r="P13" s="3216"/>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2669">
        <f t="shared" si="5"/>
        <v>1</v>
      </c>
    </row>
    <row r="14" spans="1:29" ht="15.75" thickBot="1">
      <c r="A14" s="431"/>
      <c r="B14" s="2600">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216"/>
      <c r="Q14" s="1793">
        <f t="shared" si="6"/>
        <v>111</v>
      </c>
      <c r="R14" s="765" t="s">
        <v>17</v>
      </c>
      <c r="S14" s="766">
        <f t="shared" si="0"/>
        <v>100</v>
      </c>
      <c r="T14" s="765" t="s">
        <v>17</v>
      </c>
      <c r="U14" s="766">
        <f t="shared" si="1"/>
        <v>100</v>
      </c>
      <c r="V14" s="765" t="s">
        <v>17</v>
      </c>
      <c r="W14" s="766">
        <f t="shared" si="2"/>
        <v>100</v>
      </c>
      <c r="X14" s="767"/>
      <c r="Y14" s="3053"/>
      <c r="Z14" s="55">
        <f t="shared" si="7"/>
        <v>111</v>
      </c>
      <c r="AA14" s="768">
        <f t="shared" si="3"/>
        <v>1</v>
      </c>
      <c r="AB14" s="768">
        <f t="shared" si="4"/>
        <v>1</v>
      </c>
      <c r="AC14" s="2669">
        <f t="shared" si="5"/>
        <v>1</v>
      </c>
    </row>
    <row r="15" spans="1:29" ht="15">
      <c r="A15" s="435" t="s">
        <v>2537</v>
      </c>
      <c r="B15" s="624" t="s">
        <v>2665</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307" t="s">
        <v>2538</v>
      </c>
      <c r="Q15" s="1808" t="str">
        <f t="shared" si="6"/>
        <v>办公集聚程度</v>
      </c>
      <c r="R15" s="769" t="s">
        <v>17</v>
      </c>
      <c r="S15" s="770">
        <f t="shared" si="0"/>
        <v>100</v>
      </c>
      <c r="T15" s="769" t="s">
        <v>17</v>
      </c>
      <c r="U15" s="770">
        <f t="shared" si="1"/>
        <v>100</v>
      </c>
      <c r="V15" s="769" t="s">
        <v>17</v>
      </c>
      <c r="W15" s="770">
        <f t="shared" si="2"/>
        <v>100</v>
      </c>
      <c r="X15" s="1811"/>
      <c r="Y15" s="3219" t="s">
        <v>2538</v>
      </c>
      <c r="Z15" s="1812" t="str">
        <f t="shared" si="7"/>
        <v>办公集聚程度</v>
      </c>
      <c r="AA15" s="1809">
        <f t="shared" si="3"/>
        <v>1</v>
      </c>
      <c r="AB15" s="1809">
        <f t="shared" si="4"/>
        <v>1</v>
      </c>
      <c r="AC15" s="2672">
        <f t="shared" si="5"/>
        <v>1</v>
      </c>
    </row>
    <row r="16" spans="1:29" ht="15">
      <c r="A16" s="423"/>
      <c r="B16" s="625"/>
      <c r="C16" s="2609"/>
      <c r="D16" s="443"/>
      <c r="E16" s="442"/>
      <c r="F16" s="443"/>
      <c r="G16" s="2609"/>
      <c r="H16" s="445"/>
      <c r="I16" s="442"/>
      <c r="J16" s="443"/>
      <c r="K16" s="610"/>
      <c r="L16" s="1138"/>
      <c r="M16" s="1129"/>
      <c r="N16" s="1129"/>
      <c r="O16" s="1129"/>
      <c r="P16" s="3308"/>
      <c r="Q16" s="1808"/>
      <c r="R16" s="769"/>
      <c r="S16" s="770"/>
      <c r="T16" s="769"/>
      <c r="U16" s="770"/>
      <c r="V16" s="769"/>
      <c r="W16" s="770"/>
      <c r="X16" s="1811"/>
      <c r="Y16" s="3220"/>
      <c r="Z16" s="1812"/>
      <c r="AA16" s="1809">
        <v>1</v>
      </c>
      <c r="AB16" s="1809">
        <v>1</v>
      </c>
      <c r="AC16" s="2672">
        <v>1</v>
      </c>
    </row>
    <row r="17" spans="1:29" ht="15">
      <c r="A17" s="423"/>
      <c r="B17" s="626" t="s">
        <v>2082</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308"/>
      <c r="Q17" s="1808" t="str">
        <f>B17</f>
        <v>交通便捷度</v>
      </c>
      <c r="R17" s="769" t="s">
        <v>17</v>
      </c>
      <c r="S17" s="770">
        <f>F17</f>
        <v>100</v>
      </c>
      <c r="T17" s="769" t="s">
        <v>17</v>
      </c>
      <c r="U17" s="770">
        <f>H17</f>
        <v>100</v>
      </c>
      <c r="V17" s="769" t="s">
        <v>17</v>
      </c>
      <c r="W17" s="770">
        <f>J17</f>
        <v>100</v>
      </c>
      <c r="X17" s="1811"/>
      <c r="Y17" s="3220"/>
      <c r="Z17" s="1812" t="str">
        <f>Q17</f>
        <v>交通便捷度</v>
      </c>
      <c r="AA17" s="1809">
        <f t="shared" si="3"/>
        <v>1</v>
      </c>
      <c r="AB17" s="1809">
        <f t="shared" si="4"/>
        <v>1</v>
      </c>
      <c r="AC17" s="2672">
        <f t="shared" si="5"/>
        <v>1</v>
      </c>
    </row>
    <row r="18" spans="1:29" ht="15">
      <c r="A18" s="423"/>
      <c r="B18" s="627"/>
      <c r="C18" s="2674"/>
      <c r="D18" s="445"/>
      <c r="E18" s="2607"/>
      <c r="F18" s="445"/>
      <c r="G18" s="2608"/>
      <c r="H18" s="443"/>
      <c r="I18" s="2608"/>
      <c r="J18" s="443"/>
      <c r="K18" s="610"/>
      <c r="L18" s="1138"/>
      <c r="M18" s="1129"/>
      <c r="N18" s="1129"/>
      <c r="O18" s="1129"/>
      <c r="P18" s="3308"/>
      <c r="Q18" s="1808"/>
      <c r="R18" s="769"/>
      <c r="S18" s="770"/>
      <c r="T18" s="769"/>
      <c r="U18" s="770"/>
      <c r="V18" s="769"/>
      <c r="W18" s="770"/>
      <c r="X18" s="1811"/>
      <c r="Y18" s="3220"/>
      <c r="Z18" s="1812"/>
      <c r="AA18" s="1809">
        <v>1</v>
      </c>
      <c r="AB18" s="1809">
        <v>1</v>
      </c>
      <c r="AC18" s="2672">
        <v>1</v>
      </c>
    </row>
    <row r="19" spans="1:29" ht="15">
      <c r="A19" s="423"/>
      <c r="B19" s="626" t="s">
        <v>2666</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308"/>
      <c r="Q19" s="1808" t="str">
        <f>B19</f>
        <v>公共配套设施</v>
      </c>
      <c r="R19" s="769" t="s">
        <v>17</v>
      </c>
      <c r="S19" s="770">
        <f>F19</f>
        <v>100</v>
      </c>
      <c r="T19" s="769" t="s">
        <v>17</v>
      </c>
      <c r="U19" s="770">
        <f>H19</f>
        <v>100</v>
      </c>
      <c r="V19" s="769" t="s">
        <v>17</v>
      </c>
      <c r="W19" s="770">
        <f>J19</f>
        <v>100</v>
      </c>
      <c r="X19" s="1811"/>
      <c r="Y19" s="3220"/>
      <c r="Z19" s="1812" t="str">
        <f>Q19</f>
        <v>公共配套设施</v>
      </c>
      <c r="AA19" s="1809">
        <f t="shared" si="3"/>
        <v>1</v>
      </c>
      <c r="AB19" s="1809">
        <f t="shared" si="4"/>
        <v>1</v>
      </c>
      <c r="AC19" s="2672">
        <f t="shared" si="5"/>
        <v>1</v>
      </c>
    </row>
    <row r="20" spans="1:29" ht="15">
      <c r="A20" s="423"/>
      <c r="B20" s="627"/>
      <c r="C20" s="2609"/>
      <c r="D20" s="443"/>
      <c r="E20" s="2602"/>
      <c r="F20" s="443"/>
      <c r="G20" s="2603"/>
      <c r="H20" s="443"/>
      <c r="I20" s="2603"/>
      <c r="J20" s="443"/>
      <c r="K20" s="610"/>
      <c r="L20" s="1138"/>
      <c r="M20" s="1129"/>
      <c r="N20" s="1129"/>
      <c r="O20" s="1129"/>
      <c r="P20" s="3308"/>
      <c r="Q20" s="1808"/>
      <c r="R20" s="769"/>
      <c r="S20" s="770"/>
      <c r="T20" s="769"/>
      <c r="U20" s="770"/>
      <c r="V20" s="769"/>
      <c r="W20" s="770"/>
      <c r="X20" s="1811"/>
      <c r="Y20" s="3220"/>
      <c r="Z20" s="1812"/>
      <c r="AA20" s="1809">
        <v>1</v>
      </c>
      <c r="AB20" s="1809">
        <v>1</v>
      </c>
      <c r="AC20" s="2672">
        <v>1</v>
      </c>
    </row>
    <row r="21" spans="1:29" ht="15">
      <c r="A21" s="423"/>
      <c r="B21" s="628" t="s">
        <v>2667</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20"/>
      <c r="Z21" s="1812" t="str">
        <f>Q21</f>
        <v>基础设施水平</v>
      </c>
      <c r="AA21" s="1809">
        <f t="shared" ref="AA21" si="8">D21/F21</f>
        <v>1</v>
      </c>
      <c r="AB21" s="1809">
        <f t="shared" ref="AB21" si="9">D21/H21</f>
        <v>1</v>
      </c>
      <c r="AC21" s="2672">
        <f t="shared" ref="AC21" si="10">D21/J21</f>
        <v>1</v>
      </c>
    </row>
    <row r="22" spans="1:29" ht="15">
      <c r="A22" s="423"/>
      <c r="B22" s="628"/>
      <c r="C22" s="2674"/>
      <c r="D22" s="443"/>
      <c r="E22" s="442"/>
      <c r="F22" s="443"/>
      <c r="G22" s="2609"/>
      <c r="H22" s="443"/>
      <c r="I22" s="2609"/>
      <c r="J22" s="443"/>
      <c r="K22" s="1381"/>
      <c r="L22" s="1138"/>
      <c r="M22" s="1129"/>
      <c r="N22" s="1129"/>
      <c r="O22" s="1129"/>
      <c r="P22" s="3308"/>
      <c r="Q22" s="1808"/>
      <c r="R22" s="769"/>
      <c r="S22" s="770"/>
      <c r="T22" s="769"/>
      <c r="U22" s="770"/>
      <c r="V22" s="769"/>
      <c r="W22" s="770"/>
      <c r="X22" s="1811"/>
      <c r="Y22" s="3220"/>
      <c r="Z22" s="1812"/>
      <c r="AA22" s="1809">
        <v>1</v>
      </c>
      <c r="AB22" s="1809">
        <v>1</v>
      </c>
      <c r="AC22" s="2672">
        <v>1</v>
      </c>
    </row>
    <row r="23" spans="1:29" ht="15">
      <c r="A23" s="423"/>
      <c r="B23" s="626" t="s">
        <v>2668</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308"/>
      <c r="Q23" s="1808" t="str">
        <f>B23</f>
        <v>环境质量</v>
      </c>
      <c r="R23" s="769" t="s">
        <v>17</v>
      </c>
      <c r="S23" s="770">
        <f>F23</f>
        <v>100</v>
      </c>
      <c r="T23" s="769" t="s">
        <v>17</v>
      </c>
      <c r="U23" s="770">
        <f>H23</f>
        <v>100</v>
      </c>
      <c r="V23" s="769" t="s">
        <v>17</v>
      </c>
      <c r="W23" s="770">
        <f>J23</f>
        <v>100</v>
      </c>
      <c r="X23" s="1811"/>
      <c r="Y23" s="3220"/>
      <c r="Z23" s="1812" t="str">
        <f>Q23</f>
        <v>环境质量</v>
      </c>
      <c r="AA23" s="1809">
        <f t="shared" si="3"/>
        <v>1</v>
      </c>
      <c r="AB23" s="1809">
        <f t="shared" si="4"/>
        <v>1</v>
      </c>
      <c r="AC23" s="2672">
        <f t="shared" si="5"/>
        <v>1</v>
      </c>
    </row>
    <row r="24" spans="1:29" ht="15">
      <c r="A24" s="423"/>
      <c r="B24" s="628"/>
      <c r="C24" s="2609"/>
      <c r="D24" s="443"/>
      <c r="E24" s="2602"/>
      <c r="F24" s="443"/>
      <c r="G24" s="2603"/>
      <c r="H24" s="443"/>
      <c r="I24" s="2603"/>
      <c r="J24" s="443"/>
      <c r="K24" s="610"/>
      <c r="L24" s="1138"/>
      <c r="M24" s="1129"/>
      <c r="N24" s="1129"/>
      <c r="O24" s="1129"/>
      <c r="P24" s="3308"/>
      <c r="Q24" s="1808"/>
      <c r="R24" s="769"/>
      <c r="S24" s="770"/>
      <c r="T24" s="769"/>
      <c r="U24" s="770"/>
      <c r="V24" s="769"/>
      <c r="W24" s="770"/>
      <c r="X24" s="1811"/>
      <c r="Y24" s="3220"/>
      <c r="Z24" s="1812"/>
      <c r="AA24" s="1809">
        <v>1</v>
      </c>
      <c r="AB24" s="1809">
        <v>1</v>
      </c>
      <c r="AC24" s="2672">
        <v>1</v>
      </c>
    </row>
    <row r="25" spans="1:29" ht="27">
      <c r="A25" s="399"/>
      <c r="B25" s="626" t="s">
        <v>2669</v>
      </c>
      <c r="C25" s="2613"/>
      <c r="D25" s="430">
        <v>100</v>
      </c>
      <c r="E25" s="429"/>
      <c r="F25" s="430">
        <f>SUMIF(87:87,E26,88:88)-SUMIF(87:87,C26,88:88)+100</f>
        <v>100</v>
      </c>
      <c r="G25" s="2613"/>
      <c r="H25" s="430">
        <f>SUMIF(87:87,G26,88:88)-SUMIF(87:87,C26,88:88)+100</f>
        <v>100</v>
      </c>
      <c r="I25" s="429"/>
      <c r="J25" s="430">
        <f>SUMIF(87:87,I26,88:88)-SUMIF(87:87,C26,88:88)+100</f>
        <v>100</v>
      </c>
      <c r="K25" s="609"/>
      <c r="L25" s="1138"/>
      <c r="M25" s="1129"/>
      <c r="N25" s="1129"/>
      <c r="O25" s="1129"/>
      <c r="P25" s="3308"/>
      <c r="Q25" s="1808" t="str">
        <f>B25</f>
        <v>毗邻道路的类型与等级</v>
      </c>
      <c r="R25" s="769" t="s">
        <v>17</v>
      </c>
      <c r="S25" s="770">
        <f>F25</f>
        <v>100</v>
      </c>
      <c r="T25" s="769" t="s">
        <v>17</v>
      </c>
      <c r="U25" s="770">
        <f>H25</f>
        <v>100</v>
      </c>
      <c r="V25" s="769" t="s">
        <v>17</v>
      </c>
      <c r="W25" s="770">
        <f>J25</f>
        <v>100</v>
      </c>
      <c r="X25" s="1811"/>
      <c r="Y25" s="3220"/>
      <c r="Z25" s="1812" t="str">
        <f>Q25</f>
        <v>毗邻道路的类型与等级</v>
      </c>
      <c r="AA25" s="1809">
        <f t="shared" si="3"/>
        <v>1</v>
      </c>
      <c r="AB25" s="1809">
        <f t="shared" si="4"/>
        <v>1</v>
      </c>
      <c r="AC25" s="2672">
        <f t="shared" si="5"/>
        <v>1</v>
      </c>
    </row>
    <row r="26" spans="1:29" ht="15">
      <c r="A26" s="399"/>
      <c r="B26" s="627"/>
      <c r="C26" s="629"/>
      <c r="D26" s="430"/>
      <c r="E26" s="611"/>
      <c r="F26" s="430"/>
      <c r="G26" s="629"/>
      <c r="H26" s="430"/>
      <c r="I26" s="611"/>
      <c r="J26" s="430"/>
      <c r="K26" s="610"/>
      <c r="L26" s="1138"/>
      <c r="M26" s="1129"/>
      <c r="N26" s="1129"/>
      <c r="O26" s="1129"/>
      <c r="P26" s="3308"/>
      <c r="Q26" s="1808"/>
      <c r="R26" s="769"/>
      <c r="S26" s="770"/>
      <c r="T26" s="769"/>
      <c r="U26" s="770"/>
      <c r="V26" s="769"/>
      <c r="W26" s="770"/>
      <c r="X26" s="1811"/>
      <c r="Y26" s="3220"/>
      <c r="Z26" s="1812"/>
      <c r="AA26" s="1809">
        <v>1</v>
      </c>
      <c r="AB26" s="1809">
        <v>1</v>
      </c>
      <c r="AC26" s="2672">
        <v>1</v>
      </c>
    </row>
    <row r="27" spans="1:29" ht="15">
      <c r="A27" s="423"/>
      <c r="B27" s="627" t="s">
        <v>2637</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308"/>
      <c r="Q27" s="1808" t="str">
        <f t="shared" ref="Q27:Q47" si="11">B27</f>
        <v>楼层</v>
      </c>
      <c r="R27" s="769" t="s">
        <v>17</v>
      </c>
      <c r="S27" s="770">
        <f>F27</f>
        <v>100</v>
      </c>
      <c r="T27" s="769" t="s">
        <v>17</v>
      </c>
      <c r="U27" s="770">
        <f>H27</f>
        <v>100</v>
      </c>
      <c r="V27" s="769" t="s">
        <v>17</v>
      </c>
      <c r="W27" s="770">
        <f>J27</f>
        <v>100</v>
      </c>
      <c r="X27" s="1811"/>
      <c r="Y27" s="3220"/>
      <c r="Z27" s="1812" t="str">
        <f>Q27</f>
        <v>楼层</v>
      </c>
      <c r="AA27" s="1809">
        <f t="shared" si="3"/>
        <v>1</v>
      </c>
      <c r="AB27" s="1809">
        <f t="shared" si="4"/>
        <v>1</v>
      </c>
      <c r="AC27" s="2672">
        <f t="shared" si="5"/>
        <v>1</v>
      </c>
    </row>
    <row r="28" spans="1:29" s="115" customFormat="1" ht="15">
      <c r="A28" s="426"/>
      <c r="B28" s="626" t="s">
        <v>2670</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308"/>
      <c r="Q28" s="1793" t="str">
        <f t="shared" si="11"/>
        <v>朝向</v>
      </c>
      <c r="R28" s="765" t="s">
        <v>17</v>
      </c>
      <c r="S28" s="766">
        <f>F28</f>
        <v>100</v>
      </c>
      <c r="T28" s="765" t="s">
        <v>17</v>
      </c>
      <c r="U28" s="766">
        <f>H28</f>
        <v>100</v>
      </c>
      <c r="V28" s="765" t="s">
        <v>17</v>
      </c>
      <c r="W28" s="766">
        <f>J28</f>
        <v>100</v>
      </c>
      <c r="X28" s="767"/>
      <c r="Y28" s="3220"/>
      <c r="Z28" s="55" t="str">
        <f>Q28</f>
        <v>朝向</v>
      </c>
      <c r="AA28" s="1809">
        <f>D28/F28</f>
        <v>1</v>
      </c>
      <c r="AB28" s="1809">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308"/>
      <c r="Q29" s="1808">
        <f t="shared" si="11"/>
        <v>111</v>
      </c>
      <c r="R29" s="769" t="s">
        <v>17</v>
      </c>
      <c r="S29" s="770">
        <f t="shared" ref="S29:S47" si="12">F29</f>
        <v>100</v>
      </c>
      <c r="T29" s="769" t="s">
        <v>17</v>
      </c>
      <c r="U29" s="770">
        <f t="shared" ref="U29:U47" si="13">H29</f>
        <v>100</v>
      </c>
      <c r="V29" s="769" t="s">
        <v>17</v>
      </c>
      <c r="W29" s="770">
        <f t="shared" ref="W29:W47" si="14">J29</f>
        <v>100</v>
      </c>
      <c r="X29" s="1811"/>
      <c r="Y29" s="3220"/>
      <c r="Z29" s="1812">
        <f t="shared" ref="Z29:Z47" si="15">Q29</f>
        <v>111</v>
      </c>
      <c r="AA29" s="1809">
        <f t="shared" si="3"/>
        <v>1</v>
      </c>
      <c r="AB29" s="1809">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308"/>
      <c r="Q30" s="1808">
        <f t="shared" si="11"/>
        <v>111</v>
      </c>
      <c r="R30" s="769" t="s">
        <v>17</v>
      </c>
      <c r="S30" s="770">
        <f t="shared" si="12"/>
        <v>100</v>
      </c>
      <c r="T30" s="769" t="s">
        <v>17</v>
      </c>
      <c r="U30" s="770">
        <f t="shared" si="13"/>
        <v>100</v>
      </c>
      <c r="V30" s="769" t="s">
        <v>17</v>
      </c>
      <c r="W30" s="770">
        <f t="shared" si="14"/>
        <v>100</v>
      </c>
      <c r="X30" s="1811"/>
      <c r="Y30" s="3220"/>
      <c r="Z30" s="1812">
        <f t="shared" si="15"/>
        <v>111</v>
      </c>
      <c r="AA30" s="1809">
        <f t="shared" si="3"/>
        <v>1</v>
      </c>
      <c r="AB30" s="1809">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308"/>
      <c r="Q31" s="1808">
        <f t="shared" si="11"/>
        <v>111</v>
      </c>
      <c r="R31" s="769" t="s">
        <v>17</v>
      </c>
      <c r="S31" s="770">
        <f t="shared" si="12"/>
        <v>100</v>
      </c>
      <c r="T31" s="769" t="s">
        <v>17</v>
      </c>
      <c r="U31" s="770">
        <f t="shared" si="13"/>
        <v>100</v>
      </c>
      <c r="V31" s="769" t="s">
        <v>17</v>
      </c>
      <c r="W31" s="770">
        <f t="shared" si="14"/>
        <v>100</v>
      </c>
      <c r="X31" s="1811"/>
      <c r="Y31" s="3220"/>
      <c r="Z31" s="1812">
        <f t="shared" si="15"/>
        <v>111</v>
      </c>
      <c r="AA31" s="1809">
        <f t="shared" si="3"/>
        <v>1</v>
      </c>
      <c r="AB31" s="1809">
        <f t="shared" si="4"/>
        <v>1</v>
      </c>
      <c r="AC31" s="2672">
        <f t="shared" si="5"/>
        <v>1</v>
      </c>
    </row>
    <row r="32" spans="1:29" ht="15.75" thickBot="1">
      <c r="A32" s="431"/>
      <c r="B32" s="630">
        <v>111</v>
      </c>
      <c r="C32" s="2614"/>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308"/>
      <c r="Q32" s="1808">
        <f t="shared" si="11"/>
        <v>111</v>
      </c>
      <c r="R32" s="769" t="s">
        <v>17</v>
      </c>
      <c r="S32" s="770">
        <f t="shared" si="12"/>
        <v>100</v>
      </c>
      <c r="T32" s="769" t="s">
        <v>17</v>
      </c>
      <c r="U32" s="770">
        <f t="shared" si="13"/>
        <v>100</v>
      </c>
      <c r="V32" s="769" t="s">
        <v>17</v>
      </c>
      <c r="W32" s="770">
        <f t="shared" si="14"/>
        <v>100</v>
      </c>
      <c r="X32" s="1811"/>
      <c r="Y32" s="3220"/>
      <c r="Z32" s="1812">
        <f t="shared" si="15"/>
        <v>111</v>
      </c>
      <c r="AA32" s="1809">
        <f t="shared" si="3"/>
        <v>1</v>
      </c>
      <c r="AB32" s="1809">
        <f t="shared" si="4"/>
        <v>1</v>
      </c>
      <c r="AC32" s="2672">
        <f t="shared" si="5"/>
        <v>1</v>
      </c>
    </row>
    <row r="33" spans="1:29" ht="15">
      <c r="A33" s="435" t="s">
        <v>2541</v>
      </c>
      <c r="B33" s="71" t="s">
        <v>2671</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303" t="s">
        <v>2543</v>
      </c>
      <c r="Q33" s="1808" t="str">
        <f t="shared" si="11"/>
        <v>建筑类型</v>
      </c>
      <c r="R33" s="769" t="s">
        <v>17</v>
      </c>
      <c r="S33" s="770">
        <f t="shared" si="12"/>
        <v>100</v>
      </c>
      <c r="T33" s="769" t="s">
        <v>17</v>
      </c>
      <c r="U33" s="770">
        <f t="shared" si="13"/>
        <v>100</v>
      </c>
      <c r="V33" s="769" t="s">
        <v>17</v>
      </c>
      <c r="W33" s="770">
        <f t="shared" si="14"/>
        <v>100</v>
      </c>
      <c r="X33" s="1811"/>
      <c r="Y33" s="3222" t="s">
        <v>2543</v>
      </c>
      <c r="Z33" s="1812" t="str">
        <f t="shared" si="15"/>
        <v>建筑类型</v>
      </c>
      <c r="AA33" s="1809">
        <f t="shared" si="3"/>
        <v>1</v>
      </c>
      <c r="AB33" s="1809">
        <f t="shared" si="4"/>
        <v>1</v>
      </c>
      <c r="AC33" s="2672">
        <f t="shared" si="5"/>
        <v>1</v>
      </c>
    </row>
    <row r="34" spans="1:29" s="466" customFormat="1" ht="15">
      <c r="A34" s="463"/>
      <c r="B34" s="417" t="s">
        <v>2544</v>
      </c>
      <c r="C34" s="464"/>
      <c r="D34" s="133">
        <v>100</v>
      </c>
      <c r="E34" s="425"/>
      <c r="F34" s="420" t="e">
        <f>LOOKUP(E34,104:104,105:105)-LOOKUP(C34,104:104,105:105)+100</f>
        <v>#N/A</v>
      </c>
      <c r="G34" s="424"/>
      <c r="H34" s="133" t="e">
        <f>LOOKUP(G34,104:104,105:105)-LOOKUP(C34,104:104,105:105)+100</f>
        <v>#N/A</v>
      </c>
      <c r="I34" s="424"/>
      <c r="J34" s="133" t="e">
        <f>LOOKUP(I34,104:104,105:105)-LOOKUP(C34,104:104,105:105)+100</f>
        <v>#N/A</v>
      </c>
      <c r="K34" s="608"/>
      <c r="L34" s="1136"/>
      <c r="M34" s="1139"/>
      <c r="N34" s="1139"/>
      <c r="O34" s="1139"/>
      <c r="P34" s="3304"/>
      <c r="Q34" s="771" t="str">
        <f t="shared" si="11"/>
        <v>项目建筑规模</v>
      </c>
      <c r="R34" s="772" t="s">
        <v>17</v>
      </c>
      <c r="S34" s="773" t="e">
        <f t="shared" si="12"/>
        <v>#N/A</v>
      </c>
      <c r="T34" s="772" t="s">
        <v>17</v>
      </c>
      <c r="U34" s="773" t="e">
        <f t="shared" si="13"/>
        <v>#N/A</v>
      </c>
      <c r="V34" s="772" t="s">
        <v>17</v>
      </c>
      <c r="W34" s="773" t="e">
        <f t="shared" si="14"/>
        <v>#N/A</v>
      </c>
      <c r="X34" s="774"/>
      <c r="Y34" s="3222"/>
      <c r="Z34" s="775" t="str">
        <f t="shared" si="15"/>
        <v>项目建筑规模</v>
      </c>
      <c r="AA34" s="1809" t="e">
        <f t="shared" si="3"/>
        <v>#N/A</v>
      </c>
      <c r="AB34" s="1809" t="e">
        <f t="shared" si="4"/>
        <v>#N/A</v>
      </c>
      <c r="AC34" s="2672" t="e">
        <f t="shared" si="5"/>
        <v>#N/A</v>
      </c>
    </row>
    <row r="35" spans="1:29" ht="15">
      <c r="A35" s="467"/>
      <c r="B35" s="417" t="s">
        <v>2545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304"/>
      <c r="Q35" s="1808" t="str">
        <f t="shared" si="11"/>
        <v>建筑结构</v>
      </c>
      <c r="R35" s="769" t="s">
        <v>17</v>
      </c>
      <c r="S35" s="770">
        <f t="shared" si="12"/>
        <v>100</v>
      </c>
      <c r="T35" s="769" t="s">
        <v>17</v>
      </c>
      <c r="U35" s="770">
        <f t="shared" si="13"/>
        <v>100</v>
      </c>
      <c r="V35" s="769" t="s">
        <v>17</v>
      </c>
      <c r="W35" s="770">
        <f t="shared" si="14"/>
        <v>100</v>
      </c>
      <c r="X35" s="1811"/>
      <c r="Y35" s="3222"/>
      <c r="Z35" s="1812" t="str">
        <f t="shared" si="15"/>
        <v>建筑结构</v>
      </c>
      <c r="AA35" s="1809">
        <f t="shared" si="3"/>
        <v>1</v>
      </c>
      <c r="AB35" s="1809">
        <f t="shared" si="4"/>
        <v>1</v>
      </c>
      <c r="AC35" s="2672">
        <f t="shared" si="5"/>
        <v>1</v>
      </c>
    </row>
    <row r="36" spans="1:29" ht="15">
      <c r="A36" s="467"/>
      <c r="B36" s="417" t="s">
        <v>2639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304"/>
      <c r="Q36" s="1808" t="str">
        <f t="shared" si="11"/>
        <v>公共部分装修</v>
      </c>
      <c r="R36" s="769" t="s">
        <v>17</v>
      </c>
      <c r="S36" s="770">
        <f t="shared" si="12"/>
        <v>100</v>
      </c>
      <c r="T36" s="769" t="s">
        <v>17</v>
      </c>
      <c r="U36" s="770">
        <f t="shared" si="13"/>
        <v>100</v>
      </c>
      <c r="V36" s="769" t="s">
        <v>17</v>
      </c>
      <c r="W36" s="770">
        <f t="shared" si="14"/>
        <v>100</v>
      </c>
      <c r="X36" s="1811"/>
      <c r="Y36" s="3222"/>
      <c r="Z36" s="1812" t="str">
        <f t="shared" si="15"/>
        <v>公共部分装修</v>
      </c>
      <c r="AA36" s="1809">
        <f t="shared" si="3"/>
        <v>1</v>
      </c>
      <c r="AB36" s="1809">
        <f t="shared" si="4"/>
        <v>1</v>
      </c>
      <c r="AC36" s="2672">
        <f t="shared" si="5"/>
        <v>1</v>
      </c>
    </row>
    <row r="37" spans="1:29" ht="15">
      <c r="A37" s="467"/>
      <c r="B37" s="417" t="s">
        <v>2640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304"/>
      <c r="Q37" s="1808" t="str">
        <f t="shared" si="11"/>
        <v>成新度</v>
      </c>
      <c r="R37" s="769" t="s">
        <v>17</v>
      </c>
      <c r="S37" s="770" t="e">
        <f t="shared" si="12"/>
        <v>#N/A</v>
      </c>
      <c r="T37" s="769" t="s">
        <v>17</v>
      </c>
      <c r="U37" s="770" t="e">
        <f t="shared" si="13"/>
        <v>#N/A</v>
      </c>
      <c r="V37" s="769" t="s">
        <v>17</v>
      </c>
      <c r="W37" s="770" t="e">
        <f t="shared" si="14"/>
        <v>#N/A</v>
      </c>
      <c r="X37" s="1811"/>
      <c r="Y37" s="3222"/>
      <c r="Z37" s="1812" t="str">
        <f t="shared" si="15"/>
        <v>成新度</v>
      </c>
      <c r="AA37" s="1809" t="e">
        <f t="shared" si="3"/>
        <v>#N/A</v>
      </c>
      <c r="AB37" s="1809" t="e">
        <f t="shared" si="4"/>
        <v>#N/A</v>
      </c>
      <c r="AC37" s="2672" t="e">
        <f t="shared" si="5"/>
        <v>#N/A</v>
      </c>
    </row>
    <row r="38" spans="1:29" s="115" customFormat="1" ht="15">
      <c r="A38" s="468"/>
      <c r="B38" s="417" t="s">
        <v>2672</v>
      </c>
      <c r="C38" s="455"/>
      <c r="D38" s="133">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304"/>
      <c r="Q38" s="1793" t="str">
        <f t="shared" si="11"/>
        <v>写字楼等级</v>
      </c>
      <c r="R38" s="765" t="s">
        <v>17</v>
      </c>
      <c r="S38" s="766">
        <f t="shared" si="12"/>
        <v>100</v>
      </c>
      <c r="T38" s="765" t="s">
        <v>17</v>
      </c>
      <c r="U38" s="766">
        <f t="shared" si="13"/>
        <v>100</v>
      </c>
      <c r="V38" s="765" t="s">
        <v>17</v>
      </c>
      <c r="W38" s="766">
        <f t="shared" si="14"/>
        <v>100</v>
      </c>
      <c r="X38" s="767"/>
      <c r="Y38" s="3222"/>
      <c r="Z38" s="55" t="str">
        <f t="shared" si="15"/>
        <v>写字楼等级</v>
      </c>
      <c r="AA38" s="768">
        <f t="shared" si="3"/>
        <v>1</v>
      </c>
      <c r="AB38" s="768">
        <f t="shared" si="4"/>
        <v>1</v>
      </c>
      <c r="AC38" s="2669">
        <f t="shared" si="5"/>
        <v>1</v>
      </c>
    </row>
    <row r="39" spans="1:29" ht="15">
      <c r="A39" s="467"/>
      <c r="B39" s="417" t="s">
        <v>2673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304" t="s">
        <v>2543</v>
      </c>
      <c r="Q39" s="1808" t="str">
        <f t="shared" si="11"/>
        <v>物业管理</v>
      </c>
      <c r="R39" s="769" t="s">
        <v>17</v>
      </c>
      <c r="S39" s="770">
        <f t="shared" si="12"/>
        <v>100</v>
      </c>
      <c r="T39" s="769" t="s">
        <v>17</v>
      </c>
      <c r="U39" s="770">
        <f t="shared" si="13"/>
        <v>100</v>
      </c>
      <c r="V39" s="769" t="s">
        <v>17</v>
      </c>
      <c r="W39" s="770">
        <f t="shared" si="14"/>
        <v>100</v>
      </c>
      <c r="X39" s="1811"/>
      <c r="Y39" s="3222" t="s">
        <v>2543</v>
      </c>
      <c r="Z39" s="1812" t="str">
        <f t="shared" si="15"/>
        <v>物业管理</v>
      </c>
      <c r="AA39" s="1809">
        <f t="shared" si="3"/>
        <v>1</v>
      </c>
      <c r="AB39" s="1809">
        <f t="shared" si="4"/>
        <v>1</v>
      </c>
      <c r="AC39" s="2672">
        <f t="shared" si="5"/>
        <v>1</v>
      </c>
    </row>
    <row r="40" spans="1:29" ht="15">
      <c r="A40" s="467"/>
      <c r="B40" s="417" t="s">
        <v>2641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304"/>
      <c r="Q40" s="1808" t="str">
        <f t="shared" si="11"/>
        <v>市政基础设施</v>
      </c>
      <c r="R40" s="769" t="s">
        <v>17</v>
      </c>
      <c r="S40" s="770">
        <f t="shared" si="12"/>
        <v>100</v>
      </c>
      <c r="T40" s="769" t="s">
        <v>17</v>
      </c>
      <c r="U40" s="770">
        <f t="shared" si="13"/>
        <v>100</v>
      </c>
      <c r="V40" s="769" t="s">
        <v>17</v>
      </c>
      <c r="W40" s="770">
        <f t="shared" si="14"/>
        <v>100</v>
      </c>
      <c r="X40" s="1811"/>
      <c r="Y40" s="3222"/>
      <c r="Z40" s="1812" t="str">
        <f t="shared" si="15"/>
        <v>市政基础设施</v>
      </c>
      <c r="AA40" s="1809">
        <f t="shared" si="3"/>
        <v>1</v>
      </c>
      <c r="AB40" s="1809">
        <f t="shared" si="4"/>
        <v>1</v>
      </c>
      <c r="AC40" s="2672">
        <f t="shared" si="5"/>
        <v>1</v>
      </c>
    </row>
    <row r="41" spans="1:29" ht="15">
      <c r="A41" s="467"/>
      <c r="B41" s="417" t="s">
        <v>2643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304"/>
      <c r="Q41" s="1808" t="str">
        <f t="shared" si="11"/>
        <v>层高</v>
      </c>
      <c r="R41" s="769" t="s">
        <v>17</v>
      </c>
      <c r="S41" s="770">
        <f t="shared" si="12"/>
        <v>100</v>
      </c>
      <c r="T41" s="769" t="s">
        <v>17</v>
      </c>
      <c r="U41" s="770">
        <f t="shared" si="13"/>
        <v>100</v>
      </c>
      <c r="V41" s="769" t="s">
        <v>17</v>
      </c>
      <c r="W41" s="770">
        <f t="shared" si="14"/>
        <v>100</v>
      </c>
      <c r="X41" s="1811"/>
      <c r="Y41" s="3222"/>
      <c r="Z41" s="1812" t="str">
        <f t="shared" si="15"/>
        <v>层高</v>
      </c>
      <c r="AA41" s="1809">
        <f t="shared" si="3"/>
        <v>1</v>
      </c>
      <c r="AB41" s="1809">
        <f t="shared" si="4"/>
        <v>1</v>
      </c>
      <c r="AC41" s="2672">
        <f t="shared" si="5"/>
        <v>1</v>
      </c>
    </row>
    <row r="42" spans="1:29" s="466" customFormat="1" ht="15">
      <c r="A42" s="463"/>
      <c r="B42" s="1810" t="s">
        <v>2674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304"/>
      <c r="Q42" s="771" t="str">
        <f t="shared" si="11"/>
        <v>单套建筑面积</v>
      </c>
      <c r="R42" s="772" t="s">
        <v>17</v>
      </c>
      <c r="S42" s="773">
        <f t="shared" si="12"/>
        <v>100</v>
      </c>
      <c r="T42" s="772" t="s">
        <v>17</v>
      </c>
      <c r="U42" s="773">
        <f t="shared" si="13"/>
        <v>100</v>
      </c>
      <c r="V42" s="772" t="s">
        <v>17</v>
      </c>
      <c r="W42" s="773">
        <f t="shared" si="14"/>
        <v>100</v>
      </c>
      <c r="X42" s="774"/>
      <c r="Y42" s="3222"/>
      <c r="Z42" s="775" t="str">
        <f t="shared" si="15"/>
        <v>单套建筑面积</v>
      </c>
      <c r="AA42" s="1809">
        <f t="shared" si="3"/>
        <v>1</v>
      </c>
      <c r="AB42" s="1809">
        <f t="shared" si="4"/>
        <v>1</v>
      </c>
      <c r="AC42" s="2672">
        <f t="shared" si="5"/>
        <v>1</v>
      </c>
    </row>
    <row r="43" spans="1:29" ht="15">
      <c r="A43" s="467"/>
      <c r="B43" s="417" t="s">
        <v>2646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304"/>
      <c r="Q43" s="1808" t="str">
        <f t="shared" si="11"/>
        <v>内部装修</v>
      </c>
      <c r="R43" s="769" t="s">
        <v>17</v>
      </c>
      <c r="S43" s="770">
        <f t="shared" si="12"/>
        <v>100</v>
      </c>
      <c r="T43" s="769" t="s">
        <v>17</v>
      </c>
      <c r="U43" s="770">
        <f t="shared" si="13"/>
        <v>100</v>
      </c>
      <c r="V43" s="769" t="s">
        <v>17</v>
      </c>
      <c r="W43" s="770">
        <f t="shared" si="14"/>
        <v>100</v>
      </c>
      <c r="X43" s="1811"/>
      <c r="Y43" s="3222"/>
      <c r="Z43" s="1812" t="str">
        <f t="shared" si="15"/>
        <v>内部装修</v>
      </c>
      <c r="AA43" s="1809">
        <f t="shared" si="3"/>
        <v>1</v>
      </c>
      <c r="AB43" s="1809">
        <f t="shared" si="4"/>
        <v>1</v>
      </c>
      <c r="AC43" s="2672">
        <f t="shared" si="5"/>
        <v>1</v>
      </c>
    </row>
    <row r="44" spans="1:29" ht="15">
      <c r="A44" s="467"/>
      <c r="B44" s="417" t="s">
        <v>2554</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7"/>
      <c r="L44" s="1138"/>
      <c r="M44" s="1129"/>
      <c r="N44" s="1129"/>
      <c r="O44" s="1129"/>
      <c r="P44" s="3304"/>
      <c r="Q44" s="1808" t="str">
        <f t="shared" si="11"/>
        <v>内部装修维护情况</v>
      </c>
      <c r="R44" s="769" t="s">
        <v>17</v>
      </c>
      <c r="S44" s="770">
        <f t="shared" si="12"/>
        <v>100</v>
      </c>
      <c r="T44" s="769" t="s">
        <v>17</v>
      </c>
      <c r="U44" s="770">
        <f t="shared" si="13"/>
        <v>100</v>
      </c>
      <c r="V44" s="769" t="s">
        <v>17</v>
      </c>
      <c r="W44" s="770">
        <f t="shared" si="14"/>
        <v>100</v>
      </c>
      <c r="X44" s="1811"/>
      <c r="Y44" s="3222"/>
      <c r="Z44" s="1812" t="str">
        <f t="shared" si="15"/>
        <v>内部装修维护情况</v>
      </c>
      <c r="AA44" s="1809">
        <f t="shared" si="3"/>
        <v>1</v>
      </c>
      <c r="AB44" s="1809">
        <f t="shared" si="4"/>
        <v>1</v>
      </c>
      <c r="AC44" s="2672">
        <f t="shared" si="5"/>
        <v>1</v>
      </c>
    </row>
    <row r="45" spans="1:29" s="115" customFormat="1" ht="15">
      <c r="A45" s="468"/>
      <c r="B45" s="1384">
        <v>111</v>
      </c>
      <c r="C45" s="464"/>
      <c r="D45" s="133">
        <v>100</v>
      </c>
      <c r="E45" s="427"/>
      <c r="F45" s="420">
        <f>SUMIF(127:127,E45,128:128)-SUMIF(127:127,C45,128:128)+100</f>
        <v>100</v>
      </c>
      <c r="G45" s="427"/>
      <c r="H45" s="133">
        <f>SUMIF(127:127,G45,128:128)-SUMIF(127:127,C45,128:128)+100</f>
        <v>100</v>
      </c>
      <c r="I45" s="427"/>
      <c r="J45" s="133">
        <f>SUMIF(127:127,I45,128:128)-SUMIF(127:127,C45,128:128)+100</f>
        <v>100</v>
      </c>
      <c r="K45" s="608"/>
      <c r="L45" s="1130"/>
      <c r="M45" s="1131"/>
      <c r="N45" s="1131"/>
      <c r="O45" s="1131"/>
      <c r="P45" s="3304"/>
      <c r="Q45" s="1793">
        <f t="shared" si="11"/>
        <v>111</v>
      </c>
      <c r="R45" s="765" t="s">
        <v>17</v>
      </c>
      <c r="S45" s="766">
        <f t="shared" si="12"/>
        <v>100</v>
      </c>
      <c r="T45" s="765" t="s">
        <v>17</v>
      </c>
      <c r="U45" s="766">
        <f t="shared" si="13"/>
        <v>100</v>
      </c>
      <c r="V45" s="765" t="s">
        <v>17</v>
      </c>
      <c r="W45" s="766">
        <f t="shared" si="14"/>
        <v>100</v>
      </c>
      <c r="X45" s="767"/>
      <c r="Y45" s="3222"/>
      <c r="Z45" s="55">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304"/>
      <c r="Q46" s="1808">
        <f t="shared" si="11"/>
        <v>111</v>
      </c>
      <c r="R46" s="769" t="s">
        <v>17</v>
      </c>
      <c r="S46" s="770">
        <f t="shared" si="12"/>
        <v>100</v>
      </c>
      <c r="T46" s="769" t="s">
        <v>17</v>
      </c>
      <c r="U46" s="770">
        <f t="shared" si="13"/>
        <v>100</v>
      </c>
      <c r="V46" s="769" t="s">
        <v>17</v>
      </c>
      <c r="W46" s="770">
        <f t="shared" si="14"/>
        <v>100</v>
      </c>
      <c r="X46" s="1811"/>
      <c r="Y46" s="3222"/>
      <c r="Z46" s="1812">
        <f t="shared" si="15"/>
        <v>111</v>
      </c>
      <c r="AA46" s="1809">
        <f t="shared" si="3"/>
        <v>1</v>
      </c>
      <c r="AB46" s="1809">
        <f t="shared" si="4"/>
        <v>1</v>
      </c>
      <c r="AC46" s="2672">
        <f t="shared" si="5"/>
        <v>1</v>
      </c>
    </row>
    <row r="47" spans="1:29" ht="15.75" thickBot="1">
      <c r="A47" s="473"/>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305"/>
      <c r="Q47" s="1808">
        <f t="shared" si="11"/>
        <v>111</v>
      </c>
      <c r="R47" s="769" t="s">
        <v>17</v>
      </c>
      <c r="S47" s="770">
        <f t="shared" si="12"/>
        <v>100</v>
      </c>
      <c r="T47" s="769" t="s">
        <v>17</v>
      </c>
      <c r="U47" s="770">
        <f t="shared" si="13"/>
        <v>100</v>
      </c>
      <c r="V47" s="769" t="s">
        <v>17</v>
      </c>
      <c r="W47" s="770">
        <f t="shared" si="14"/>
        <v>100</v>
      </c>
      <c r="X47" s="1811"/>
      <c r="Y47" s="3306"/>
      <c r="Z47" s="1812">
        <f t="shared" si="15"/>
        <v>111</v>
      </c>
      <c r="AA47" s="1809">
        <f t="shared" si="3"/>
        <v>1</v>
      </c>
      <c r="AB47" s="1809">
        <f t="shared" si="4"/>
        <v>1</v>
      </c>
      <c r="AC47" s="2672">
        <f t="shared" si="5"/>
        <v>1</v>
      </c>
    </row>
    <row r="48" spans="1:29" ht="15">
      <c r="A48" s="474" t="s">
        <v>2555</v>
      </c>
      <c r="B48" s="475"/>
      <c r="C48" s="1405" t="s">
        <v>1</v>
      </c>
      <c r="D48" s="1406"/>
      <c r="E48" s="1407"/>
      <c r="F48" s="1408"/>
      <c r="G48" s="1409"/>
      <c r="H48" s="1410"/>
      <c r="I48" s="1407"/>
      <c r="J48" s="480"/>
      <c r="K48" s="778"/>
      <c r="L48" s="1141"/>
      <c r="M48" s="1129"/>
      <c r="N48" s="1129"/>
      <c r="O48" s="1129"/>
      <c r="P48" s="3216" t="str">
        <f>A48</f>
        <v>成交单价（元/平方米）</v>
      </c>
      <c r="Q48" s="3217"/>
      <c r="R48" s="3302">
        <f>E48</f>
        <v>0</v>
      </c>
      <c r="S48" s="3302"/>
      <c r="T48" s="3302">
        <f>G48</f>
        <v>0</v>
      </c>
      <c r="U48" s="3302"/>
      <c r="V48" s="3302">
        <f>I48</f>
        <v>0</v>
      </c>
      <c r="W48" s="3302"/>
      <c r="X48" s="441"/>
      <c r="Y48" s="776"/>
      <c r="Z48" s="441"/>
      <c r="AA48" s="441"/>
      <c r="AB48" s="441"/>
      <c r="AC48" s="625"/>
    </row>
    <row r="49" spans="1:29" ht="15.75" thickBot="1">
      <c r="A49" s="481" t="s">
        <v>2647</v>
      </c>
      <c r="B49" s="482"/>
      <c r="C49" s="1411" t="e">
        <f>R50</f>
        <v>#DIV/0!</v>
      </c>
      <c r="D49" s="1412"/>
      <c r="E49" s="1413" t="e">
        <f>R49</f>
        <v>#DIV/0!</v>
      </c>
      <c r="F49" s="1413"/>
      <c r="G49" s="1411" t="e">
        <f>T49</f>
        <v>#DIV/0!</v>
      </c>
      <c r="H49" s="1412"/>
      <c r="I49" s="1413" t="e">
        <f>V49</f>
        <v>#DIV/0!</v>
      </c>
      <c r="J49" s="484"/>
      <c r="K49" s="779"/>
      <c r="L49" s="1141"/>
      <c r="M49" s="1129"/>
      <c r="N49" s="1129"/>
      <c r="O49" s="1129"/>
      <c r="P49" s="3216" t="str">
        <f>A49</f>
        <v>比较价值（元/平方米）</v>
      </c>
      <c r="Q49" s="3217"/>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41"/>
      <c r="Y49" s="441"/>
      <c r="Z49" s="441"/>
      <c r="AA49" s="441"/>
      <c r="AB49" s="441"/>
      <c r="AC49" s="625"/>
    </row>
    <row r="50" spans="1:29" ht="15.75" thickBot="1">
      <c r="A50" s="487" t="s">
        <v>2648</v>
      </c>
      <c r="B50" s="488"/>
      <c r="C50" s="1415" t="e">
        <f>R50</f>
        <v>#DIV/0!</v>
      </c>
      <c r="D50" s="1415"/>
      <c r="E50" s="1415"/>
      <c r="F50" s="1415"/>
      <c r="G50" s="1415"/>
      <c r="H50" s="1415"/>
      <c r="I50" s="1415"/>
      <c r="J50" s="489"/>
      <c r="K50" s="780"/>
      <c r="L50" s="1141"/>
      <c r="M50" s="1129"/>
      <c r="N50" s="1129"/>
      <c r="O50" s="1129"/>
      <c r="P50" s="3309" t="str">
        <f>A50</f>
        <v>估价对象XX用房的比较价值（楼面单价，元/平方米）</v>
      </c>
      <c r="Q50" s="3310"/>
      <c r="R50" s="3311" t="e">
        <f>IF(F1="售价",ROUND(AVERAGE(R49:V49),0),ROUND(AVERAGE(R49:V49),1))</f>
        <v>#DIV/0!</v>
      </c>
      <c r="S50" s="3311"/>
      <c r="T50" s="3311"/>
      <c r="U50" s="3311"/>
      <c r="V50" s="3311"/>
      <c r="W50" s="3311"/>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2649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2650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2651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2652</v>
      </c>
      <c r="B58" s="754"/>
      <c r="C58" s="759"/>
      <c r="D58" s="759"/>
      <c r="E58" s="759"/>
      <c r="F58" s="760"/>
      <c r="G58" s="760"/>
      <c r="H58" s="759"/>
      <c r="I58" s="759"/>
      <c r="J58" s="759"/>
      <c r="K58" s="761"/>
      <c r="L58" s="1159"/>
      <c r="M58" s="1157"/>
      <c r="N58" s="1157"/>
      <c r="O58" s="1157"/>
      <c r="P58" s="2679"/>
      <c r="Q58" s="499"/>
    </row>
    <row r="59" spans="1:29" s="503" customFormat="1" ht="15">
      <c r="A59" s="500" t="s">
        <v>2526</v>
      </c>
      <c r="B59" s="501"/>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5" customFormat="1" ht="15">
      <c r="A60" s="504"/>
      <c r="B60" s="505"/>
      <c r="C60" s="1571">
        <v>100</v>
      </c>
      <c r="D60" s="507"/>
      <c r="E60" s="507"/>
      <c r="F60" s="507"/>
      <c r="G60" s="507"/>
      <c r="H60" s="507"/>
      <c r="I60" s="507"/>
      <c r="J60" s="507"/>
      <c r="K60" s="507"/>
      <c r="L60" s="507"/>
      <c r="M60" s="508"/>
      <c r="N60" s="507"/>
      <c r="O60" s="508"/>
      <c r="P60" s="2680"/>
    </row>
    <row r="61" spans="1:29" s="115" customFormat="1" ht="15.75" thickBot="1">
      <c r="A61" s="510" t="s">
        <v>2563</v>
      </c>
      <c r="B61" s="511"/>
      <c r="C61" s="512"/>
      <c r="D61" s="513"/>
      <c r="E61" s="513"/>
      <c r="F61" s="513"/>
      <c r="G61" s="513"/>
      <c r="H61" s="513"/>
      <c r="I61" s="513"/>
      <c r="J61" s="513"/>
      <c r="K61" s="513"/>
      <c r="L61" s="513"/>
      <c r="M61" s="514"/>
      <c r="N61" s="513"/>
      <c r="O61" s="514"/>
      <c r="P61" s="2680"/>
      <c r="Q61" s="499"/>
    </row>
    <row r="62" spans="1:29" s="115" customFormat="1" ht="15">
      <c r="A62" s="516" t="s">
        <v>2528</v>
      </c>
      <c r="B62" s="505"/>
      <c r="C62" s="517" t="s">
        <v>2630</v>
      </c>
      <c r="D62" s="518"/>
      <c r="E62" s="518"/>
      <c r="F62" s="518"/>
      <c r="G62" s="518"/>
      <c r="H62" s="518"/>
      <c r="I62" s="518"/>
      <c r="J62" s="518"/>
      <c r="K62" s="518"/>
      <c r="L62" s="519"/>
      <c r="M62" s="520"/>
      <c r="N62" s="1149"/>
      <c r="O62" s="1149"/>
      <c r="P62" s="2681"/>
      <c r="Q62" s="499"/>
    </row>
    <row r="63" spans="1:29" s="115"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2566</v>
      </c>
      <c r="B64" s="523" t="s">
        <v>2532</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2535</v>
      </c>
      <c r="C66" s="534" t="s">
        <v>2567</v>
      </c>
      <c r="D66" s="534" t="s">
        <v>2568</v>
      </c>
      <c r="E66" s="534" t="s">
        <v>2569</v>
      </c>
      <c r="F66" s="534" t="s">
        <v>2570</v>
      </c>
      <c r="G66" s="534" t="s">
        <v>2571</v>
      </c>
      <c r="H66" s="534" t="s">
        <v>2572</v>
      </c>
      <c r="I66" s="534" t="s">
        <v>2573</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2536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2537</v>
      </c>
      <c r="B77" s="523" t="s">
        <v>2675</v>
      </c>
      <c r="C77" s="568" t="s">
        <v>2575</v>
      </c>
      <c r="D77" s="568" t="s">
        <v>2576</v>
      </c>
      <c r="E77" s="568" t="s">
        <v>2577</v>
      </c>
      <c r="F77" s="568" t="s">
        <v>2578</v>
      </c>
      <c r="G77" s="568" t="s">
        <v>2579</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2580</v>
      </c>
      <c r="C79" s="573" t="s">
        <v>2575</v>
      </c>
      <c r="D79" s="573" t="s">
        <v>2576</v>
      </c>
      <c r="E79" s="573" t="s">
        <v>2577</v>
      </c>
      <c r="F79" s="573" t="s">
        <v>2578</v>
      </c>
      <c r="G79" s="573" t="s">
        <v>2579</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2581</v>
      </c>
      <c r="C81" s="573" t="s">
        <v>2575</v>
      </c>
      <c r="D81" s="573" t="s">
        <v>2576</v>
      </c>
      <c r="E81" s="573" t="s">
        <v>2577</v>
      </c>
      <c r="F81" s="573" t="s">
        <v>2578</v>
      </c>
      <c r="G81" s="573" t="s">
        <v>2579</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2667</v>
      </c>
      <c r="C83" s="655" t="s">
        <v>2653</v>
      </c>
      <c r="D83" s="655" t="s">
        <v>2654</v>
      </c>
      <c r="E83" s="655" t="s">
        <v>2655</v>
      </c>
      <c r="F83" s="655" t="s">
        <v>2656</v>
      </c>
      <c r="G83" s="655" t="s">
        <v>2657</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2676</v>
      </c>
      <c r="C85" s="573" t="s">
        <v>2575</v>
      </c>
      <c r="D85" s="573" t="s">
        <v>2576</v>
      </c>
      <c r="E85" s="573" t="s">
        <v>2577</v>
      </c>
      <c r="F85" s="573" t="s">
        <v>2578</v>
      </c>
      <c r="G85" s="573" t="s">
        <v>2579</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5" customFormat="1" ht="27.75" thickTop="1">
      <c r="A87" s="574"/>
      <c r="B87" s="533" t="s">
        <v>2677</v>
      </c>
      <c r="C87" s="549"/>
      <c r="D87" s="549"/>
      <c r="E87" s="549"/>
      <c r="F87" s="549"/>
      <c r="G87" s="549"/>
      <c r="H87" s="549"/>
      <c r="I87" s="549"/>
      <c r="J87" s="549"/>
      <c r="K87" s="549"/>
      <c r="L87" s="575"/>
      <c r="M87" s="576"/>
      <c r="N87" s="1149"/>
      <c r="O87" s="1149"/>
      <c r="P87" s="2682"/>
      <c r="Q87" s="499"/>
    </row>
    <row r="88" spans="1:17" s="115"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5"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5"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2541</v>
      </c>
      <c r="B101" s="523" t="s">
        <v>2590</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2591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2592</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2594</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1986</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2678</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2595</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2596</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2679</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2662</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2598</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2599</v>
      </c>
      <c r="C125" s="573" t="s">
        <v>2575</v>
      </c>
      <c r="D125" s="573" t="s">
        <v>2576</v>
      </c>
      <c r="E125" s="573" t="s">
        <v>2577</v>
      </c>
      <c r="F125" s="573" t="s">
        <v>2578</v>
      </c>
      <c r="G125" s="573" t="s">
        <v>2579</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667" t="s">
        <v>2680</v>
      </c>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IF(C2="——",ROUND(C43*D3/10000,0),ROUND(C43*D3/10000,0)-D2)</f>
        <v>#DIV/0!</v>
      </c>
      <c r="C2" s="2584"/>
      <c r="D2" s="1122" t="e">
        <f ca="1">SUMIF(INDIRECT("'"&amp;F2&amp;"'"&amp;"!A:A"),"承租人权益价值",INDIRECT("'"&amp;F2&amp;"'"&amp;"!c:c"))</f>
        <v>#REF!</v>
      </c>
      <c r="E2" s="2585" t="s">
        <v>2309</v>
      </c>
      <c r="F2" s="2586"/>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2310</v>
      </c>
      <c r="B3" s="604" t="e">
        <f ca="1">IF(C2="——",C43,ROUND(B2*10000/D3,0))</f>
        <v>#DIV/0!</v>
      </c>
      <c r="C3" s="395" t="s">
        <v>2622</v>
      </c>
      <c r="D3" s="394">
        <f>IF(D1="",'数据-汇总表'!E3,SUMIF('数据-汇总表'!$C19:$C33,D1,'数据-汇总表'!$E19:$E33))</f>
        <v>96535.67</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5" t="s">
        <v>2626</v>
      </c>
      <c r="AC4" s="3224" t="s">
        <v>2627</v>
      </c>
    </row>
    <row r="5" spans="1:29"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5"/>
      <c r="AC5" s="3225"/>
    </row>
    <row r="6" spans="1:29" ht="15.75" thickBot="1">
      <c r="A6" s="401"/>
      <c r="B6" s="402"/>
      <c r="C6" s="3242" t="s">
        <v>2524</v>
      </c>
      <c r="D6" s="3243"/>
      <c r="E6" s="3249" t="s">
        <v>2524</v>
      </c>
      <c r="F6" s="3250"/>
      <c r="G6" s="3242" t="s">
        <v>2524</v>
      </c>
      <c r="H6" s="3243"/>
      <c r="I6" s="3242" t="s">
        <v>2524</v>
      </c>
      <c r="J6" s="3243"/>
      <c r="K6" s="605" t="s">
        <v>2525</v>
      </c>
      <c r="L6" s="1128"/>
      <c r="M6" s="1129"/>
      <c r="N6" s="1129"/>
      <c r="O6" s="1129"/>
      <c r="P6" s="3234"/>
      <c r="Q6" s="3235"/>
      <c r="R6" s="3238"/>
      <c r="S6" s="3239"/>
      <c r="T6" s="3240"/>
      <c r="U6" s="3241"/>
      <c r="V6" s="3223"/>
      <c r="W6" s="3223"/>
      <c r="X6" s="1811"/>
      <c r="Y6" s="3240"/>
      <c r="Z6" s="3241"/>
      <c r="AA6" s="3226"/>
      <c r="AB6" s="3226"/>
      <c r="AC6" s="3226"/>
    </row>
    <row r="7" spans="1:29" s="115" customFormat="1" ht="15.75" thickBot="1">
      <c r="A7" s="403" t="s">
        <v>2526</v>
      </c>
      <c r="B7" s="404"/>
      <c r="C7" s="405">
        <f>'数据-取费表'!B2</f>
        <v>43318</v>
      </c>
      <c r="D7" s="406">
        <v>100</v>
      </c>
      <c r="E7" s="407"/>
      <c r="F7" s="408">
        <f>SUMIF(52:52,YEAR(E7)&amp;"-"&amp;MONTH(E7),53:53)</f>
        <v>0</v>
      </c>
      <c r="G7" s="407"/>
      <c r="H7" s="406">
        <f>SUMIF(52:52,YEAR(G7)&amp;"-"&amp;MONTH(G7),53:53)</f>
        <v>0</v>
      </c>
      <c r="I7" s="407"/>
      <c r="J7" s="406">
        <f>SUMIF(52:52,YEAR(I7)&amp;"-"&amp;MONTH(I7),53:53)</f>
        <v>0</v>
      </c>
      <c r="K7" s="606"/>
      <c r="L7" s="1130"/>
      <c r="M7" s="1131"/>
      <c r="N7" s="1131"/>
      <c r="O7" s="1131"/>
      <c r="P7" s="3246" t="s">
        <v>2527</v>
      </c>
      <c r="Q7" s="3248"/>
      <c r="R7" s="765" t="s">
        <v>17</v>
      </c>
      <c r="S7" s="766">
        <f t="shared" ref="S7:S15" si="0">F7</f>
        <v>0</v>
      </c>
      <c r="T7" s="765" t="s">
        <v>17</v>
      </c>
      <c r="U7" s="766">
        <f t="shared" ref="U7:U15" si="1">H7</f>
        <v>0</v>
      </c>
      <c r="V7" s="765" t="s">
        <v>17</v>
      </c>
      <c r="W7" s="766">
        <f t="shared" ref="W7:W15" si="2">J7</f>
        <v>0</v>
      </c>
      <c r="X7" s="767"/>
      <c r="Y7" s="3246" t="s">
        <v>2527</v>
      </c>
      <c r="Z7" s="3247"/>
      <c r="AA7" s="768" t="e">
        <f>D7/F7</f>
        <v>#DIV/0!</v>
      </c>
      <c r="AB7" s="768" t="e">
        <f>D7/H7</f>
        <v>#DIV/0!</v>
      </c>
      <c r="AC7" s="768" t="e">
        <f>D7/J7</f>
        <v>#DIV/0!</v>
      </c>
    </row>
    <row r="8" spans="1:29" s="115" customFormat="1" ht="15.75" thickBot="1">
      <c r="A8" s="403" t="s">
        <v>2528</v>
      </c>
      <c r="B8" s="404"/>
      <c r="C8" s="409" t="s">
        <v>2529</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40" si="3">D8/F8</f>
        <v>#DIV/0!</v>
      </c>
      <c r="AB8" s="768" t="e">
        <f t="shared" ref="AB8:AB40" si="4">D8/H8</f>
        <v>#DIV/0!</v>
      </c>
      <c r="AC8" s="768" t="e">
        <f t="shared" ref="AC8:AC40" si="5">D8/J8</f>
        <v>#DIV/0!</v>
      </c>
    </row>
    <row r="9" spans="1:29" s="115" customFormat="1">
      <c r="A9" s="410" t="s">
        <v>2531</v>
      </c>
      <c r="B9" s="71" t="s">
        <v>2532</v>
      </c>
      <c r="C9" s="411"/>
      <c r="D9" s="132">
        <v>100</v>
      </c>
      <c r="E9" s="414"/>
      <c r="F9" s="132">
        <f>SUMIF(57:57,E9,58:58)-SUMIF(57:57,C9,58:58)+100</f>
        <v>100</v>
      </c>
      <c r="G9" s="412"/>
      <c r="H9" s="132">
        <f>SUMIF(57:57,G9,58:58)-SUMIF(57:57,C9,58:58)+100</f>
        <v>100</v>
      </c>
      <c r="I9" s="412"/>
      <c r="J9" s="132">
        <f>SUMIF(57:57,I9,58:58)-SUMIF(57:57,C9,58:58)+100</f>
        <v>100</v>
      </c>
      <c r="K9" s="606"/>
      <c r="L9" s="1130"/>
      <c r="M9" s="1131"/>
      <c r="N9" s="1131"/>
      <c r="O9" s="1132"/>
      <c r="P9" s="3217"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8"/>
      <c r="F10" s="133">
        <f>SUMIF(59:59,E10,60:60)-SUMIF(59:59,C10,60:60)+100</f>
        <v>100</v>
      </c>
      <c r="G10" s="419"/>
      <c r="H10" s="133">
        <f>SUMIF(59:59,G10,60:60)-SUMIF(59:59,C10,60:60)+100</f>
        <v>100</v>
      </c>
      <c r="I10" s="418"/>
      <c r="J10" s="133">
        <f>SUMIF(59:59,I10,60:60)-SUMIF(59:59,C10,60:60)+100</f>
        <v>100</v>
      </c>
      <c r="K10" s="607"/>
      <c r="L10" s="1133"/>
      <c r="M10" s="1134"/>
      <c r="N10" s="1134"/>
      <c r="O10" s="1135"/>
      <c r="P10" s="3217"/>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768">
        <f t="shared" si="5"/>
        <v>1</v>
      </c>
    </row>
    <row r="11" spans="1:29" ht="15">
      <c r="A11" s="423"/>
      <c r="B11" s="417" t="s">
        <v>2536</v>
      </c>
      <c r="C11" s="424"/>
      <c r="D11" s="133">
        <v>100</v>
      </c>
      <c r="E11" s="424"/>
      <c r="F11" s="133" t="e">
        <f>LOOKUP(E11,62:62,63:63)-LOOKUP(C11,62:62,63:63)+100</f>
        <v>#N/A</v>
      </c>
      <c r="G11" s="425"/>
      <c r="H11" s="133" t="e">
        <f>LOOKUP(G11,62:62,63:63)-LOOKUP(C11,62:62,63:63)+100</f>
        <v>#N/A</v>
      </c>
      <c r="I11" s="424"/>
      <c r="J11" s="133" t="e">
        <f>LOOKUP(I11,62:62,63:63)-LOOKUP(C11,62:62,63:63)+100</f>
        <v>#N/A</v>
      </c>
      <c r="K11" s="607"/>
      <c r="L11" s="1136"/>
      <c r="M11" s="1129"/>
      <c r="N11" s="1129"/>
      <c r="O11" s="1137"/>
      <c r="P11" s="3217"/>
      <c r="Q11" s="1793" t="str">
        <f t="shared" si="6"/>
        <v>容积率</v>
      </c>
      <c r="R11" s="765" t="s">
        <v>17</v>
      </c>
      <c r="S11" s="766" t="e">
        <f t="shared" si="0"/>
        <v>#N/A</v>
      </c>
      <c r="T11" s="765" t="s">
        <v>17</v>
      </c>
      <c r="U11" s="766" t="e">
        <f t="shared" si="1"/>
        <v>#N/A</v>
      </c>
      <c r="V11" s="765" t="s">
        <v>17</v>
      </c>
      <c r="W11" s="766" t="e">
        <f t="shared" si="2"/>
        <v>#N/A</v>
      </c>
      <c r="X11" s="767"/>
      <c r="Y11" s="3053"/>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133">
        <f>SUMIF(64:64,E12,65:65)-SUMIF(64:64,C12,65:65)+100</f>
        <v>100</v>
      </c>
      <c r="G12" s="2690"/>
      <c r="H12" s="133">
        <f>SUMIF(64:64,G12,65:65)-SUMIF(64:64,C12,65:65)+100</f>
        <v>100</v>
      </c>
      <c r="I12" s="464"/>
      <c r="J12" s="133">
        <f>SUMIF(64:64,I12,65:65)-SUMIF(64:64,C12,65:65)+100</f>
        <v>100</v>
      </c>
      <c r="K12" s="608"/>
      <c r="L12" s="1130"/>
      <c r="M12" s="1131"/>
      <c r="N12" s="1131"/>
      <c r="O12" s="1132"/>
      <c r="P12" s="3217"/>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768">
        <f>D12/J12</f>
        <v>1</v>
      </c>
    </row>
    <row r="13" spans="1:29" ht="15">
      <c r="A13" s="423"/>
      <c r="B13" s="2598">
        <v>111</v>
      </c>
      <c r="C13" s="429"/>
      <c r="D13" s="430">
        <v>100</v>
      </c>
      <c r="E13" s="429"/>
      <c r="F13" s="133">
        <f>SUMIF(66:66,E13,67:67)-SUMIF(66:66,C13,67:67)+100</f>
        <v>100</v>
      </c>
      <c r="G13" s="2690"/>
      <c r="H13" s="430">
        <f>SUMIF(66:66,G13,67:67)-SUMIF(66:66,C13,67:67)+100</f>
        <v>100</v>
      </c>
      <c r="I13" s="464"/>
      <c r="J13" s="430">
        <f>SUMIF(66:66,I13,67:67)-SUMIF(66:66,C13,67:67)+100</f>
        <v>100</v>
      </c>
      <c r="K13" s="608"/>
      <c r="L13" s="1138"/>
      <c r="M13" s="1129"/>
      <c r="N13" s="1129"/>
      <c r="O13" s="1137"/>
      <c r="P13" s="3217"/>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768">
        <f t="shared" si="5"/>
        <v>1</v>
      </c>
    </row>
    <row r="14" spans="1:29" ht="15.75" thickBot="1">
      <c r="A14" s="431"/>
      <c r="B14" s="2600">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217"/>
      <c r="Q14" s="1793">
        <f t="shared" si="6"/>
        <v>111</v>
      </c>
      <c r="R14" s="765" t="s">
        <v>17</v>
      </c>
      <c r="S14" s="766">
        <f t="shared" si="0"/>
        <v>100</v>
      </c>
      <c r="T14" s="765" t="s">
        <v>17</v>
      </c>
      <c r="U14" s="766">
        <f t="shared" si="1"/>
        <v>100</v>
      </c>
      <c r="V14" s="765" t="s">
        <v>17</v>
      </c>
      <c r="W14" s="766">
        <f t="shared" si="2"/>
        <v>100</v>
      </c>
      <c r="X14" s="767"/>
      <c r="Y14" s="3053"/>
      <c r="Z14" s="55">
        <f t="shared" si="7"/>
        <v>111</v>
      </c>
      <c r="AA14" s="768">
        <f t="shared" si="3"/>
        <v>1</v>
      </c>
      <c r="AB14" s="768">
        <f t="shared" si="4"/>
        <v>1</v>
      </c>
      <c r="AC14" s="768">
        <f t="shared" si="5"/>
        <v>1</v>
      </c>
    </row>
    <row r="15" spans="1:29" ht="15">
      <c r="A15" s="435" t="s">
        <v>2537</v>
      </c>
      <c r="B15" s="69" t="s">
        <v>2681</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219" t="s">
        <v>2538</v>
      </c>
      <c r="Q15" s="1808" t="str">
        <f t="shared" si="6"/>
        <v>产业集聚程度</v>
      </c>
      <c r="R15" s="769" t="s">
        <v>17</v>
      </c>
      <c r="S15" s="770">
        <f t="shared" si="0"/>
        <v>100</v>
      </c>
      <c r="T15" s="769" t="s">
        <v>17</v>
      </c>
      <c r="U15" s="770">
        <f t="shared" si="1"/>
        <v>100</v>
      </c>
      <c r="V15" s="769" t="s">
        <v>17</v>
      </c>
      <c r="W15" s="770">
        <f t="shared" si="2"/>
        <v>100</v>
      </c>
      <c r="X15" s="1811"/>
      <c r="Y15" s="3219" t="s">
        <v>2538</v>
      </c>
      <c r="Z15" s="1812" t="str">
        <f t="shared" si="7"/>
        <v>产业集聚程度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37"/>
      <c r="P16" s="3220"/>
      <c r="Q16" s="1808"/>
      <c r="R16" s="769"/>
      <c r="S16" s="770"/>
      <c r="T16" s="769"/>
      <c r="U16" s="770"/>
      <c r="V16" s="769"/>
      <c r="W16" s="770"/>
      <c r="X16" s="1811"/>
      <c r="Y16" s="3220"/>
      <c r="Z16" s="1812"/>
      <c r="AA16" s="1809">
        <v>1</v>
      </c>
      <c r="AB16" s="1809">
        <v>1</v>
      </c>
      <c r="AC16" s="1809">
        <v>1</v>
      </c>
    </row>
    <row r="17" spans="1:29" ht="15">
      <c r="A17" s="423"/>
      <c r="B17" s="446" t="s">
        <v>2082</v>
      </c>
      <c r="C17" s="2605">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220"/>
      <c r="Q17" s="1808" t="str">
        <f>B17</f>
        <v>交通便捷度</v>
      </c>
      <c r="R17" s="769" t="s">
        <v>17</v>
      </c>
      <c r="S17" s="770">
        <f>F17</f>
        <v>100</v>
      </c>
      <c r="T17" s="769" t="s">
        <v>17</v>
      </c>
      <c r="U17" s="770">
        <f>H17</f>
        <v>100</v>
      </c>
      <c r="V17" s="769" t="s">
        <v>17</v>
      </c>
      <c r="W17" s="770">
        <f>J17</f>
        <v>100</v>
      </c>
      <c r="X17" s="1811"/>
      <c r="Y17" s="3220"/>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37"/>
      <c r="P18" s="3220"/>
      <c r="Q18" s="1808"/>
      <c r="R18" s="769"/>
      <c r="S18" s="770"/>
      <c r="T18" s="769"/>
      <c r="U18" s="770"/>
      <c r="V18" s="769"/>
      <c r="W18" s="770"/>
      <c r="X18" s="1811"/>
      <c r="Y18" s="3220"/>
      <c r="Z18" s="1812"/>
      <c r="AA18" s="1809">
        <v>1</v>
      </c>
      <c r="AB18" s="1809">
        <v>1</v>
      </c>
      <c r="AC18" s="1809">
        <v>1</v>
      </c>
    </row>
    <row r="19" spans="1:29" ht="15">
      <c r="A19" s="423"/>
      <c r="B19" s="446" t="s">
        <v>2666</v>
      </c>
      <c r="C19" s="2605">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220"/>
      <c r="Q19" s="1808" t="str">
        <f>B19</f>
        <v>公共配套设施</v>
      </c>
      <c r="R19" s="769" t="s">
        <v>17</v>
      </c>
      <c r="S19" s="770">
        <f>F19</f>
        <v>100</v>
      </c>
      <c r="T19" s="769" t="s">
        <v>17</v>
      </c>
      <c r="U19" s="770">
        <f>H19</f>
        <v>100</v>
      </c>
      <c r="V19" s="769" t="s">
        <v>17</v>
      </c>
      <c r="W19" s="770">
        <f>J19</f>
        <v>100</v>
      </c>
      <c r="X19" s="1811"/>
      <c r="Y19" s="3220"/>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37"/>
      <c r="P20" s="3220"/>
      <c r="Q20" s="1808"/>
      <c r="R20" s="769"/>
      <c r="S20" s="770"/>
      <c r="T20" s="769"/>
      <c r="U20" s="770"/>
      <c r="V20" s="769"/>
      <c r="W20" s="770"/>
      <c r="X20" s="1811"/>
      <c r="Y20" s="3220"/>
      <c r="Z20" s="1812"/>
      <c r="AA20" s="1809">
        <v>1</v>
      </c>
      <c r="AB20" s="1809">
        <v>1</v>
      </c>
      <c r="AC20" s="1809">
        <v>1</v>
      </c>
    </row>
    <row r="21" spans="1:29" ht="15">
      <c r="A21" s="423"/>
      <c r="B21" s="1382" t="s">
        <v>2667</v>
      </c>
      <c r="C21" s="2605">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220"/>
      <c r="Q21" s="1808" t="str">
        <f>B21</f>
        <v>基础设施水平</v>
      </c>
      <c r="R21" s="769" t="s">
        <v>17</v>
      </c>
      <c r="S21" s="770">
        <f>F21</f>
        <v>100</v>
      </c>
      <c r="T21" s="769" t="s">
        <v>17</v>
      </c>
      <c r="U21" s="770">
        <f>H21</f>
        <v>100</v>
      </c>
      <c r="V21" s="769" t="s">
        <v>17</v>
      </c>
      <c r="W21" s="770">
        <f>J21</f>
        <v>100</v>
      </c>
      <c r="X21" s="1811"/>
      <c r="Y21" s="3220"/>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37"/>
      <c r="P22" s="3220"/>
      <c r="Q22" s="1808"/>
      <c r="R22" s="769"/>
      <c r="S22" s="770"/>
      <c r="T22" s="769"/>
      <c r="U22" s="770"/>
      <c r="V22" s="769"/>
      <c r="W22" s="770"/>
      <c r="X22" s="1811"/>
      <c r="Y22" s="3220"/>
      <c r="Z22" s="1812"/>
      <c r="AA22" s="1809">
        <v>1</v>
      </c>
      <c r="AB22" s="1809">
        <v>1</v>
      </c>
      <c r="AC22" s="1809">
        <v>1</v>
      </c>
    </row>
    <row r="23" spans="1:29" ht="15">
      <c r="A23" s="423"/>
      <c r="B23" s="446" t="s">
        <v>2668</v>
      </c>
      <c r="C23" s="2605">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220"/>
      <c r="Q23" s="1808" t="str">
        <f>B23</f>
        <v>环境质量</v>
      </c>
      <c r="R23" s="769" t="s">
        <v>17</v>
      </c>
      <c r="S23" s="770">
        <f>F23</f>
        <v>100</v>
      </c>
      <c r="T23" s="769" t="s">
        <v>17</v>
      </c>
      <c r="U23" s="770">
        <f>H23</f>
        <v>100</v>
      </c>
      <c r="V23" s="769" t="s">
        <v>17</v>
      </c>
      <c r="W23" s="770">
        <f>J23</f>
        <v>100</v>
      </c>
      <c r="X23" s="1811"/>
      <c r="Y23" s="3220"/>
      <c r="Z23" s="1812" t="str">
        <f>Q23</f>
        <v>环境质量</v>
      </c>
      <c r="AA23" s="1809">
        <f t="shared" si="3"/>
        <v>1</v>
      </c>
      <c r="AB23" s="1809">
        <f t="shared" si="4"/>
        <v>1</v>
      </c>
      <c r="AC23" s="1809">
        <f t="shared" si="5"/>
        <v>1</v>
      </c>
    </row>
    <row r="24" spans="1:29" ht="15">
      <c r="A24" s="423"/>
      <c r="B24" s="1382"/>
      <c r="C24" s="442"/>
      <c r="D24" s="443"/>
      <c r="E24" s="2603"/>
      <c r="F24" s="444"/>
      <c r="G24" s="2602"/>
      <c r="H24" s="443"/>
      <c r="I24" s="2603"/>
      <c r="J24" s="443"/>
      <c r="K24" s="610"/>
      <c r="L24" s="1138"/>
      <c r="M24" s="1129"/>
      <c r="N24" s="1129"/>
      <c r="O24" s="1137"/>
      <c r="P24" s="3220"/>
      <c r="Q24" s="1808"/>
      <c r="R24" s="769"/>
      <c r="S24" s="770"/>
      <c r="T24" s="769"/>
      <c r="U24" s="770"/>
      <c r="V24" s="769"/>
      <c r="W24" s="770"/>
      <c r="X24" s="1811"/>
      <c r="Y24" s="3220"/>
      <c r="Z24" s="1812"/>
      <c r="AA24" s="1809">
        <v>1</v>
      </c>
      <c r="AB24" s="1809">
        <v>1</v>
      </c>
      <c r="AC24" s="1809">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220"/>
      <c r="Q25" s="1808">
        <f>B25</f>
        <v>111</v>
      </c>
      <c r="R25" s="769" t="s">
        <v>17</v>
      </c>
      <c r="S25" s="770">
        <f>F25</f>
        <v>100</v>
      </c>
      <c r="T25" s="769" t="s">
        <v>17</v>
      </c>
      <c r="U25" s="770">
        <f>H25</f>
        <v>100</v>
      </c>
      <c r="V25" s="769" t="s">
        <v>17</v>
      </c>
      <c r="W25" s="770">
        <f>J25</f>
        <v>100</v>
      </c>
      <c r="X25" s="1811"/>
      <c r="Y25" s="3220"/>
      <c r="Z25" s="1812">
        <f>Q25</f>
        <v>111</v>
      </c>
      <c r="AA25" s="1809">
        <f t="shared" si="3"/>
        <v>1</v>
      </c>
      <c r="AB25" s="1809">
        <f t="shared" si="4"/>
        <v>1</v>
      </c>
      <c r="AC25" s="1809">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220"/>
      <c r="Q26" s="1808">
        <f t="shared" ref="Q26:Q40" si="11">B26</f>
        <v>111</v>
      </c>
      <c r="R26" s="769" t="s">
        <v>17</v>
      </c>
      <c r="S26" s="770">
        <f>F26</f>
        <v>100</v>
      </c>
      <c r="T26" s="769" t="s">
        <v>17</v>
      </c>
      <c r="U26" s="770">
        <f>H26</f>
        <v>100</v>
      </c>
      <c r="V26" s="769" t="s">
        <v>17</v>
      </c>
      <c r="W26" s="770">
        <f>J26</f>
        <v>100</v>
      </c>
      <c r="X26" s="1811"/>
      <c r="Y26" s="3220"/>
      <c r="Z26" s="1812">
        <f>Q26</f>
        <v>111</v>
      </c>
      <c r="AA26" s="1809">
        <f t="shared" si="3"/>
        <v>1</v>
      </c>
      <c r="AB26" s="1809">
        <f t="shared" si="4"/>
        <v>1</v>
      </c>
      <c r="AC26" s="1809">
        <f t="shared" si="5"/>
        <v>1</v>
      </c>
    </row>
    <row r="27" spans="1:29" s="115"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220"/>
      <c r="Q27" s="1793">
        <f t="shared" si="11"/>
        <v>111</v>
      </c>
      <c r="R27" s="765" t="s">
        <v>17</v>
      </c>
      <c r="S27" s="766">
        <f>F27</f>
        <v>100</v>
      </c>
      <c r="T27" s="765" t="s">
        <v>17</v>
      </c>
      <c r="U27" s="766">
        <f>H27</f>
        <v>100</v>
      </c>
      <c r="V27" s="765" t="s">
        <v>17</v>
      </c>
      <c r="W27" s="766">
        <f>J27</f>
        <v>100</v>
      </c>
      <c r="X27" s="767"/>
      <c r="Y27" s="3220"/>
      <c r="Z27" s="55">
        <f>Q27</f>
        <v>111</v>
      </c>
      <c r="AA27" s="1809">
        <f>D27/F27</f>
        <v>1</v>
      </c>
      <c r="AB27" s="1809">
        <f>D27/H27</f>
        <v>1</v>
      </c>
      <c r="AC27" s="1809">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220"/>
      <c r="Q28" s="1808">
        <f t="shared" si="11"/>
        <v>111</v>
      </c>
      <c r="R28" s="769" t="s">
        <v>17</v>
      </c>
      <c r="S28" s="770">
        <f t="shared" ref="S28:S40" si="12">F28</f>
        <v>100</v>
      </c>
      <c r="T28" s="769" t="s">
        <v>17</v>
      </c>
      <c r="U28" s="770">
        <f t="shared" ref="U28:U40" si="13">H28</f>
        <v>100</v>
      </c>
      <c r="V28" s="769" t="s">
        <v>17</v>
      </c>
      <c r="W28" s="770">
        <f t="shared" ref="W28:W40" si="14">J28</f>
        <v>100</v>
      </c>
      <c r="X28" s="1811"/>
      <c r="Y28" s="3220"/>
      <c r="Z28" s="1812">
        <f t="shared" ref="Z28:Z40" si="15">Q28</f>
        <v>111</v>
      </c>
      <c r="AA28" s="1809">
        <f t="shared" si="3"/>
        <v>1</v>
      </c>
      <c r="AB28" s="1809">
        <f t="shared" si="4"/>
        <v>1</v>
      </c>
      <c r="AC28" s="1809">
        <f t="shared" si="5"/>
        <v>1</v>
      </c>
    </row>
    <row r="29" spans="1:29" ht="15">
      <c r="A29" s="461" t="s">
        <v>2541</v>
      </c>
      <c r="B29" s="71" t="s">
        <v>2671</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21" t="s">
        <v>2543</v>
      </c>
      <c r="Q29" s="1808" t="str">
        <f t="shared" si="11"/>
        <v>建筑类型</v>
      </c>
      <c r="R29" s="769" t="s">
        <v>17</v>
      </c>
      <c r="S29" s="770">
        <f t="shared" si="12"/>
        <v>100</v>
      </c>
      <c r="T29" s="769" t="s">
        <v>17</v>
      </c>
      <c r="U29" s="770">
        <f t="shared" si="13"/>
        <v>100</v>
      </c>
      <c r="V29" s="769" t="s">
        <v>17</v>
      </c>
      <c r="W29" s="770">
        <f t="shared" si="14"/>
        <v>100</v>
      </c>
      <c r="X29" s="1811"/>
      <c r="Y29" s="3222" t="s">
        <v>2543</v>
      </c>
      <c r="Z29" s="1812" t="str">
        <f t="shared" si="15"/>
        <v>建筑类型</v>
      </c>
      <c r="AA29" s="1809">
        <f t="shared" si="3"/>
        <v>1</v>
      </c>
      <c r="AB29" s="1809">
        <f t="shared" si="4"/>
        <v>1</v>
      </c>
      <c r="AC29" s="1809">
        <f t="shared" si="5"/>
        <v>1</v>
      </c>
    </row>
    <row r="30" spans="1:29" s="466" customFormat="1" ht="15">
      <c r="A30" s="463"/>
      <c r="B30" s="417" t="s">
        <v>2544</v>
      </c>
      <c r="C30" s="464"/>
      <c r="D30" s="133">
        <v>100</v>
      </c>
      <c r="E30" s="425"/>
      <c r="F30" s="420" t="e">
        <f>LOOKUP(E30,91:91,92:92)-LOOKUP(C30,91:91,92:92)+100</f>
        <v>#N/A</v>
      </c>
      <c r="G30" s="424"/>
      <c r="H30" s="133" t="e">
        <f>LOOKUP(G30,91:91,92:92)-LOOKUP(C30,91:91,92:92)+100</f>
        <v>#N/A</v>
      </c>
      <c r="I30" s="424"/>
      <c r="J30" s="133" t="e">
        <f>LOOKUP(I30,91:91,92:92)-LOOKUP(C30,91:91,92:92)+100</f>
        <v>#N/A</v>
      </c>
      <c r="K30" s="608"/>
      <c r="L30" s="1136"/>
      <c r="M30" s="1139"/>
      <c r="N30" s="1139"/>
      <c r="O30" s="1140"/>
      <c r="P30" s="3222"/>
      <c r="Q30" s="771" t="str">
        <f t="shared" si="11"/>
        <v>项目建筑规模</v>
      </c>
      <c r="R30" s="772" t="s">
        <v>17</v>
      </c>
      <c r="S30" s="773" t="e">
        <f t="shared" si="12"/>
        <v>#N/A</v>
      </c>
      <c r="T30" s="772" t="s">
        <v>17</v>
      </c>
      <c r="U30" s="773" t="e">
        <f t="shared" si="13"/>
        <v>#N/A</v>
      </c>
      <c r="V30" s="772" t="s">
        <v>17</v>
      </c>
      <c r="W30" s="773" t="e">
        <f t="shared" si="14"/>
        <v>#N/A</v>
      </c>
      <c r="X30" s="774"/>
      <c r="Y30" s="3222"/>
      <c r="Z30" s="775" t="str">
        <f t="shared" si="15"/>
        <v>项目建筑规模</v>
      </c>
      <c r="AA30" s="1809" t="e">
        <f t="shared" si="3"/>
        <v>#N/A</v>
      </c>
      <c r="AB30" s="1809" t="e">
        <f t="shared" si="4"/>
        <v>#N/A</v>
      </c>
      <c r="AC30" s="1809" t="e">
        <f t="shared" si="5"/>
        <v>#N/A</v>
      </c>
    </row>
    <row r="31" spans="1:29" ht="15">
      <c r="A31" s="467"/>
      <c r="B31" s="417" t="s">
        <v>2545</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222"/>
      <c r="Q31" s="1808" t="str">
        <f t="shared" si="11"/>
        <v>建筑结构</v>
      </c>
      <c r="R31" s="769" t="s">
        <v>17</v>
      </c>
      <c r="S31" s="770">
        <f t="shared" si="12"/>
        <v>100</v>
      </c>
      <c r="T31" s="769" t="s">
        <v>17</v>
      </c>
      <c r="U31" s="770">
        <f t="shared" si="13"/>
        <v>100</v>
      </c>
      <c r="V31" s="769" t="s">
        <v>17</v>
      </c>
      <c r="W31" s="770">
        <f t="shared" si="14"/>
        <v>100</v>
      </c>
      <c r="X31" s="1811"/>
      <c r="Y31" s="3222"/>
      <c r="Z31" s="1812" t="str">
        <f t="shared" si="15"/>
        <v>建筑结构</v>
      </c>
      <c r="AA31" s="1809">
        <f t="shared" si="3"/>
        <v>1</v>
      </c>
      <c r="AB31" s="1809">
        <f t="shared" si="4"/>
        <v>1</v>
      </c>
      <c r="AC31" s="1809">
        <f t="shared" si="5"/>
        <v>1</v>
      </c>
    </row>
    <row r="32" spans="1:29" ht="15">
      <c r="A32" s="467"/>
      <c r="B32" s="417" t="s">
        <v>2639</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222"/>
      <c r="Q32" s="1808" t="str">
        <f t="shared" si="11"/>
        <v>公共部分装修</v>
      </c>
      <c r="R32" s="769" t="s">
        <v>17</v>
      </c>
      <c r="S32" s="770">
        <f t="shared" si="12"/>
        <v>100</v>
      </c>
      <c r="T32" s="769" t="s">
        <v>17</v>
      </c>
      <c r="U32" s="770">
        <f t="shared" si="13"/>
        <v>100</v>
      </c>
      <c r="V32" s="769" t="s">
        <v>17</v>
      </c>
      <c r="W32" s="770">
        <f t="shared" si="14"/>
        <v>100</v>
      </c>
      <c r="X32" s="1811"/>
      <c r="Y32" s="3222"/>
      <c r="Z32" s="1812" t="str">
        <f t="shared" si="15"/>
        <v>公共部分装修</v>
      </c>
      <c r="AA32" s="1809">
        <f t="shared" si="3"/>
        <v>1</v>
      </c>
      <c r="AB32" s="1809">
        <f t="shared" si="4"/>
        <v>1</v>
      </c>
      <c r="AC32" s="1809">
        <f t="shared" si="5"/>
        <v>1</v>
      </c>
    </row>
    <row r="33" spans="1:29" ht="15">
      <c r="A33" s="467"/>
      <c r="B33" s="417" t="s">
        <v>2640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222"/>
      <c r="Q33" s="1808" t="str">
        <f t="shared" si="11"/>
        <v>成新度</v>
      </c>
      <c r="R33" s="769" t="s">
        <v>17</v>
      </c>
      <c r="S33" s="770" t="e">
        <f t="shared" si="12"/>
        <v>#N/A</v>
      </c>
      <c r="T33" s="769" t="s">
        <v>17</v>
      </c>
      <c r="U33" s="770" t="e">
        <f t="shared" si="13"/>
        <v>#N/A</v>
      </c>
      <c r="V33" s="769" t="s">
        <v>17</v>
      </c>
      <c r="W33" s="770" t="e">
        <f t="shared" si="14"/>
        <v>#N/A</v>
      </c>
      <c r="X33" s="1811"/>
      <c r="Y33" s="3222"/>
      <c r="Z33" s="1812" t="str">
        <f t="shared" si="15"/>
        <v>成新度</v>
      </c>
      <c r="AA33" s="1809" t="e">
        <f t="shared" si="3"/>
        <v>#N/A</v>
      </c>
      <c r="AB33" s="1809" t="e">
        <f t="shared" si="4"/>
        <v>#N/A</v>
      </c>
      <c r="AC33" s="1809" t="e">
        <f t="shared" si="5"/>
        <v>#N/A</v>
      </c>
    </row>
    <row r="34" spans="1:29" s="115" customFormat="1" ht="15">
      <c r="A34" s="468"/>
      <c r="B34" s="417" t="s">
        <v>2673</v>
      </c>
      <c r="C34" s="455"/>
      <c r="D34" s="133">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222"/>
      <c r="Q34" s="1793" t="str">
        <f t="shared" si="11"/>
        <v>物业管理</v>
      </c>
      <c r="R34" s="765" t="s">
        <v>17</v>
      </c>
      <c r="S34" s="766">
        <f t="shared" si="12"/>
        <v>100</v>
      </c>
      <c r="T34" s="765" t="s">
        <v>17</v>
      </c>
      <c r="U34" s="766">
        <f t="shared" si="13"/>
        <v>100</v>
      </c>
      <c r="V34" s="765" t="s">
        <v>17</v>
      </c>
      <c r="W34" s="766">
        <f t="shared" si="14"/>
        <v>100</v>
      </c>
      <c r="X34" s="767"/>
      <c r="Y34" s="3222"/>
      <c r="Z34" s="55" t="str">
        <f t="shared" si="15"/>
        <v>物业管理</v>
      </c>
      <c r="AA34" s="768">
        <f t="shared" si="3"/>
        <v>1</v>
      </c>
      <c r="AB34" s="768">
        <f t="shared" si="4"/>
        <v>1</v>
      </c>
      <c r="AC34" s="768">
        <f t="shared" si="5"/>
        <v>1</v>
      </c>
    </row>
    <row r="35" spans="1:29" ht="15">
      <c r="A35" s="467"/>
      <c r="B35" s="417" t="s">
        <v>2641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222" t="s">
        <v>2543</v>
      </c>
      <c r="Q35" s="1808" t="str">
        <f t="shared" si="11"/>
        <v>市政基础设施</v>
      </c>
      <c r="R35" s="769" t="s">
        <v>17</v>
      </c>
      <c r="S35" s="770">
        <f t="shared" si="12"/>
        <v>100</v>
      </c>
      <c r="T35" s="769" t="s">
        <v>17</v>
      </c>
      <c r="U35" s="770">
        <f t="shared" si="13"/>
        <v>100</v>
      </c>
      <c r="V35" s="769" t="s">
        <v>17</v>
      </c>
      <c r="W35" s="770">
        <f t="shared" si="14"/>
        <v>100</v>
      </c>
      <c r="X35" s="1811"/>
      <c r="Y35" s="3222" t="s">
        <v>2543</v>
      </c>
      <c r="Z35" s="1812" t="str">
        <f t="shared" si="15"/>
        <v>市政基础设施</v>
      </c>
      <c r="AA35" s="1809">
        <f t="shared" si="3"/>
        <v>1</v>
      </c>
      <c r="AB35" s="1809">
        <f t="shared" si="4"/>
        <v>1</v>
      </c>
      <c r="AC35" s="1809">
        <f t="shared" si="5"/>
        <v>1</v>
      </c>
    </row>
    <row r="36" spans="1:29" ht="15">
      <c r="A36" s="467"/>
      <c r="B36" s="417" t="s">
        <v>2646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222"/>
      <c r="Q36" s="1808" t="str">
        <f t="shared" si="11"/>
        <v>内部装修</v>
      </c>
      <c r="R36" s="769" t="s">
        <v>17</v>
      </c>
      <c r="S36" s="770">
        <f t="shared" si="12"/>
        <v>100</v>
      </c>
      <c r="T36" s="769" t="s">
        <v>17</v>
      </c>
      <c r="U36" s="770">
        <f t="shared" si="13"/>
        <v>100</v>
      </c>
      <c r="V36" s="769" t="s">
        <v>17</v>
      </c>
      <c r="W36" s="770">
        <f t="shared" si="14"/>
        <v>100</v>
      </c>
      <c r="X36" s="1811"/>
      <c r="Y36" s="3222"/>
      <c r="Z36" s="1812" t="str">
        <f t="shared" si="15"/>
        <v>内部装修</v>
      </c>
      <c r="AA36" s="1809">
        <f t="shared" si="3"/>
        <v>1</v>
      </c>
      <c r="AB36" s="1809">
        <f t="shared" si="4"/>
        <v>1</v>
      </c>
      <c r="AC36" s="1809">
        <f t="shared" si="5"/>
        <v>1</v>
      </c>
    </row>
    <row r="37" spans="1:29" ht="15">
      <c r="A37" s="467"/>
      <c r="B37" s="417" t="s">
        <v>2682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222"/>
      <c r="Q37" s="1808" t="str">
        <f t="shared" si="11"/>
        <v>内部装修状况</v>
      </c>
      <c r="R37" s="769" t="s">
        <v>17</v>
      </c>
      <c r="S37" s="770">
        <f t="shared" si="12"/>
        <v>100</v>
      </c>
      <c r="T37" s="769" t="s">
        <v>17</v>
      </c>
      <c r="U37" s="770">
        <f t="shared" si="13"/>
        <v>100</v>
      </c>
      <c r="V37" s="769" t="s">
        <v>17</v>
      </c>
      <c r="W37" s="770">
        <f t="shared" si="14"/>
        <v>100</v>
      </c>
      <c r="X37" s="1811"/>
      <c r="Y37" s="3222"/>
      <c r="Z37" s="1812" t="str">
        <f t="shared" si="15"/>
        <v>内部装修状况</v>
      </c>
      <c r="AA37" s="1809">
        <f t="shared" si="3"/>
        <v>1</v>
      </c>
      <c r="AB37" s="1809">
        <f t="shared" si="4"/>
        <v>1</v>
      </c>
      <c r="AC37" s="1809">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222"/>
      <c r="Q38" s="771">
        <f t="shared" si="11"/>
        <v>111</v>
      </c>
      <c r="R38" s="772" t="s">
        <v>17</v>
      </c>
      <c r="S38" s="773">
        <f t="shared" si="12"/>
        <v>100</v>
      </c>
      <c r="T38" s="772" t="s">
        <v>17</v>
      </c>
      <c r="U38" s="773">
        <f t="shared" si="13"/>
        <v>100</v>
      </c>
      <c r="V38" s="772" t="s">
        <v>17</v>
      </c>
      <c r="W38" s="773">
        <f t="shared" si="14"/>
        <v>100</v>
      </c>
      <c r="X38" s="774"/>
      <c r="Y38" s="3222"/>
      <c r="Z38" s="775">
        <f t="shared" si="15"/>
        <v>111</v>
      </c>
      <c r="AA38" s="1809">
        <f t="shared" si="3"/>
        <v>1</v>
      </c>
      <c r="AB38" s="1809">
        <f t="shared" si="4"/>
        <v>1</v>
      </c>
      <c r="AC38" s="1809">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222"/>
      <c r="Q39" s="1808">
        <f t="shared" si="11"/>
        <v>111</v>
      </c>
      <c r="R39" s="769" t="s">
        <v>17</v>
      </c>
      <c r="S39" s="770">
        <f t="shared" si="12"/>
        <v>100</v>
      </c>
      <c r="T39" s="769" t="s">
        <v>17</v>
      </c>
      <c r="U39" s="770">
        <f t="shared" si="13"/>
        <v>100</v>
      </c>
      <c r="V39" s="769" t="s">
        <v>17</v>
      </c>
      <c r="W39" s="770">
        <f t="shared" si="14"/>
        <v>100</v>
      </c>
      <c r="X39" s="1811"/>
      <c r="Y39" s="3222"/>
      <c r="Z39" s="1812">
        <f t="shared" si="15"/>
        <v>111</v>
      </c>
      <c r="AA39" s="1809">
        <f t="shared" si="3"/>
        <v>1</v>
      </c>
      <c r="AB39" s="1809">
        <f t="shared" si="4"/>
        <v>1</v>
      </c>
      <c r="AC39" s="1809">
        <f t="shared" si="5"/>
        <v>1</v>
      </c>
    </row>
    <row r="40" spans="1:29" ht="15.75" thickBot="1">
      <c r="A40" s="473"/>
      <c r="B40" s="260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306"/>
      <c r="Q40" s="1808">
        <f t="shared" si="11"/>
        <v>111</v>
      </c>
      <c r="R40" s="769" t="s">
        <v>17</v>
      </c>
      <c r="S40" s="770">
        <f t="shared" si="12"/>
        <v>100</v>
      </c>
      <c r="T40" s="769" t="s">
        <v>17</v>
      </c>
      <c r="U40" s="770">
        <f t="shared" si="13"/>
        <v>100</v>
      </c>
      <c r="V40" s="769" t="s">
        <v>17</v>
      </c>
      <c r="W40" s="770">
        <f t="shared" si="14"/>
        <v>100</v>
      </c>
      <c r="X40" s="1811"/>
      <c r="Y40" s="3306"/>
      <c r="Z40" s="1812">
        <f t="shared" si="15"/>
        <v>111</v>
      </c>
      <c r="AA40" s="1809">
        <f t="shared" si="3"/>
        <v>1</v>
      </c>
      <c r="AB40" s="1809">
        <f t="shared" si="4"/>
        <v>1</v>
      </c>
      <c r="AC40" s="1809">
        <f t="shared" si="5"/>
        <v>1</v>
      </c>
    </row>
    <row r="41" spans="1:29" ht="15">
      <c r="A41" s="474" t="s">
        <v>2555</v>
      </c>
      <c r="B41" s="475"/>
      <c r="C41" s="1405" t="s">
        <v>1</v>
      </c>
      <c r="D41" s="1406"/>
      <c r="E41" s="1407"/>
      <c r="F41" s="1408"/>
      <c r="G41" s="1409"/>
      <c r="H41" s="1410"/>
      <c r="I41" s="1407"/>
      <c r="J41" s="1410"/>
      <c r="K41" s="778"/>
      <c r="L41" s="1141"/>
      <c r="M41" s="1142"/>
      <c r="N41" s="1129"/>
      <c r="O41" s="1142"/>
      <c r="P41" s="3217" t="str">
        <f>A41</f>
        <v>成交单价（元/平方米）</v>
      </c>
      <c r="Q41" s="3217"/>
      <c r="R41" s="3302">
        <f>E41</f>
        <v>0</v>
      </c>
      <c r="S41" s="3302"/>
      <c r="T41" s="3302">
        <f>G41</f>
        <v>0</v>
      </c>
      <c r="U41" s="3302"/>
      <c r="V41" s="3302">
        <f>I41</f>
        <v>0</v>
      </c>
      <c r="W41" s="3302"/>
      <c r="X41" s="754"/>
      <c r="Y41" s="776"/>
      <c r="Z41" s="754"/>
      <c r="AA41" s="754"/>
      <c r="AB41" s="754"/>
      <c r="AC41" s="754"/>
    </row>
    <row r="42" spans="1:29" ht="15.75" thickBot="1">
      <c r="A42" s="481" t="s">
        <v>2647</v>
      </c>
      <c r="B42" s="482"/>
      <c r="C42" s="1411" t="e">
        <f>R43</f>
        <v>#DIV/0!</v>
      </c>
      <c r="D42" s="1412"/>
      <c r="E42" s="1413" t="e">
        <f>R42</f>
        <v>#DIV/0!</v>
      </c>
      <c r="F42" s="1413"/>
      <c r="G42" s="1411" t="e">
        <f>T42</f>
        <v>#DIV/0!</v>
      </c>
      <c r="H42" s="1412"/>
      <c r="I42" s="1413" t="e">
        <f>V42</f>
        <v>#DIV/0!</v>
      </c>
      <c r="J42" s="1412"/>
      <c r="K42" s="779"/>
      <c r="L42" s="1141"/>
      <c r="M42" s="1142"/>
      <c r="N42" s="1129"/>
      <c r="O42" s="1142"/>
      <c r="P42" s="3217" t="str">
        <f>A42</f>
        <v>比较价值（元/平方米）</v>
      </c>
      <c r="Q42" s="3217"/>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754"/>
      <c r="Y42" s="754"/>
      <c r="Z42" s="754"/>
      <c r="AA42" s="754"/>
      <c r="AB42" s="754"/>
      <c r="AC42" s="754"/>
    </row>
    <row r="43" spans="1:29" ht="15.75" thickBot="1">
      <c r="A43" s="487" t="s">
        <v>2648</v>
      </c>
      <c r="B43" s="488"/>
      <c r="C43" s="1415" t="e">
        <f>R43</f>
        <v>#DIV/0!</v>
      </c>
      <c r="D43" s="1415"/>
      <c r="E43" s="1415"/>
      <c r="F43" s="1415"/>
      <c r="G43" s="1415"/>
      <c r="H43" s="1415"/>
      <c r="I43" s="1415"/>
      <c r="J43" s="1415"/>
      <c r="K43" s="780"/>
      <c r="L43" s="1141"/>
      <c r="M43" s="1142"/>
      <c r="N43" s="1142"/>
      <c r="O43" s="1142"/>
      <c r="P43" s="3211" t="str">
        <f>A43</f>
        <v>估价对象XX用房的比较价值（楼面单价，元/平方米）</v>
      </c>
      <c r="Q43" s="3212"/>
      <c r="R43" s="3301" t="e">
        <f>IF(F1="售价",ROUND(AVERAGE(R42:V42),0),ROUND(AVERAGE(R42:V42),1))</f>
        <v>#DIV/0!</v>
      </c>
      <c r="S43" s="3301"/>
      <c r="T43" s="3301"/>
      <c r="U43" s="3301"/>
      <c r="V43" s="3301"/>
      <c r="W43" s="3301"/>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2649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2650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2651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2652</v>
      </c>
      <c r="B51" s="754"/>
      <c r="C51" s="759"/>
      <c r="D51" s="759"/>
      <c r="E51" s="759"/>
      <c r="F51" s="760"/>
      <c r="G51" s="760"/>
      <c r="H51" s="759"/>
      <c r="I51" s="759"/>
      <c r="J51" s="759"/>
      <c r="K51" s="1158"/>
      <c r="L51" s="1159"/>
      <c r="M51" s="1157"/>
      <c r="N51" s="1157"/>
      <c r="O51" s="1157"/>
      <c r="P51" s="498"/>
      <c r="Q51" s="499"/>
    </row>
    <row r="52" spans="1:17" s="503" customFormat="1" ht="15">
      <c r="A52" s="500" t="s">
        <v>2526</v>
      </c>
      <c r="B52" s="501"/>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2"/>
    </row>
    <row r="53" spans="1:17" s="115" customFormat="1" ht="15">
      <c r="A53" s="504"/>
      <c r="B53" s="505"/>
      <c r="C53" s="1571">
        <v>100</v>
      </c>
      <c r="D53" s="507"/>
      <c r="E53" s="507"/>
      <c r="F53" s="507"/>
      <c r="G53" s="507"/>
      <c r="H53" s="507"/>
      <c r="I53" s="507"/>
      <c r="J53" s="507"/>
      <c r="K53" s="507"/>
      <c r="L53" s="507"/>
      <c r="M53" s="508"/>
      <c r="N53" s="507"/>
      <c r="O53" s="509"/>
      <c r="P53" s="499"/>
    </row>
    <row r="54" spans="1:17" s="115" customFormat="1" ht="15.75" thickBot="1">
      <c r="A54" s="510" t="s">
        <v>2563</v>
      </c>
      <c r="B54" s="511"/>
      <c r="C54" s="512"/>
      <c r="D54" s="513"/>
      <c r="E54" s="513"/>
      <c r="F54" s="513"/>
      <c r="G54" s="513"/>
      <c r="H54" s="513"/>
      <c r="I54" s="513"/>
      <c r="J54" s="513"/>
      <c r="K54" s="513"/>
      <c r="L54" s="513"/>
      <c r="M54" s="514"/>
      <c r="N54" s="513"/>
      <c r="O54" s="515"/>
      <c r="P54" s="499"/>
      <c r="Q54" s="499"/>
    </row>
    <row r="55" spans="1:17" s="115" customFormat="1" ht="15">
      <c r="A55" s="516" t="s">
        <v>2528</v>
      </c>
      <c r="B55" s="505"/>
      <c r="C55" s="517" t="s">
        <v>2630</v>
      </c>
      <c r="D55" s="518"/>
      <c r="E55" s="518"/>
      <c r="F55" s="518"/>
      <c r="G55" s="518"/>
      <c r="H55" s="518"/>
      <c r="I55" s="518"/>
      <c r="J55" s="518"/>
      <c r="K55" s="518"/>
      <c r="L55" s="519"/>
      <c r="M55" s="520"/>
      <c r="N55" s="1149"/>
      <c r="O55" s="1149"/>
      <c r="P55" s="521"/>
      <c r="Q55" s="499"/>
    </row>
    <row r="56" spans="1:17" s="115"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2566</v>
      </c>
      <c r="B57" s="523" t="s">
        <v>2532</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2535</v>
      </c>
      <c r="C59" s="534" t="s">
        <v>2567</v>
      </c>
      <c r="D59" s="534" t="s">
        <v>2568</v>
      </c>
      <c r="E59" s="534" t="s">
        <v>2569</v>
      </c>
      <c r="F59" s="534" t="s">
        <v>2570</v>
      </c>
      <c r="G59" s="534" t="s">
        <v>2571</v>
      </c>
      <c r="H59" s="534" t="s">
        <v>2572</v>
      </c>
      <c r="I59" s="534" t="s">
        <v>2573</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2536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2537</v>
      </c>
      <c r="B70" s="523" t="s">
        <v>2683</v>
      </c>
      <c r="C70" s="568" t="s">
        <v>2575</v>
      </c>
      <c r="D70" s="568" t="s">
        <v>2576</v>
      </c>
      <c r="E70" s="568" t="s">
        <v>2577</v>
      </c>
      <c r="F70" s="568" t="s">
        <v>2578</v>
      </c>
      <c r="G70" s="568" t="s">
        <v>2579</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2580</v>
      </c>
      <c r="C72" s="573" t="s">
        <v>2575</v>
      </c>
      <c r="D72" s="573" t="s">
        <v>2576</v>
      </c>
      <c r="E72" s="573" t="s">
        <v>2577</v>
      </c>
      <c r="F72" s="573" t="s">
        <v>2578</v>
      </c>
      <c r="G72" s="573" t="s">
        <v>2579</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2581</v>
      </c>
      <c r="C74" s="573" t="s">
        <v>2575</v>
      </c>
      <c r="D74" s="573" t="s">
        <v>2576</v>
      </c>
      <c r="E74" s="573" t="s">
        <v>2577</v>
      </c>
      <c r="F74" s="573" t="s">
        <v>2578</v>
      </c>
      <c r="G74" s="573" t="s">
        <v>2579</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2667</v>
      </c>
      <c r="C76" s="655" t="s">
        <v>2653</v>
      </c>
      <c r="D76" s="655" t="s">
        <v>2654</v>
      </c>
      <c r="E76" s="655" t="s">
        <v>2655</v>
      </c>
      <c r="F76" s="655" t="s">
        <v>2656</v>
      </c>
      <c r="G76" s="655" t="s">
        <v>2657</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5"/>
      <c r="Q77" s="499"/>
    </row>
    <row r="78" spans="1:17" ht="15.75" thickTop="1">
      <c r="A78" s="529"/>
      <c r="B78" s="533" t="s">
        <v>2676</v>
      </c>
      <c r="C78" s="573" t="s">
        <v>2575</v>
      </c>
      <c r="D78" s="573" t="s">
        <v>2576</v>
      </c>
      <c r="E78" s="573" t="s">
        <v>2577</v>
      </c>
      <c r="F78" s="573" t="s">
        <v>2578</v>
      </c>
      <c r="G78" s="573" t="s">
        <v>2579</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5" customFormat="1" ht="15.75" thickTop="1">
      <c r="A80" s="574"/>
      <c r="B80" s="533">
        <f>B25</f>
        <v>111</v>
      </c>
      <c r="C80" s="549"/>
      <c r="D80" s="549"/>
      <c r="E80" s="549"/>
      <c r="F80" s="549"/>
      <c r="G80" s="549"/>
      <c r="H80" s="549"/>
      <c r="I80" s="549"/>
      <c r="J80" s="549"/>
      <c r="K80" s="549"/>
      <c r="L80" s="575"/>
      <c r="M80" s="576"/>
      <c r="N80" s="1149"/>
      <c r="O80" s="1149"/>
      <c r="P80" s="45"/>
      <c r="Q80" s="499"/>
    </row>
    <row r="81" spans="1:17" s="115" customFormat="1" ht="15.75" thickBot="1">
      <c r="A81" s="574"/>
      <c r="B81" s="538"/>
      <c r="C81" s="555"/>
      <c r="D81" s="531"/>
      <c r="E81" s="531"/>
      <c r="F81" s="531"/>
      <c r="G81" s="531"/>
      <c r="H81" s="531"/>
      <c r="I81" s="531"/>
      <c r="J81" s="531"/>
      <c r="K81" s="531"/>
      <c r="L81" s="531"/>
      <c r="M81" s="532"/>
      <c r="N81" s="1151"/>
      <c r="O81" s="1151"/>
      <c r="P81" s="45"/>
      <c r="Q81" s="499"/>
    </row>
    <row r="82" spans="1:17" s="115" customFormat="1" ht="15.75" thickTop="1">
      <c r="A82" s="574"/>
      <c r="B82" s="533">
        <f>B26</f>
        <v>111</v>
      </c>
      <c r="C82" s="549"/>
      <c r="D82" s="549"/>
      <c r="E82" s="549"/>
      <c r="F82" s="549"/>
      <c r="G82" s="549"/>
      <c r="H82" s="549"/>
      <c r="I82" s="549"/>
      <c r="J82" s="549"/>
      <c r="K82" s="549"/>
      <c r="L82" s="575"/>
      <c r="M82" s="576"/>
      <c r="N82" s="1149"/>
      <c r="O82" s="1149"/>
      <c r="P82" s="45"/>
      <c r="Q82" s="499"/>
    </row>
    <row r="83" spans="1:17" s="115"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4"/>
      <c r="B87" s="564"/>
      <c r="C87" s="565"/>
      <c r="D87" s="565"/>
      <c r="E87" s="565"/>
      <c r="F87" s="565"/>
      <c r="G87" s="586"/>
      <c r="H87" s="586"/>
      <c r="I87" s="586"/>
      <c r="J87" s="586"/>
      <c r="K87" s="586"/>
      <c r="L87" s="586"/>
      <c r="M87" s="587"/>
      <c r="N87" s="1151"/>
      <c r="O87" s="1151"/>
      <c r="P87" s="45"/>
      <c r="Q87" s="499"/>
    </row>
    <row r="88" spans="1:17">
      <c r="A88" s="522" t="s">
        <v>2541</v>
      </c>
      <c r="B88" s="523" t="s">
        <v>2590</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2591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2592</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2594</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1986</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2595</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2596</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2598</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2684</v>
      </c>
      <c r="C106" s="573" t="s">
        <v>2575</v>
      </c>
      <c r="D106" s="573" t="s">
        <v>2576</v>
      </c>
      <c r="E106" s="573" t="s">
        <v>2577</v>
      </c>
      <c r="F106" s="573" t="s">
        <v>2578</v>
      </c>
      <c r="G106" s="573" t="s">
        <v>2579</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4"/>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2685</v>
      </c>
      <c r="B1" s="1617"/>
      <c r="C1" s="1618" t="s">
        <v>2508</v>
      </c>
      <c r="D1" s="1619"/>
      <c r="E1" s="1620"/>
      <c r="F1" s="2582"/>
      <c r="G1" s="1621" t="s">
        <v>2621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3" customFormat="1" ht="28.5" customHeight="1" thickTop="1">
      <c r="A2" s="1615" t="s">
        <v>2308</v>
      </c>
      <c r="B2" s="1416" t="e">
        <f ca="1">IF(C2="——",IF(B37="元/平方米",ROUND(C39*D3/10000,0),ROUND(F3*C39/10000,0)),IF(B37="元/平方米",ROUND(C39*D3/10000,0),ROUND(F3*C39/10000,0))-D2)</f>
        <v>#DIV/0!</v>
      </c>
      <c r="C2" s="2584"/>
      <c r="D2" s="1122" t="e">
        <f ca="1">SUMIF(INDIRECT("'"&amp;F2&amp;"'"&amp;"!A:A"),"承租人权益价值",INDIRECT("'"&amp;F2&amp;"'"&amp;"!c:c"))</f>
        <v>#REF!</v>
      </c>
      <c r="E2" s="2585" t="s">
        <v>2309</v>
      </c>
      <c r="F2" s="2586"/>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2310</v>
      </c>
      <c r="B3" s="604" t="e">
        <f ca="1">IF(AND(C2="——",B37="元/平方米"),C39,ROUND(B2*10000/D3,0))</f>
        <v>#DIV/0!</v>
      </c>
      <c r="C3" s="395" t="s">
        <v>2622</v>
      </c>
      <c r="D3" s="394">
        <f>SUMIF('数据-汇总表'!$C19:$C33,D1,'数据-汇总表'!$E19:$E33)</f>
        <v>0</v>
      </c>
      <c r="E3" s="395" t="s">
        <v>2686</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5" t="s">
        <v>2626</v>
      </c>
      <c r="AC4" s="3224" t="s">
        <v>2627</v>
      </c>
    </row>
    <row r="5" spans="1:29"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5"/>
      <c r="AC5" s="3225"/>
    </row>
    <row r="6" spans="1:29" ht="15.75" thickBot="1">
      <c r="A6" s="401"/>
      <c r="B6" s="402"/>
      <c r="C6" s="3242" t="s">
        <v>2524</v>
      </c>
      <c r="D6" s="3243"/>
      <c r="E6" s="3249" t="s">
        <v>2524</v>
      </c>
      <c r="F6" s="3250"/>
      <c r="G6" s="3242" t="s">
        <v>2524</v>
      </c>
      <c r="H6" s="3243"/>
      <c r="I6" s="3242" t="s">
        <v>2524</v>
      </c>
      <c r="J6" s="3243"/>
      <c r="K6" s="605" t="s">
        <v>2525</v>
      </c>
      <c r="L6" s="1128"/>
      <c r="M6" s="1129"/>
      <c r="N6" s="1129"/>
      <c r="O6" s="1129"/>
      <c r="P6" s="3234"/>
      <c r="Q6" s="3235"/>
      <c r="R6" s="3238"/>
      <c r="S6" s="3239"/>
      <c r="T6" s="3240"/>
      <c r="U6" s="3241"/>
      <c r="V6" s="3223"/>
      <c r="W6" s="3223"/>
      <c r="X6" s="1811"/>
      <c r="Y6" s="3240"/>
      <c r="Z6" s="3241"/>
      <c r="AA6" s="3226"/>
      <c r="AB6" s="3226"/>
      <c r="AC6" s="3226"/>
    </row>
    <row r="7" spans="1:29" s="115" customFormat="1" ht="15.75" thickBot="1">
      <c r="A7" s="403" t="s">
        <v>2526</v>
      </c>
      <c r="B7" s="404"/>
      <c r="C7" s="405">
        <f>'数据-取费表'!B2</f>
        <v>43318</v>
      </c>
      <c r="D7" s="406">
        <v>100</v>
      </c>
      <c r="E7" s="407"/>
      <c r="F7" s="408">
        <f>SUMIF(48:48,YEAR(E7)&amp;"-"&amp;MONTH(E7),49:49)</f>
        <v>0</v>
      </c>
      <c r="G7" s="407"/>
      <c r="H7" s="406">
        <f>SUMIF(48:48,YEAR(G7)&amp;"-"&amp;MONTH(G7),49:49)</f>
        <v>0</v>
      </c>
      <c r="I7" s="407"/>
      <c r="J7" s="406">
        <f>SUMIF(48:48,YEAR(I7)&amp;"-"&amp;MONTH(I7),49:49)</f>
        <v>0</v>
      </c>
      <c r="K7" s="606"/>
      <c r="L7" s="1130"/>
      <c r="M7" s="1131"/>
      <c r="N7" s="1131"/>
      <c r="O7" s="1131"/>
      <c r="P7" s="3246" t="s">
        <v>2527</v>
      </c>
      <c r="Q7" s="3248"/>
      <c r="R7" s="765" t="s">
        <v>17</v>
      </c>
      <c r="S7" s="766">
        <f t="shared" ref="S7:S14" si="0">F7</f>
        <v>0</v>
      </c>
      <c r="T7" s="765" t="s">
        <v>17</v>
      </c>
      <c r="U7" s="766">
        <f t="shared" ref="U7:U14" si="1">H7</f>
        <v>0</v>
      </c>
      <c r="V7" s="765" t="s">
        <v>17</v>
      </c>
      <c r="W7" s="766">
        <f t="shared" ref="W7:W14" si="2">J7</f>
        <v>0</v>
      </c>
      <c r="X7" s="767"/>
      <c r="Y7" s="3246" t="s">
        <v>2527</v>
      </c>
      <c r="Z7" s="3247"/>
      <c r="AA7" s="768" t="e">
        <f>D7/F7</f>
        <v>#DIV/0!</v>
      </c>
      <c r="AB7" s="768" t="e">
        <f>D7/H7</f>
        <v>#DIV/0!</v>
      </c>
      <c r="AC7" s="768" t="e">
        <f>D7/J7</f>
        <v>#DIV/0!</v>
      </c>
    </row>
    <row r="8" spans="1:29" s="115" customFormat="1" ht="15.75" thickBot="1">
      <c r="A8" s="403" t="s">
        <v>2528</v>
      </c>
      <c r="B8" s="404"/>
      <c r="C8" s="409" t="s">
        <v>2630</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36" si="3">D8/F8</f>
        <v>#DIV/0!</v>
      </c>
      <c r="AB8" s="768" t="e">
        <f t="shared" ref="AB8:AB36" si="4">D8/H8</f>
        <v>#DIV/0!</v>
      </c>
      <c r="AC8" s="768" t="e">
        <f t="shared" ref="AC8:AC36" si="5">D8/J8</f>
        <v>#DIV/0!</v>
      </c>
    </row>
    <row r="9" spans="1:29" s="115" customFormat="1">
      <c r="A9" s="68" t="s">
        <v>2531</v>
      </c>
      <c r="B9" s="635" t="s">
        <v>2532</v>
      </c>
      <c r="C9" s="411"/>
      <c r="D9" s="132">
        <v>100</v>
      </c>
      <c r="E9" s="414"/>
      <c r="F9" s="132">
        <f>SUMIF(53:53,E9,54:54)-SUMIF(53:53,C9,54:54)+100</f>
        <v>100</v>
      </c>
      <c r="G9" s="412"/>
      <c r="H9" s="132">
        <f>SUMIF(53:53,G9,54:54)-SUMIF(53:53,C9,54:54)+100</f>
        <v>100</v>
      </c>
      <c r="I9" s="412"/>
      <c r="J9" s="132">
        <f>SUMIF(53:53,I9,54:54)-SUMIF(53:53,C9,54:54)+100</f>
        <v>100</v>
      </c>
      <c r="K9" s="606"/>
      <c r="L9" s="1130"/>
      <c r="M9" s="1131"/>
      <c r="N9" s="1131"/>
      <c r="O9" s="1131"/>
      <c r="P9" s="3217" t="s">
        <v>2533</v>
      </c>
      <c r="Q9" s="1793" t="str">
        <f t="shared" ref="Q9:Q14" si="6">B9</f>
        <v>用途</v>
      </c>
      <c r="R9" s="765" t="s">
        <v>17</v>
      </c>
      <c r="S9" s="766">
        <f t="shared" si="0"/>
        <v>100</v>
      </c>
      <c r="T9" s="765" t="s">
        <v>17</v>
      </c>
      <c r="U9" s="766">
        <f t="shared" si="1"/>
        <v>100</v>
      </c>
      <c r="V9" s="765" t="s">
        <v>17</v>
      </c>
      <c r="W9" s="766">
        <f t="shared" si="2"/>
        <v>100</v>
      </c>
      <c r="X9" s="767"/>
      <c r="Y9" s="3053" t="s">
        <v>2534</v>
      </c>
      <c r="Z9" s="55" t="str">
        <f t="shared" ref="Z9:Z14" si="7">Q9</f>
        <v>用途</v>
      </c>
      <c r="AA9" s="768">
        <f t="shared" si="3"/>
        <v>1</v>
      </c>
      <c r="AB9" s="768">
        <f t="shared" si="4"/>
        <v>1</v>
      </c>
      <c r="AC9" s="768">
        <f t="shared" si="5"/>
        <v>1</v>
      </c>
    </row>
    <row r="10" spans="1:29" s="422" customFormat="1" ht="27">
      <c r="A10" s="636"/>
      <c r="B10" s="637" t="s">
        <v>2535</v>
      </c>
      <c r="C10" s="418"/>
      <c r="D10" s="133">
        <v>100</v>
      </c>
      <c r="E10" s="418"/>
      <c r="F10" s="133">
        <f>SUMIF(55:55,E10,56:56)-SUMIF(55:55,C10,56:56)+100</f>
        <v>100</v>
      </c>
      <c r="G10" s="419"/>
      <c r="H10" s="133">
        <f>SUMIF(55:55,G10,56:56)-SUMIF(55:55,C10,56:56)+100</f>
        <v>100</v>
      </c>
      <c r="I10" s="418"/>
      <c r="J10" s="133">
        <f>SUMIF(55:55,I10,56:56)-SUMIF(55:55,C10,56:56)+100</f>
        <v>100</v>
      </c>
      <c r="K10" s="607"/>
      <c r="L10" s="1133"/>
      <c r="M10" s="1134"/>
      <c r="N10" s="1134"/>
      <c r="O10" s="1134"/>
      <c r="P10" s="3217"/>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768">
        <f t="shared" si="5"/>
        <v>1</v>
      </c>
    </row>
    <row r="11" spans="1:29" ht="15">
      <c r="A11" s="638"/>
      <c r="B11" s="639">
        <v>111</v>
      </c>
      <c r="C11" s="427"/>
      <c r="D11" s="133">
        <v>100</v>
      </c>
      <c r="E11" s="427"/>
      <c r="F11" s="133">
        <f>SUMIF(57:57,E11,58:58)-SUMIF(57:57,C11,58:58)+100</f>
        <v>100</v>
      </c>
      <c r="G11" s="427"/>
      <c r="H11" s="133">
        <f>SUMIF(57:57,G11,58:58)-SUMIF(57:57,C11,58:58)+100</f>
        <v>100</v>
      </c>
      <c r="I11" s="427"/>
      <c r="J11" s="133">
        <f>SUMIF(57:57,I11,58:58)-SUMIF(57:57,C11,58:58)+100</f>
        <v>100</v>
      </c>
      <c r="K11" s="608"/>
      <c r="L11" s="1136"/>
      <c r="M11" s="1129"/>
      <c r="N11" s="1129"/>
      <c r="O11" s="1129"/>
      <c r="P11" s="3217"/>
      <c r="Q11" s="1793">
        <f t="shared" si="6"/>
        <v>111</v>
      </c>
      <c r="R11" s="765" t="s">
        <v>17</v>
      </c>
      <c r="S11" s="766">
        <f t="shared" si="0"/>
        <v>100</v>
      </c>
      <c r="T11" s="765" t="s">
        <v>17</v>
      </c>
      <c r="U11" s="766">
        <f t="shared" si="1"/>
        <v>100</v>
      </c>
      <c r="V11" s="765" t="s">
        <v>17</v>
      </c>
      <c r="W11" s="766">
        <f t="shared" si="2"/>
        <v>100</v>
      </c>
      <c r="X11" s="767"/>
      <c r="Y11" s="3053"/>
      <c r="Z11" s="55">
        <f t="shared" si="7"/>
        <v>111</v>
      </c>
      <c r="AA11" s="768">
        <f t="shared" si="3"/>
        <v>1</v>
      </c>
      <c r="AB11" s="768">
        <f t="shared" si="4"/>
        <v>1</v>
      </c>
      <c r="AC11" s="768">
        <f t="shared" si="5"/>
        <v>1</v>
      </c>
    </row>
    <row r="12" spans="1:29" s="115" customFormat="1" ht="15">
      <c r="A12" s="640"/>
      <c r="B12" s="639">
        <v>111</v>
      </c>
      <c r="C12" s="427"/>
      <c r="D12" s="428">
        <v>100</v>
      </c>
      <c r="E12" s="427"/>
      <c r="F12" s="133">
        <f>SUMIF(59:59,E12,60:60)-SUMIF(59:59,C12,60:60)+100</f>
        <v>100</v>
      </c>
      <c r="G12" s="427"/>
      <c r="H12" s="133">
        <f>SUMIF(59:59,G12,60:60)-SUMIF(59:59,C12,60:60)+100</f>
        <v>100</v>
      </c>
      <c r="I12" s="427"/>
      <c r="J12" s="133">
        <f>SUMIF(59:59,I12,60:60)-SUMIF(59:59,C12,60:60)+100</f>
        <v>100</v>
      </c>
      <c r="K12" s="608"/>
      <c r="L12" s="1130"/>
      <c r="M12" s="1131"/>
      <c r="N12" s="1131"/>
      <c r="O12" s="1131"/>
      <c r="P12" s="3217"/>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768">
        <f>D12/J12</f>
        <v>1</v>
      </c>
    </row>
    <row r="13" spans="1:29" ht="15.75" thickBot="1">
      <c r="A13" s="641"/>
      <c r="B13" s="639">
        <v>111</v>
      </c>
      <c r="C13" s="429"/>
      <c r="D13" s="430">
        <v>100</v>
      </c>
      <c r="E13" s="427"/>
      <c r="F13" s="133">
        <f>SUMIF(61:61,E13,62:62)-SUMIF(61:61,C13,62:62)+100</f>
        <v>100</v>
      </c>
      <c r="G13" s="427"/>
      <c r="H13" s="430">
        <f>SUMIF(61:61,G13,62:62)-SUMIF(61:61,C13,62:62)+100</f>
        <v>100</v>
      </c>
      <c r="I13" s="427"/>
      <c r="J13" s="430">
        <f>SUMIF(61:61,I13,62:62)-SUMIF(61:61,C13,62:62)+100</f>
        <v>100</v>
      </c>
      <c r="K13" s="608"/>
      <c r="L13" s="1138"/>
      <c r="M13" s="1129"/>
      <c r="N13" s="1129"/>
      <c r="O13" s="1129"/>
      <c r="P13" s="3217"/>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768">
        <f t="shared" si="5"/>
        <v>1</v>
      </c>
    </row>
    <row r="14" spans="1:29" ht="15">
      <c r="A14" s="396" t="s">
        <v>2537</v>
      </c>
      <c r="B14" s="624" t="s">
        <v>2687</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219" t="s">
        <v>2538</v>
      </c>
      <c r="Q14" s="1808" t="str">
        <f t="shared" si="6"/>
        <v>交通便捷度</v>
      </c>
      <c r="R14" s="769" t="s">
        <v>17</v>
      </c>
      <c r="S14" s="770">
        <f t="shared" si="0"/>
        <v>100</v>
      </c>
      <c r="T14" s="769" t="s">
        <v>17</v>
      </c>
      <c r="U14" s="770">
        <f t="shared" si="1"/>
        <v>100</v>
      </c>
      <c r="V14" s="769" t="s">
        <v>17</v>
      </c>
      <c r="W14" s="770">
        <f t="shared" si="2"/>
        <v>100</v>
      </c>
      <c r="X14" s="1811"/>
      <c r="Y14" s="3219" t="s">
        <v>2538</v>
      </c>
      <c r="Z14" s="1812" t="str">
        <f t="shared" si="7"/>
        <v>交通便捷度</v>
      </c>
      <c r="AA14" s="1809">
        <f t="shared" si="3"/>
        <v>1</v>
      </c>
      <c r="AB14" s="1809">
        <f t="shared" si="4"/>
        <v>1</v>
      </c>
      <c r="AC14" s="1809">
        <f t="shared" si="5"/>
        <v>1</v>
      </c>
    </row>
    <row r="15" spans="1:29" ht="15">
      <c r="A15" s="399"/>
      <c r="B15" s="642"/>
      <c r="C15" s="442"/>
      <c r="D15" s="443"/>
      <c r="E15" s="442"/>
      <c r="F15" s="444"/>
      <c r="G15" s="442"/>
      <c r="H15" s="445"/>
      <c r="I15" s="442"/>
      <c r="J15" s="443"/>
      <c r="K15" s="610"/>
      <c r="L15" s="1138"/>
      <c r="M15" s="1129"/>
      <c r="N15" s="1129"/>
      <c r="O15" s="1129"/>
      <c r="P15" s="3220"/>
      <c r="Q15" s="1808"/>
      <c r="R15" s="769"/>
      <c r="S15" s="770"/>
      <c r="T15" s="769"/>
      <c r="U15" s="770"/>
      <c r="V15" s="769"/>
      <c r="W15" s="770"/>
      <c r="X15" s="1811"/>
      <c r="Y15" s="3220"/>
      <c r="Z15" s="1812"/>
      <c r="AA15" s="1809">
        <v>1</v>
      </c>
      <c r="AB15" s="1809">
        <v>1</v>
      </c>
      <c r="AC15" s="1809">
        <v>1</v>
      </c>
    </row>
    <row r="16" spans="1:29" ht="15">
      <c r="A16" s="399"/>
      <c r="B16" s="626" t="s">
        <v>2666</v>
      </c>
      <c r="C16" s="2605">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220"/>
      <c r="Q16" s="1808" t="str">
        <f>B16</f>
        <v>公共配套设施</v>
      </c>
      <c r="R16" s="769" t="s">
        <v>17</v>
      </c>
      <c r="S16" s="770">
        <f>F16</f>
        <v>100</v>
      </c>
      <c r="T16" s="769" t="s">
        <v>17</v>
      </c>
      <c r="U16" s="770">
        <f>H16</f>
        <v>100</v>
      </c>
      <c r="V16" s="769" t="s">
        <v>17</v>
      </c>
      <c r="W16" s="770">
        <f>J16</f>
        <v>100</v>
      </c>
      <c r="X16" s="1811"/>
      <c r="Y16" s="3220"/>
      <c r="Z16" s="1812" t="str">
        <f>Q16</f>
        <v>公共配套设施</v>
      </c>
      <c r="AA16" s="1809">
        <f t="shared" si="3"/>
        <v>1</v>
      </c>
      <c r="AB16" s="1809">
        <f t="shared" si="4"/>
        <v>1</v>
      </c>
      <c r="AC16" s="1809">
        <f t="shared" si="5"/>
        <v>1</v>
      </c>
    </row>
    <row r="17" spans="1:29" ht="15">
      <c r="A17" s="399"/>
      <c r="B17" s="627"/>
      <c r="C17" s="2606"/>
      <c r="D17" s="443"/>
      <c r="E17" s="442"/>
      <c r="F17" s="444"/>
      <c r="G17" s="442"/>
      <c r="H17" s="443"/>
      <c r="I17" s="442"/>
      <c r="J17" s="443"/>
      <c r="K17" s="610"/>
      <c r="L17" s="1138"/>
      <c r="M17" s="1129"/>
      <c r="N17" s="1129"/>
      <c r="O17" s="1129"/>
      <c r="P17" s="3220"/>
      <c r="Q17" s="1808"/>
      <c r="R17" s="769"/>
      <c r="S17" s="770"/>
      <c r="T17" s="769"/>
      <c r="U17" s="770"/>
      <c r="V17" s="769"/>
      <c r="W17" s="770"/>
      <c r="X17" s="1811"/>
      <c r="Y17" s="3220"/>
      <c r="Z17" s="1812"/>
      <c r="AA17" s="1809">
        <v>1</v>
      </c>
      <c r="AB17" s="1809">
        <v>1</v>
      </c>
      <c r="AC17" s="1809">
        <v>1</v>
      </c>
    </row>
    <row r="18" spans="1:29" ht="15">
      <c r="A18" s="399"/>
      <c r="B18" s="628" t="s">
        <v>2667</v>
      </c>
      <c r="C18" s="2605">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220"/>
      <c r="Q18" s="1808" t="str">
        <f>B18</f>
        <v>基础设施水平</v>
      </c>
      <c r="R18" s="769" t="s">
        <v>17</v>
      </c>
      <c r="S18" s="770">
        <f>F18</f>
        <v>100</v>
      </c>
      <c r="T18" s="769" t="s">
        <v>17</v>
      </c>
      <c r="U18" s="770">
        <f>H18</f>
        <v>100</v>
      </c>
      <c r="V18" s="769" t="s">
        <v>17</v>
      </c>
      <c r="W18" s="770">
        <f>J18</f>
        <v>100</v>
      </c>
      <c r="X18" s="1811"/>
      <c r="Y18" s="3220"/>
      <c r="Z18" s="1812" t="str">
        <f>Q18</f>
        <v>基础设施水平</v>
      </c>
      <c r="AA18" s="1809">
        <f t="shared" ref="AA18" si="8">D18/F18</f>
        <v>1</v>
      </c>
      <c r="AB18" s="1809">
        <f t="shared" ref="AB18" si="9">D18/H18</f>
        <v>1</v>
      </c>
      <c r="AC18" s="1809">
        <f t="shared" ref="AC18" si="10">D18/J18</f>
        <v>1</v>
      </c>
    </row>
    <row r="19" spans="1:29" ht="15">
      <c r="A19" s="399"/>
      <c r="B19" s="628"/>
      <c r="C19" s="2606"/>
      <c r="D19" s="445"/>
      <c r="E19" s="2606"/>
      <c r="F19" s="448"/>
      <c r="G19" s="2606"/>
      <c r="H19" s="443"/>
      <c r="I19" s="442"/>
      <c r="J19" s="443"/>
      <c r="K19" s="1381"/>
      <c r="L19" s="1138"/>
      <c r="M19" s="1129"/>
      <c r="N19" s="1129"/>
      <c r="O19" s="1129"/>
      <c r="P19" s="3220"/>
      <c r="Q19" s="1808"/>
      <c r="R19" s="769"/>
      <c r="S19" s="770"/>
      <c r="T19" s="769"/>
      <c r="U19" s="770"/>
      <c r="V19" s="769"/>
      <c r="W19" s="770"/>
      <c r="X19" s="1811"/>
      <c r="Y19" s="3220"/>
      <c r="Z19" s="1812"/>
      <c r="AA19" s="1809">
        <v>1</v>
      </c>
      <c r="AB19" s="1809">
        <v>1</v>
      </c>
      <c r="AC19" s="1809">
        <v>1</v>
      </c>
    </row>
    <row r="20" spans="1:29" ht="15">
      <c r="A20" s="399"/>
      <c r="B20" s="626" t="s">
        <v>2688</v>
      </c>
      <c r="C20" s="2605">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220"/>
      <c r="Q20" s="1808" t="str">
        <f>B20</f>
        <v>自然及人文环境</v>
      </c>
      <c r="R20" s="769" t="s">
        <v>17</v>
      </c>
      <c r="S20" s="770">
        <f>F20</f>
        <v>100</v>
      </c>
      <c r="T20" s="769" t="s">
        <v>17</v>
      </c>
      <c r="U20" s="770">
        <f>H20</f>
        <v>100</v>
      </c>
      <c r="V20" s="769" t="s">
        <v>17</v>
      </c>
      <c r="W20" s="770">
        <f>J20</f>
        <v>100</v>
      </c>
      <c r="X20" s="1811"/>
      <c r="Y20" s="3220"/>
      <c r="Z20" s="1812" t="str">
        <f>Q20</f>
        <v>自然及人文环境</v>
      </c>
      <c r="AA20" s="1809">
        <f t="shared" si="3"/>
        <v>1</v>
      </c>
      <c r="AB20" s="1809">
        <f t="shared" si="4"/>
        <v>1</v>
      </c>
      <c r="AC20" s="1809">
        <f t="shared" si="5"/>
        <v>1</v>
      </c>
    </row>
    <row r="21" spans="1:29" ht="15">
      <c r="A21" s="399"/>
      <c r="B21" s="627"/>
      <c r="C21" s="442"/>
      <c r="D21" s="443"/>
      <c r="E21" s="442"/>
      <c r="F21" s="444"/>
      <c r="G21" s="442"/>
      <c r="H21" s="443"/>
      <c r="I21" s="442"/>
      <c r="J21" s="443"/>
      <c r="K21" s="610"/>
      <c r="L21" s="1138"/>
      <c r="M21" s="1129"/>
      <c r="N21" s="1129"/>
      <c r="O21" s="1129"/>
      <c r="P21" s="3220"/>
      <c r="Q21" s="1808"/>
      <c r="R21" s="769"/>
      <c r="S21" s="770"/>
      <c r="T21" s="769"/>
      <c r="U21" s="770"/>
      <c r="V21" s="769"/>
      <c r="W21" s="770"/>
      <c r="X21" s="1811"/>
      <c r="Y21" s="3220"/>
      <c r="Z21" s="1812"/>
      <c r="AA21" s="1809">
        <v>1</v>
      </c>
      <c r="AB21" s="1809">
        <v>1</v>
      </c>
      <c r="AC21" s="1809">
        <v>1</v>
      </c>
    </row>
    <row r="22" spans="1:29" ht="15">
      <c r="A22" s="399"/>
      <c r="B22" s="626" t="s">
        <v>2689</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220"/>
      <c r="Q22" s="1808" t="str">
        <f>B22</f>
        <v>楼层</v>
      </c>
      <c r="R22" s="769" t="s">
        <v>17</v>
      </c>
      <c r="S22" s="770">
        <f>F22</f>
        <v>100</v>
      </c>
      <c r="T22" s="769" t="s">
        <v>17</v>
      </c>
      <c r="U22" s="770">
        <f>H22</f>
        <v>100</v>
      </c>
      <c r="V22" s="769" t="s">
        <v>17</v>
      </c>
      <c r="W22" s="770">
        <f>J22</f>
        <v>100</v>
      </c>
      <c r="X22" s="1811"/>
      <c r="Y22" s="3220"/>
      <c r="Z22" s="1812" t="str">
        <f>Q22</f>
        <v>楼层</v>
      </c>
      <c r="AA22" s="1809">
        <f t="shared" si="3"/>
        <v>1</v>
      </c>
      <c r="AB22" s="1809">
        <f t="shared" si="4"/>
        <v>1</v>
      </c>
      <c r="AC22" s="1809">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220"/>
      <c r="Q23" s="1808">
        <f>B23</f>
        <v>111</v>
      </c>
      <c r="R23" s="769" t="s">
        <v>17</v>
      </c>
      <c r="S23" s="770">
        <f>F23</f>
        <v>100</v>
      </c>
      <c r="T23" s="769" t="s">
        <v>17</v>
      </c>
      <c r="U23" s="770">
        <f>H23</f>
        <v>100</v>
      </c>
      <c r="V23" s="769" t="s">
        <v>17</v>
      </c>
      <c r="W23" s="770">
        <f>J23</f>
        <v>100</v>
      </c>
      <c r="X23" s="1811"/>
      <c r="Y23" s="3220"/>
      <c r="Z23" s="1812">
        <f>Q23</f>
        <v>111</v>
      </c>
      <c r="AA23" s="1809">
        <f t="shared" si="3"/>
        <v>1</v>
      </c>
      <c r="AB23" s="1809">
        <f t="shared" si="4"/>
        <v>1</v>
      </c>
      <c r="AC23" s="1809">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220"/>
      <c r="Q24" s="1808">
        <f t="shared" ref="Q24:Q36" si="11">B24</f>
        <v>111</v>
      </c>
      <c r="R24" s="769" t="s">
        <v>17</v>
      </c>
      <c r="S24" s="770">
        <f>F24</f>
        <v>100</v>
      </c>
      <c r="T24" s="769" t="s">
        <v>17</v>
      </c>
      <c r="U24" s="770">
        <f>H24</f>
        <v>100</v>
      </c>
      <c r="V24" s="769" t="s">
        <v>17</v>
      </c>
      <c r="W24" s="770">
        <f>J24</f>
        <v>100</v>
      </c>
      <c r="X24" s="1811"/>
      <c r="Y24" s="3220"/>
      <c r="Z24" s="1812">
        <f>Q24</f>
        <v>111</v>
      </c>
      <c r="AA24" s="1809">
        <f t="shared" si="3"/>
        <v>1</v>
      </c>
      <c r="AB24" s="1809">
        <f t="shared" si="4"/>
        <v>1</v>
      </c>
      <c r="AC24" s="1809">
        <f t="shared" si="5"/>
        <v>1</v>
      </c>
    </row>
    <row r="25" spans="1:29" s="115"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220"/>
      <c r="Q25" s="1793">
        <f t="shared" si="11"/>
        <v>111</v>
      </c>
      <c r="R25" s="765" t="s">
        <v>17</v>
      </c>
      <c r="S25" s="766">
        <f>F25</f>
        <v>100</v>
      </c>
      <c r="T25" s="765" t="s">
        <v>17</v>
      </c>
      <c r="U25" s="766">
        <f>H25</f>
        <v>100</v>
      </c>
      <c r="V25" s="765" t="s">
        <v>17</v>
      </c>
      <c r="W25" s="766">
        <f>J25</f>
        <v>100</v>
      </c>
      <c r="X25" s="767"/>
      <c r="Y25" s="3220"/>
      <c r="Z25" s="55">
        <f>Q25</f>
        <v>111</v>
      </c>
      <c r="AA25" s="1809">
        <f>D25/F25</f>
        <v>1</v>
      </c>
      <c r="AB25" s="1809">
        <f>D25/H25</f>
        <v>1</v>
      </c>
      <c r="AC25" s="1809">
        <f>D25/J25</f>
        <v>1</v>
      </c>
    </row>
    <row r="26" spans="1:29" ht="15">
      <c r="A26" s="647" t="s">
        <v>2541</v>
      </c>
      <c r="B26" s="70" t="s">
        <v>2690</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21" t="s">
        <v>2543</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22" t="s">
        <v>2543</v>
      </c>
      <c r="Z26" s="1812" t="str">
        <f t="shared" ref="Z26:Z36" si="15">Q26</f>
        <v>配套类型</v>
      </c>
      <c r="AA26" s="1809">
        <f t="shared" si="3"/>
        <v>1</v>
      </c>
      <c r="AB26" s="1809">
        <f t="shared" si="4"/>
        <v>1</v>
      </c>
      <c r="AC26" s="1809">
        <f t="shared" si="5"/>
        <v>1</v>
      </c>
    </row>
    <row r="27" spans="1:29" s="466" customFormat="1" ht="15">
      <c r="A27" s="648"/>
      <c r="B27" s="649" t="s">
        <v>2691</v>
      </c>
      <c r="C27" s="650"/>
      <c r="D27" s="133">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222"/>
      <c r="Q27" s="771" t="str">
        <f t="shared" si="11"/>
        <v>项目停车位配比</v>
      </c>
      <c r="R27" s="772" t="s">
        <v>17</v>
      </c>
      <c r="S27" s="773">
        <f t="shared" si="12"/>
        <v>100</v>
      </c>
      <c r="T27" s="772" t="s">
        <v>17</v>
      </c>
      <c r="U27" s="773">
        <f t="shared" si="13"/>
        <v>100</v>
      </c>
      <c r="V27" s="772" t="s">
        <v>17</v>
      </c>
      <c r="W27" s="773">
        <f t="shared" si="14"/>
        <v>100</v>
      </c>
      <c r="X27" s="774"/>
      <c r="Y27" s="3222"/>
      <c r="Z27" s="775" t="str">
        <f t="shared" si="15"/>
        <v>项目停车位配比</v>
      </c>
      <c r="AA27" s="1809">
        <f t="shared" si="3"/>
        <v>1</v>
      </c>
      <c r="AB27" s="1809">
        <f t="shared" si="4"/>
        <v>1</v>
      </c>
      <c r="AC27" s="1809">
        <f t="shared" si="5"/>
        <v>1</v>
      </c>
    </row>
    <row r="28" spans="1:29" ht="15">
      <c r="A28" s="651"/>
      <c r="B28" s="649" t="s">
        <v>2692</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222"/>
      <c r="Q28" s="1808" t="str">
        <f t="shared" si="11"/>
        <v>公共部分装修</v>
      </c>
      <c r="R28" s="769" t="s">
        <v>17</v>
      </c>
      <c r="S28" s="770">
        <f t="shared" si="12"/>
        <v>100</v>
      </c>
      <c r="T28" s="769" t="s">
        <v>17</v>
      </c>
      <c r="U28" s="770">
        <f t="shared" si="13"/>
        <v>100</v>
      </c>
      <c r="V28" s="769" t="s">
        <v>17</v>
      </c>
      <c r="W28" s="770">
        <f t="shared" si="14"/>
        <v>100</v>
      </c>
      <c r="X28" s="1811"/>
      <c r="Y28" s="3222"/>
      <c r="Z28" s="1812" t="str">
        <f t="shared" si="15"/>
        <v>公共部分装修</v>
      </c>
      <c r="AA28" s="1809">
        <f t="shared" si="3"/>
        <v>1</v>
      </c>
      <c r="AB28" s="1809">
        <f t="shared" si="4"/>
        <v>1</v>
      </c>
      <c r="AC28" s="1809">
        <f t="shared" si="5"/>
        <v>1</v>
      </c>
    </row>
    <row r="29" spans="1:29" ht="15">
      <c r="A29" s="651"/>
      <c r="B29" s="649" t="s">
        <v>2693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222"/>
      <c r="Q29" s="1808" t="str">
        <f t="shared" si="11"/>
        <v>成新率</v>
      </c>
      <c r="R29" s="769" t="s">
        <v>17</v>
      </c>
      <c r="S29" s="770" t="e">
        <f t="shared" si="12"/>
        <v>#N/A</v>
      </c>
      <c r="T29" s="769" t="s">
        <v>17</v>
      </c>
      <c r="U29" s="770" t="e">
        <f t="shared" si="13"/>
        <v>#N/A</v>
      </c>
      <c r="V29" s="769" t="s">
        <v>17</v>
      </c>
      <c r="W29" s="770" t="e">
        <f t="shared" si="14"/>
        <v>#N/A</v>
      </c>
      <c r="X29" s="1811"/>
      <c r="Y29" s="3222"/>
      <c r="Z29" s="1812" t="str">
        <f t="shared" si="15"/>
        <v>成新率</v>
      </c>
      <c r="AA29" s="1809" t="e">
        <f t="shared" si="3"/>
        <v>#N/A</v>
      </c>
      <c r="AB29" s="1809" t="e">
        <f t="shared" si="4"/>
        <v>#N/A</v>
      </c>
      <c r="AC29" s="1809" t="e">
        <f t="shared" si="5"/>
        <v>#N/A</v>
      </c>
    </row>
    <row r="30" spans="1:29" ht="15">
      <c r="A30" s="651"/>
      <c r="B30" s="649" t="s">
        <v>2694</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222"/>
      <c r="Q30" s="1808" t="str">
        <f t="shared" si="11"/>
        <v>物业等级</v>
      </c>
      <c r="R30" s="769" t="s">
        <v>17</v>
      </c>
      <c r="S30" s="770">
        <f t="shared" si="12"/>
        <v>100</v>
      </c>
      <c r="T30" s="769" t="s">
        <v>17</v>
      </c>
      <c r="U30" s="770">
        <f t="shared" si="13"/>
        <v>100</v>
      </c>
      <c r="V30" s="769" t="s">
        <v>17</v>
      </c>
      <c r="W30" s="770">
        <f t="shared" si="14"/>
        <v>100</v>
      </c>
      <c r="X30" s="1811"/>
      <c r="Y30" s="3222"/>
      <c r="Z30" s="1812" t="str">
        <f t="shared" si="15"/>
        <v>物业等级</v>
      </c>
      <c r="AA30" s="1809">
        <f t="shared" si="3"/>
        <v>1</v>
      </c>
      <c r="AB30" s="1809">
        <f t="shared" si="4"/>
        <v>1</v>
      </c>
      <c r="AC30" s="1809">
        <f t="shared" si="5"/>
        <v>1</v>
      </c>
    </row>
    <row r="31" spans="1:29" s="115" customFormat="1" ht="15">
      <c r="A31" s="653"/>
      <c r="B31" s="649" t="s">
        <v>2695</v>
      </c>
      <c r="C31" s="464"/>
      <c r="D31" s="133">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222"/>
      <c r="Q31" s="1793" t="str">
        <f t="shared" si="11"/>
        <v>停车位面积</v>
      </c>
      <c r="R31" s="765" t="s">
        <v>17</v>
      </c>
      <c r="S31" s="766" t="e">
        <f t="shared" si="12"/>
        <v>#N/A</v>
      </c>
      <c r="T31" s="765" t="s">
        <v>17</v>
      </c>
      <c r="U31" s="766" t="e">
        <f t="shared" si="13"/>
        <v>#N/A</v>
      </c>
      <c r="V31" s="765" t="s">
        <v>17</v>
      </c>
      <c r="W31" s="766" t="e">
        <f t="shared" si="14"/>
        <v>#N/A</v>
      </c>
      <c r="X31" s="767"/>
      <c r="Y31" s="3222"/>
      <c r="Z31" s="55" t="str">
        <f t="shared" si="15"/>
        <v>停车位面积</v>
      </c>
      <c r="AA31" s="768" t="e">
        <f t="shared" si="3"/>
        <v>#N/A</v>
      </c>
      <c r="AB31" s="768" t="e">
        <f t="shared" si="4"/>
        <v>#N/A</v>
      </c>
      <c r="AC31" s="768" t="e">
        <f t="shared" si="5"/>
        <v>#N/A</v>
      </c>
    </row>
    <row r="32" spans="1:29" ht="15">
      <c r="A32" s="651"/>
      <c r="B32" s="649" t="s">
        <v>2696</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222" t="s">
        <v>2543</v>
      </c>
      <c r="Q32" s="1808" t="str">
        <f t="shared" si="11"/>
        <v>车位类型</v>
      </c>
      <c r="R32" s="769" t="s">
        <v>17</v>
      </c>
      <c r="S32" s="770">
        <f t="shared" si="12"/>
        <v>100</v>
      </c>
      <c r="T32" s="769" t="s">
        <v>17</v>
      </c>
      <c r="U32" s="770">
        <f t="shared" si="13"/>
        <v>100</v>
      </c>
      <c r="V32" s="769" t="s">
        <v>17</v>
      </c>
      <c r="W32" s="770">
        <f t="shared" si="14"/>
        <v>100</v>
      </c>
      <c r="X32" s="1811"/>
      <c r="Y32" s="3222" t="s">
        <v>2543</v>
      </c>
      <c r="Z32" s="1812" t="str">
        <f t="shared" si="15"/>
        <v>车位类型</v>
      </c>
      <c r="AA32" s="1809">
        <f t="shared" si="3"/>
        <v>1</v>
      </c>
      <c r="AB32" s="1809">
        <f t="shared" si="4"/>
        <v>1</v>
      </c>
      <c r="AC32" s="1809">
        <f t="shared" si="5"/>
        <v>1</v>
      </c>
    </row>
    <row r="33" spans="1:29" ht="15">
      <c r="A33" s="651"/>
      <c r="B33" s="649" t="s">
        <v>2697</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222"/>
      <c r="Q33" s="1808" t="str">
        <f t="shared" si="11"/>
        <v>是否直接入户</v>
      </c>
      <c r="R33" s="769" t="s">
        <v>17</v>
      </c>
      <c r="S33" s="770">
        <f t="shared" si="12"/>
        <v>100</v>
      </c>
      <c r="T33" s="769" t="s">
        <v>17</v>
      </c>
      <c r="U33" s="770">
        <f t="shared" si="13"/>
        <v>100</v>
      </c>
      <c r="V33" s="769" t="s">
        <v>17</v>
      </c>
      <c r="W33" s="770">
        <f t="shared" si="14"/>
        <v>100</v>
      </c>
      <c r="X33" s="1811"/>
      <c r="Y33" s="3222"/>
      <c r="Z33" s="1812" t="str">
        <f t="shared" si="15"/>
        <v>是否直接入户</v>
      </c>
      <c r="AA33" s="1809">
        <f t="shared" si="3"/>
        <v>1</v>
      </c>
      <c r="AB33" s="1809">
        <f t="shared" si="4"/>
        <v>1</v>
      </c>
      <c r="AC33" s="1809">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222"/>
      <c r="Q34" s="1808">
        <f t="shared" si="11"/>
        <v>111</v>
      </c>
      <c r="R34" s="769" t="s">
        <v>17</v>
      </c>
      <c r="S34" s="770">
        <f t="shared" si="12"/>
        <v>100</v>
      </c>
      <c r="T34" s="769" t="s">
        <v>17</v>
      </c>
      <c r="U34" s="770">
        <f t="shared" si="13"/>
        <v>100</v>
      </c>
      <c r="V34" s="769" t="s">
        <v>17</v>
      </c>
      <c r="W34" s="770">
        <f t="shared" si="14"/>
        <v>100</v>
      </c>
      <c r="X34" s="1811"/>
      <c r="Y34" s="3222"/>
      <c r="Z34" s="1812">
        <f t="shared" si="15"/>
        <v>111</v>
      </c>
      <c r="AA34" s="1809">
        <f t="shared" si="3"/>
        <v>1</v>
      </c>
      <c r="AB34" s="1809">
        <f t="shared" si="4"/>
        <v>1</v>
      </c>
      <c r="AC34" s="1809">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222"/>
      <c r="Q35" s="771">
        <f t="shared" si="11"/>
        <v>111</v>
      </c>
      <c r="R35" s="772" t="s">
        <v>17</v>
      </c>
      <c r="S35" s="773">
        <f t="shared" si="12"/>
        <v>100</v>
      </c>
      <c r="T35" s="772" t="s">
        <v>17</v>
      </c>
      <c r="U35" s="773">
        <f t="shared" si="13"/>
        <v>100</v>
      </c>
      <c r="V35" s="772" t="s">
        <v>17</v>
      </c>
      <c r="W35" s="773">
        <f t="shared" si="14"/>
        <v>100</v>
      </c>
      <c r="X35" s="774"/>
      <c r="Y35" s="3222"/>
      <c r="Z35" s="775">
        <f t="shared" si="15"/>
        <v>111</v>
      </c>
      <c r="AA35" s="1809">
        <f t="shared" si="3"/>
        <v>1</v>
      </c>
      <c r="AB35" s="1809">
        <f t="shared" si="4"/>
        <v>1</v>
      </c>
      <c r="AC35" s="1809">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222"/>
      <c r="Q36" s="1808">
        <f t="shared" si="11"/>
        <v>111</v>
      </c>
      <c r="R36" s="769" t="s">
        <v>17</v>
      </c>
      <c r="S36" s="770">
        <f t="shared" si="12"/>
        <v>100</v>
      </c>
      <c r="T36" s="769" t="s">
        <v>17</v>
      </c>
      <c r="U36" s="770">
        <f t="shared" si="13"/>
        <v>100</v>
      </c>
      <c r="V36" s="769" t="s">
        <v>17</v>
      </c>
      <c r="W36" s="770">
        <f t="shared" si="14"/>
        <v>100</v>
      </c>
      <c r="X36" s="1811"/>
      <c r="Y36" s="3222"/>
      <c r="Z36" s="1812">
        <f t="shared" si="15"/>
        <v>111</v>
      </c>
      <c r="AA36" s="1809">
        <f t="shared" si="3"/>
        <v>1</v>
      </c>
      <c r="AB36" s="1809">
        <f t="shared" si="4"/>
        <v>1</v>
      </c>
      <c r="AC36" s="1809">
        <f t="shared" si="5"/>
        <v>1</v>
      </c>
    </row>
    <row r="37" spans="1:29" ht="15">
      <c r="A37" s="474" t="s">
        <v>2698</v>
      </c>
      <c r="B37" s="2693" t="s">
        <v>2699</v>
      </c>
      <c r="C37" s="1405" t="s">
        <v>1</v>
      </c>
      <c r="D37" s="1406"/>
      <c r="E37" s="1407"/>
      <c r="F37" s="1408"/>
      <c r="G37" s="1409"/>
      <c r="H37" s="1410"/>
      <c r="I37" s="1407"/>
      <c r="J37" s="1410"/>
      <c r="K37" s="614"/>
      <c r="L37" s="1141"/>
      <c r="M37" s="1142"/>
      <c r="N37" s="1129"/>
      <c r="O37" s="1142"/>
      <c r="P37" s="3217" t="str">
        <f>A37</f>
        <v>成交单价</v>
      </c>
      <c r="Q37" s="3217"/>
      <c r="R37" s="3302">
        <f>E37</f>
        <v>0</v>
      </c>
      <c r="S37" s="3302"/>
      <c r="T37" s="3302">
        <f>G37</f>
        <v>0</v>
      </c>
      <c r="U37" s="3302"/>
      <c r="V37" s="3302">
        <f>I37</f>
        <v>0</v>
      </c>
      <c r="W37" s="3302"/>
      <c r="X37" s="754"/>
      <c r="Y37" s="776"/>
      <c r="Z37" s="754"/>
      <c r="AA37" s="754"/>
      <c r="AB37" s="754"/>
      <c r="AC37" s="754"/>
    </row>
    <row r="38" spans="1:29" ht="15.75" thickBot="1">
      <c r="A38" s="481" t="s">
        <v>2700</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217" t="str">
        <f>A38</f>
        <v>比较价值（元/平方米）</v>
      </c>
      <c r="Q38" s="3217"/>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754"/>
      <c r="Y38" s="754"/>
      <c r="Z38" s="754"/>
      <c r="AA38" s="754"/>
      <c r="AB38" s="754"/>
      <c r="AC38" s="754"/>
    </row>
    <row r="39" spans="1:29" ht="15.75" thickBot="1">
      <c r="A39" s="487" t="s">
        <v>2701</v>
      </c>
      <c r="B39" s="488"/>
      <c r="C39" s="1415" t="e">
        <f>R39</f>
        <v>#DIV/0!</v>
      </c>
      <c r="D39" s="1415"/>
      <c r="E39" s="1415"/>
      <c r="F39" s="1415"/>
      <c r="G39" s="1415"/>
      <c r="H39" s="1415"/>
      <c r="I39" s="1415"/>
      <c r="J39" s="1415"/>
      <c r="K39" s="616"/>
      <c r="L39" s="1141"/>
      <c r="M39" s="1142"/>
      <c r="N39" s="1142"/>
      <c r="O39" s="1142"/>
      <c r="P39" s="3211" t="str">
        <f>A39</f>
        <v>估价对象XX用房的比较价值（楼面单价，元/平方米）</v>
      </c>
      <c r="Q39" s="3212"/>
      <c r="R39" s="3301" t="e">
        <f>IF(F1="售价",ROUND(AVERAGE(R38:V38),0),ROUND(AVERAGE(R38:V38),1))</f>
        <v>#DIV/0!</v>
      </c>
      <c r="S39" s="3301"/>
      <c r="T39" s="3301"/>
      <c r="U39" s="3301"/>
      <c r="V39" s="3301"/>
      <c r="W39" s="3301"/>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2702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2703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2704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2706</v>
      </c>
      <c r="B48" s="501"/>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5"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5" customFormat="1" ht="15.75" thickBot="1">
      <c r="A50" s="510" t="s">
        <v>2563</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5" customFormat="1" ht="15">
      <c r="A51" s="516" t="s">
        <v>2528</v>
      </c>
      <c r="B51" s="505"/>
      <c r="C51" s="517" t="s">
        <v>2630</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5"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2566</v>
      </c>
      <c r="B53" s="523" t="s">
        <v>2532</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2535</v>
      </c>
      <c r="C55" s="534" t="s">
        <v>2567</v>
      </c>
      <c r="D55" s="534" t="s">
        <v>2568</v>
      </c>
      <c r="E55" s="534" t="s">
        <v>2569</v>
      </c>
      <c r="F55" s="534" t="s">
        <v>2570</v>
      </c>
      <c r="G55" s="534" t="s">
        <v>2571</v>
      </c>
      <c r="H55" s="534" t="s">
        <v>2572</v>
      </c>
      <c r="I55" s="534" t="s">
        <v>2573</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2537</v>
      </c>
      <c r="B63" s="523" t="s">
        <v>2580</v>
      </c>
      <c r="C63" s="568" t="s">
        <v>2575</v>
      </c>
      <c r="D63" s="568" t="s">
        <v>2576</v>
      </c>
      <c r="E63" s="568" t="s">
        <v>2577</v>
      </c>
      <c r="F63" s="568" t="s">
        <v>2578</v>
      </c>
      <c r="G63" s="568" t="s">
        <v>2579</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2581</v>
      </c>
      <c r="C65" s="573" t="s">
        <v>2575</v>
      </c>
      <c r="D65" s="573" t="s">
        <v>2576</v>
      </c>
      <c r="E65" s="573" t="s">
        <v>2577</v>
      </c>
      <c r="F65" s="573" t="s">
        <v>2578</v>
      </c>
      <c r="G65" s="573" t="s">
        <v>2579</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2667</v>
      </c>
      <c r="C67" s="655" t="s">
        <v>2653</v>
      </c>
      <c r="D67" s="655" t="s">
        <v>2654</v>
      </c>
      <c r="E67" s="655" t="s">
        <v>2655</v>
      </c>
      <c r="F67" s="655" t="s">
        <v>2656</v>
      </c>
      <c r="G67" s="655" t="s">
        <v>2657</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2587</v>
      </c>
      <c r="C69" s="573" t="s">
        <v>2575</v>
      </c>
      <c r="D69" s="573" t="s">
        <v>2576</v>
      </c>
      <c r="E69" s="573" t="s">
        <v>2577</v>
      </c>
      <c r="F69" s="573" t="s">
        <v>2578</v>
      </c>
      <c r="G69" s="573" t="s">
        <v>2579</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2707</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5"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5"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5"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5"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2541</v>
      </c>
      <c r="B79" s="523" t="s">
        <v>2708</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2709</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2594</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2710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2711</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2712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2713</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2714</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2685</v>
      </c>
      <c r="B1" s="1617"/>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IF(C2="——",ROUND(C37*D3/10000,0),ROUND(C37*D3/10000,0)-D2)</f>
        <v>#DIV/0!</v>
      </c>
      <c r="C2" s="2584"/>
      <c r="D2" s="1122" t="e">
        <f ca="1">SUMIF(INDIRECT("'"&amp;F2&amp;"'"&amp;"!A:A"),"承租人权益价值",INDIRECT("'"&amp;F2&amp;"'"&amp;"!c:c"))</f>
        <v>#REF!</v>
      </c>
      <c r="E2" s="2585" t="s">
        <v>2309</v>
      </c>
      <c r="F2" s="2586"/>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 ca="1">IF(C2="——",C37,ROUND(B2*10000/D3,0))</f>
        <v>#DIV/0!</v>
      </c>
      <c r="C3" s="395" t="s">
        <v>2622</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5" t="s">
        <v>2626</v>
      </c>
      <c r="AC4" s="3224" t="s">
        <v>2627</v>
      </c>
    </row>
    <row r="5" spans="1:29"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5"/>
      <c r="AC5" s="3225"/>
    </row>
    <row r="6" spans="1:29" ht="15.75" thickBot="1">
      <c r="A6" s="401"/>
      <c r="B6" s="402"/>
      <c r="C6" s="3242" t="s">
        <v>2524</v>
      </c>
      <c r="D6" s="3243"/>
      <c r="E6" s="3249" t="s">
        <v>2524</v>
      </c>
      <c r="F6" s="3250"/>
      <c r="G6" s="3242" t="s">
        <v>2524</v>
      </c>
      <c r="H6" s="3243"/>
      <c r="I6" s="3242" t="s">
        <v>2524</v>
      </c>
      <c r="J6" s="3243"/>
      <c r="K6" s="605" t="s">
        <v>2525</v>
      </c>
      <c r="L6" s="1128"/>
      <c r="M6" s="1129"/>
      <c r="N6" s="1129"/>
      <c r="O6" s="1129"/>
      <c r="P6" s="3234"/>
      <c r="Q6" s="3235"/>
      <c r="R6" s="3238"/>
      <c r="S6" s="3239"/>
      <c r="T6" s="3240"/>
      <c r="U6" s="3241"/>
      <c r="V6" s="3223"/>
      <c r="W6" s="3223"/>
      <c r="X6" s="1811"/>
      <c r="Y6" s="3240"/>
      <c r="Z6" s="3241"/>
      <c r="AA6" s="3226"/>
      <c r="AB6" s="3226"/>
      <c r="AC6" s="3226"/>
    </row>
    <row r="7" spans="1:29" s="115" customFormat="1" ht="15.75" thickBot="1">
      <c r="A7" s="403" t="s">
        <v>2526</v>
      </c>
      <c r="B7" s="404"/>
      <c r="C7" s="405">
        <f>'数据-取费表'!B2</f>
        <v>43318</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246" t="s">
        <v>2527</v>
      </c>
      <c r="Q7" s="3248"/>
      <c r="R7" s="765" t="s">
        <v>17</v>
      </c>
      <c r="S7" s="766">
        <f t="shared" ref="S7:S14" si="0">F7</f>
        <v>0</v>
      </c>
      <c r="T7" s="765" t="s">
        <v>17</v>
      </c>
      <c r="U7" s="766">
        <f t="shared" ref="U7:U14" si="1">H7</f>
        <v>0</v>
      </c>
      <c r="V7" s="765" t="s">
        <v>17</v>
      </c>
      <c r="W7" s="766">
        <f t="shared" ref="W7:W14" si="2">J7</f>
        <v>0</v>
      </c>
      <c r="X7" s="767"/>
      <c r="Y7" s="3246" t="s">
        <v>2527</v>
      </c>
      <c r="Z7" s="3247"/>
      <c r="AA7" s="768" t="e">
        <f>D7/F7</f>
        <v>#DIV/0!</v>
      </c>
      <c r="AB7" s="768" t="e">
        <f>D7/H7</f>
        <v>#DIV/0!</v>
      </c>
      <c r="AC7" s="768" t="e">
        <f>D7/J7</f>
        <v>#DIV/0!</v>
      </c>
    </row>
    <row r="8" spans="1:29" s="115" customFormat="1" ht="15.75" thickBot="1">
      <c r="A8" s="403" t="s">
        <v>2528</v>
      </c>
      <c r="B8" s="404"/>
      <c r="C8" s="409" t="s">
        <v>2630</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34" si="3">D8/F8</f>
        <v>#DIV/0!</v>
      </c>
      <c r="AB8" s="768" t="e">
        <f t="shared" ref="AB8:AB34" si="4">D8/H8</f>
        <v>#DIV/0!</v>
      </c>
      <c r="AC8" s="768" t="e">
        <f t="shared" ref="AC8:AC34" si="5">D8/J8</f>
        <v>#DIV/0!</v>
      </c>
    </row>
    <row r="9" spans="1:29" s="115" customFormat="1">
      <c r="A9" s="410" t="s">
        <v>2531</v>
      </c>
      <c r="B9" s="71" t="s">
        <v>2532</v>
      </c>
      <c r="C9" s="411"/>
      <c r="D9" s="132">
        <v>100</v>
      </c>
      <c r="E9" s="414"/>
      <c r="F9" s="413">
        <f>SUMIF(51:51,E9,52:52)-SUMIF(51:51,C9,52:52)+100</f>
        <v>100</v>
      </c>
      <c r="G9" s="414"/>
      <c r="H9" s="132">
        <f>SUMIF(51:51,G9,52:52)-SUMIF(51:51,C9,52:52)+100</f>
        <v>100</v>
      </c>
      <c r="I9" s="414"/>
      <c r="J9" s="132">
        <f>SUMIF(51:51,I9,52:52)-SUMIF(51:51,C9,52:52)+100</f>
        <v>100</v>
      </c>
      <c r="K9" s="606"/>
      <c r="L9" s="1130"/>
      <c r="M9" s="1131"/>
      <c r="N9" s="1131"/>
      <c r="O9" s="1132"/>
      <c r="P9" s="3217" t="s">
        <v>2533</v>
      </c>
      <c r="Q9" s="1793" t="str">
        <f t="shared" ref="Q9:Q14" si="6">B9</f>
        <v>用途</v>
      </c>
      <c r="R9" s="765" t="s">
        <v>17</v>
      </c>
      <c r="S9" s="766">
        <f t="shared" si="0"/>
        <v>100</v>
      </c>
      <c r="T9" s="765" t="s">
        <v>17</v>
      </c>
      <c r="U9" s="766">
        <f t="shared" si="1"/>
        <v>100</v>
      </c>
      <c r="V9" s="765" t="s">
        <v>17</v>
      </c>
      <c r="W9" s="766">
        <f t="shared" si="2"/>
        <v>100</v>
      </c>
      <c r="X9" s="767"/>
      <c r="Y9" s="3053" t="s">
        <v>2534</v>
      </c>
      <c r="Z9" s="55" t="str">
        <f t="shared" ref="Z9:Z14" si="7">Q9</f>
        <v>用途</v>
      </c>
      <c r="AA9" s="768">
        <f t="shared" si="3"/>
        <v>1</v>
      </c>
      <c r="AB9" s="768">
        <f t="shared" si="4"/>
        <v>1</v>
      </c>
      <c r="AC9" s="768">
        <f t="shared" si="5"/>
        <v>1</v>
      </c>
    </row>
    <row r="10" spans="1:29" s="422" customFormat="1" ht="27">
      <c r="A10" s="416"/>
      <c r="B10" s="417" t="s">
        <v>2535</v>
      </c>
      <c r="C10" s="418"/>
      <c r="D10" s="133">
        <v>100</v>
      </c>
      <c r="E10" s="418"/>
      <c r="F10" s="420">
        <f>SUMIF(53:53,E10,54:54)-SUMIF(53:53,C10,54:54)+100</f>
        <v>100</v>
      </c>
      <c r="G10" s="418"/>
      <c r="H10" s="133">
        <f>SUMIF(53:53,G10,54:54)-SUMIF(53:53,C10,54:54)+100</f>
        <v>100</v>
      </c>
      <c r="I10" s="418"/>
      <c r="J10" s="133">
        <f>SUMIF(53:53,I10,54:54)-SUMIF(53:53,C10,54:54)+100</f>
        <v>100</v>
      </c>
      <c r="K10" s="607"/>
      <c r="L10" s="1133"/>
      <c r="M10" s="1134"/>
      <c r="N10" s="1134"/>
      <c r="O10" s="1135"/>
      <c r="P10" s="3217"/>
      <c r="Q10" s="1793" t="str">
        <f t="shared" si="6"/>
        <v>土地使用年限（年）</v>
      </c>
      <c r="R10" s="765" t="s">
        <v>17</v>
      </c>
      <c r="S10" s="766">
        <f t="shared" si="0"/>
        <v>100</v>
      </c>
      <c r="T10" s="765" t="s">
        <v>17</v>
      </c>
      <c r="U10" s="766">
        <f t="shared" si="1"/>
        <v>100</v>
      </c>
      <c r="V10" s="765" t="s">
        <v>17</v>
      </c>
      <c r="W10" s="766">
        <f t="shared" si="2"/>
        <v>100</v>
      </c>
      <c r="X10" s="767"/>
      <c r="Y10" s="3053"/>
      <c r="Z10" s="55" t="str">
        <f t="shared" si="7"/>
        <v>土地使用年限（年）</v>
      </c>
      <c r="AA10" s="768">
        <f t="shared" si="3"/>
        <v>1</v>
      </c>
      <c r="AB10" s="768">
        <f t="shared" si="4"/>
        <v>1</v>
      </c>
      <c r="AC10" s="768">
        <f t="shared" si="5"/>
        <v>1</v>
      </c>
    </row>
    <row r="11" spans="1:29" ht="15">
      <c r="A11" s="423"/>
      <c r="B11" s="2598">
        <v>111</v>
      </c>
      <c r="C11" s="427"/>
      <c r="D11" s="133">
        <v>100</v>
      </c>
      <c r="E11" s="464"/>
      <c r="F11" s="420">
        <f>SUMIF(55:55,E11,56:56)-SUMIF(55:55,C11,56:56)+100</f>
        <v>100</v>
      </c>
      <c r="G11" s="464"/>
      <c r="H11" s="133">
        <f>SUMIF(55:55,G11,56:56)-SUMIF(55:55,C11,56:56)+100</f>
        <v>100</v>
      </c>
      <c r="I11" s="464"/>
      <c r="J11" s="133">
        <f>SUMIF(55:55,I11,56:56)-SUMIF(55:55,C11,56:56)+100</f>
        <v>100</v>
      </c>
      <c r="K11" s="608"/>
      <c r="L11" s="1136"/>
      <c r="M11" s="1129"/>
      <c r="N11" s="1129"/>
      <c r="O11" s="1137"/>
      <c r="P11" s="3217"/>
      <c r="Q11" s="1793">
        <f t="shared" si="6"/>
        <v>111</v>
      </c>
      <c r="R11" s="765" t="s">
        <v>17</v>
      </c>
      <c r="S11" s="766">
        <f t="shared" si="0"/>
        <v>100</v>
      </c>
      <c r="T11" s="765" t="s">
        <v>17</v>
      </c>
      <c r="U11" s="766">
        <f t="shared" si="1"/>
        <v>100</v>
      </c>
      <c r="V11" s="765" t="s">
        <v>17</v>
      </c>
      <c r="W11" s="766">
        <f t="shared" si="2"/>
        <v>100</v>
      </c>
      <c r="X11" s="767"/>
      <c r="Y11" s="3053"/>
      <c r="Z11" s="55">
        <f t="shared" si="7"/>
        <v>111</v>
      </c>
      <c r="AA11" s="768">
        <f t="shared" si="3"/>
        <v>1</v>
      </c>
      <c r="AB11" s="768">
        <f t="shared" si="4"/>
        <v>1</v>
      </c>
      <c r="AC11" s="768">
        <f t="shared" si="5"/>
        <v>1</v>
      </c>
    </row>
    <row r="12" spans="1:29" s="115" customFormat="1" ht="15">
      <c r="A12" s="426"/>
      <c r="B12" s="2598">
        <v>111</v>
      </c>
      <c r="C12" s="427"/>
      <c r="D12" s="428">
        <v>100</v>
      </c>
      <c r="E12" s="464"/>
      <c r="F12" s="420">
        <f>SUMIF(57:57,E12,58:58)-SUMIF(57:57,C12,58:58)+100</f>
        <v>100</v>
      </c>
      <c r="G12" s="464"/>
      <c r="H12" s="133">
        <f>SUMIF(57:57,G12,58:58)-SUMIF(57:57,C12,58:58)+100</f>
        <v>100</v>
      </c>
      <c r="I12" s="464"/>
      <c r="J12" s="133">
        <f>SUMIF(57:57,I12,58:58)-SUMIF(57:57,C12,58:58)+100</f>
        <v>100</v>
      </c>
      <c r="K12" s="608"/>
      <c r="L12" s="1130"/>
      <c r="M12" s="1131"/>
      <c r="N12" s="1131"/>
      <c r="O12" s="1132"/>
      <c r="P12" s="3217"/>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768">
        <f>D12/J12</f>
        <v>1</v>
      </c>
    </row>
    <row r="13" spans="1:29" ht="15.75" thickBot="1">
      <c r="A13" s="423"/>
      <c r="B13" s="2598">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217"/>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768">
        <f t="shared" si="5"/>
        <v>1</v>
      </c>
    </row>
    <row r="14" spans="1:29" ht="15">
      <c r="A14" s="435" t="s">
        <v>2537</v>
      </c>
      <c r="B14" s="69" t="s">
        <v>2687</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219" t="s">
        <v>2538</v>
      </c>
      <c r="Q14" s="1808" t="str">
        <f t="shared" si="6"/>
        <v>交通便捷度</v>
      </c>
      <c r="R14" s="769" t="s">
        <v>17</v>
      </c>
      <c r="S14" s="770">
        <f t="shared" si="0"/>
        <v>100</v>
      </c>
      <c r="T14" s="769" t="s">
        <v>17</v>
      </c>
      <c r="U14" s="770">
        <f t="shared" si="1"/>
        <v>100</v>
      </c>
      <c r="V14" s="769" t="s">
        <v>17</v>
      </c>
      <c r="W14" s="770">
        <f t="shared" si="2"/>
        <v>100</v>
      </c>
      <c r="X14" s="1811"/>
      <c r="Y14" s="3219" t="s">
        <v>2538</v>
      </c>
      <c r="Z14" s="1812" t="str">
        <f t="shared" si="7"/>
        <v>交通便捷度</v>
      </c>
      <c r="AA14" s="1809">
        <f t="shared" si="3"/>
        <v>1</v>
      </c>
      <c r="AB14" s="1809">
        <f t="shared" si="4"/>
        <v>1</v>
      </c>
      <c r="AC14" s="1809">
        <f t="shared" si="5"/>
        <v>1</v>
      </c>
    </row>
    <row r="15" spans="1:29" ht="15">
      <c r="A15" s="423"/>
      <c r="B15" s="441"/>
      <c r="C15" s="442"/>
      <c r="D15" s="443"/>
      <c r="E15" s="442"/>
      <c r="F15" s="444"/>
      <c r="G15" s="442"/>
      <c r="H15" s="445"/>
      <c r="I15" s="442"/>
      <c r="J15" s="443"/>
      <c r="K15" s="610"/>
      <c r="L15" s="1138"/>
      <c r="M15" s="1129"/>
      <c r="N15" s="1129"/>
      <c r="O15" s="1137"/>
      <c r="P15" s="3220"/>
      <c r="Q15" s="1808"/>
      <c r="R15" s="769"/>
      <c r="S15" s="770"/>
      <c r="T15" s="769"/>
      <c r="U15" s="770"/>
      <c r="V15" s="769"/>
      <c r="W15" s="770"/>
      <c r="X15" s="1811"/>
      <c r="Y15" s="3220"/>
      <c r="Z15" s="1812"/>
      <c r="AA15" s="1809">
        <v>1</v>
      </c>
      <c r="AB15" s="1809">
        <v>1</v>
      </c>
      <c r="AC15" s="1809">
        <v>1</v>
      </c>
    </row>
    <row r="16" spans="1:29" ht="15">
      <c r="A16" s="423"/>
      <c r="B16" s="446" t="s">
        <v>2666</v>
      </c>
      <c r="C16" s="2605">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220"/>
      <c r="Q16" s="1808" t="str">
        <f>B16</f>
        <v>公共配套设施</v>
      </c>
      <c r="R16" s="769" t="s">
        <v>17</v>
      </c>
      <c r="S16" s="770">
        <f>F16</f>
        <v>100</v>
      </c>
      <c r="T16" s="769" t="s">
        <v>17</v>
      </c>
      <c r="U16" s="770">
        <f>H16</f>
        <v>100</v>
      </c>
      <c r="V16" s="769" t="s">
        <v>17</v>
      </c>
      <c r="W16" s="770">
        <f>J16</f>
        <v>100</v>
      </c>
      <c r="X16" s="1811"/>
      <c r="Y16" s="3220"/>
      <c r="Z16" s="1812" t="str">
        <f>Q16</f>
        <v>公共配套设施</v>
      </c>
      <c r="AA16" s="1809">
        <f t="shared" si="3"/>
        <v>1</v>
      </c>
      <c r="AB16" s="1809">
        <f t="shared" si="4"/>
        <v>1</v>
      </c>
      <c r="AC16" s="1809">
        <f t="shared" si="5"/>
        <v>1</v>
      </c>
    </row>
    <row r="17" spans="1:29" ht="15">
      <c r="A17" s="423"/>
      <c r="B17" s="451"/>
      <c r="C17" s="2606"/>
      <c r="D17" s="443"/>
      <c r="E17" s="442"/>
      <c r="F17" s="444"/>
      <c r="G17" s="442"/>
      <c r="H17" s="443"/>
      <c r="I17" s="442"/>
      <c r="J17" s="443"/>
      <c r="K17" s="610"/>
      <c r="L17" s="1138"/>
      <c r="M17" s="1129"/>
      <c r="N17" s="1129"/>
      <c r="O17" s="1137"/>
      <c r="P17" s="3220"/>
      <c r="Q17" s="1808"/>
      <c r="R17" s="769"/>
      <c r="S17" s="770"/>
      <c r="T17" s="769"/>
      <c r="U17" s="770"/>
      <c r="V17" s="769"/>
      <c r="W17" s="770"/>
      <c r="X17" s="1811"/>
      <c r="Y17" s="3220"/>
      <c r="Z17" s="1812"/>
      <c r="AA17" s="1809">
        <v>1</v>
      </c>
      <c r="AB17" s="1809">
        <v>1</v>
      </c>
      <c r="AC17" s="1809">
        <v>1</v>
      </c>
    </row>
    <row r="18" spans="1:29" ht="15">
      <c r="A18" s="423"/>
      <c r="B18" s="1382" t="s">
        <v>2667</v>
      </c>
      <c r="C18" s="2605">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220"/>
      <c r="Q18" s="1808" t="str">
        <f>B18</f>
        <v>基础设施水平</v>
      </c>
      <c r="R18" s="769" t="s">
        <v>17</v>
      </c>
      <c r="S18" s="770">
        <f>F18</f>
        <v>100</v>
      </c>
      <c r="T18" s="769" t="s">
        <v>17</v>
      </c>
      <c r="U18" s="770">
        <f>H18</f>
        <v>100</v>
      </c>
      <c r="V18" s="769" t="s">
        <v>17</v>
      </c>
      <c r="W18" s="770">
        <f>J18</f>
        <v>100</v>
      </c>
      <c r="X18" s="1811"/>
      <c r="Y18" s="3220"/>
      <c r="Z18" s="1812" t="str">
        <f>Q18</f>
        <v>基础设施水平</v>
      </c>
      <c r="AA18" s="1809">
        <f t="shared" ref="AA18" si="8">D18/F18</f>
        <v>1</v>
      </c>
      <c r="AB18" s="1809">
        <f t="shared" ref="AB18" si="9">D18/H18</f>
        <v>1</v>
      </c>
      <c r="AC18" s="1809">
        <f t="shared" ref="AC18" si="10">D18/J18</f>
        <v>1</v>
      </c>
    </row>
    <row r="19" spans="1:29" ht="15">
      <c r="A19" s="423"/>
      <c r="B19" s="1382"/>
      <c r="C19" s="2606"/>
      <c r="D19" s="445"/>
      <c r="E19" s="2606"/>
      <c r="F19" s="448"/>
      <c r="G19" s="2606"/>
      <c r="H19" s="443"/>
      <c r="I19" s="442"/>
      <c r="J19" s="443"/>
      <c r="K19" s="1381"/>
      <c r="L19" s="1138"/>
      <c r="M19" s="1129"/>
      <c r="N19" s="1129"/>
      <c r="O19" s="1137"/>
      <c r="P19" s="3220"/>
      <c r="Q19" s="1808"/>
      <c r="R19" s="769"/>
      <c r="S19" s="770"/>
      <c r="T19" s="769"/>
      <c r="U19" s="770"/>
      <c r="V19" s="769"/>
      <c r="W19" s="770"/>
      <c r="X19" s="1811"/>
      <c r="Y19" s="3220"/>
      <c r="Z19" s="1812"/>
      <c r="AA19" s="1809">
        <v>1</v>
      </c>
      <c r="AB19" s="1809">
        <v>1</v>
      </c>
      <c r="AC19" s="1809">
        <v>1</v>
      </c>
    </row>
    <row r="20" spans="1:29" ht="15">
      <c r="A20" s="423"/>
      <c r="B20" s="446" t="s">
        <v>2688</v>
      </c>
      <c r="C20" s="2605">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220"/>
      <c r="Q20" s="1808" t="str">
        <f>B20</f>
        <v>自然及人文环境</v>
      </c>
      <c r="R20" s="769" t="s">
        <v>17</v>
      </c>
      <c r="S20" s="770">
        <f>F20</f>
        <v>100</v>
      </c>
      <c r="T20" s="769" t="s">
        <v>17</v>
      </c>
      <c r="U20" s="770">
        <f>H20</f>
        <v>100</v>
      </c>
      <c r="V20" s="769" t="s">
        <v>17</v>
      </c>
      <c r="W20" s="770">
        <f>J20</f>
        <v>100</v>
      </c>
      <c r="X20" s="1811"/>
      <c r="Y20" s="3220"/>
      <c r="Z20" s="1812" t="str">
        <f>Q20</f>
        <v>自然及人文环境</v>
      </c>
      <c r="AA20" s="1809">
        <f t="shared" si="3"/>
        <v>1</v>
      </c>
      <c r="AB20" s="1809">
        <f t="shared" si="4"/>
        <v>1</v>
      </c>
      <c r="AC20" s="1809">
        <f t="shared" si="5"/>
        <v>1</v>
      </c>
    </row>
    <row r="21" spans="1:29" ht="15">
      <c r="A21" s="423"/>
      <c r="B21" s="451"/>
      <c r="C21" s="442"/>
      <c r="D21" s="443"/>
      <c r="E21" s="442"/>
      <c r="F21" s="444"/>
      <c r="G21" s="442"/>
      <c r="H21" s="443"/>
      <c r="I21" s="442"/>
      <c r="J21" s="443"/>
      <c r="K21" s="610"/>
      <c r="L21" s="1138"/>
      <c r="M21" s="1129"/>
      <c r="N21" s="1129"/>
      <c r="O21" s="1137"/>
      <c r="P21" s="3220"/>
      <c r="Q21" s="1808"/>
      <c r="R21" s="769"/>
      <c r="S21" s="770"/>
      <c r="T21" s="769"/>
      <c r="U21" s="770"/>
      <c r="V21" s="769"/>
      <c r="W21" s="770"/>
      <c r="X21" s="1811"/>
      <c r="Y21" s="3220"/>
      <c r="Z21" s="1812"/>
      <c r="AA21" s="1809">
        <v>1</v>
      </c>
      <c r="AB21" s="1809">
        <v>1</v>
      </c>
      <c r="AC21" s="1809">
        <v>1</v>
      </c>
    </row>
    <row r="22" spans="1:29" ht="15">
      <c r="A22" s="423"/>
      <c r="B22" s="446" t="s">
        <v>2689</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220"/>
      <c r="Q22" s="1808" t="str">
        <f>B22</f>
        <v>楼层</v>
      </c>
      <c r="R22" s="769" t="s">
        <v>17</v>
      </c>
      <c r="S22" s="770">
        <f>F22</f>
        <v>100</v>
      </c>
      <c r="T22" s="769" t="s">
        <v>17</v>
      </c>
      <c r="U22" s="770">
        <f>H22</f>
        <v>100</v>
      </c>
      <c r="V22" s="769" t="s">
        <v>17</v>
      </c>
      <c r="W22" s="770">
        <f>J22</f>
        <v>100</v>
      </c>
      <c r="X22" s="1811"/>
      <c r="Y22" s="3220"/>
      <c r="Z22" s="1812" t="str">
        <f>Q22</f>
        <v>楼层</v>
      </c>
      <c r="AA22" s="1809">
        <f t="shared" si="3"/>
        <v>1</v>
      </c>
      <c r="AB22" s="1809">
        <f t="shared" si="4"/>
        <v>1</v>
      </c>
      <c r="AC22" s="1809">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220"/>
      <c r="Q23" s="1808">
        <f>B23</f>
        <v>111</v>
      </c>
      <c r="R23" s="769" t="s">
        <v>17</v>
      </c>
      <c r="S23" s="770">
        <f>F23</f>
        <v>100</v>
      </c>
      <c r="T23" s="769" t="s">
        <v>17</v>
      </c>
      <c r="U23" s="770">
        <f>H23</f>
        <v>100</v>
      </c>
      <c r="V23" s="769" t="s">
        <v>17</v>
      </c>
      <c r="W23" s="770">
        <f>J23</f>
        <v>100</v>
      </c>
      <c r="X23" s="1811"/>
      <c r="Y23" s="3220"/>
      <c r="Z23" s="1812">
        <f>Q23</f>
        <v>111</v>
      </c>
      <c r="AA23" s="1809">
        <f t="shared" si="3"/>
        <v>1</v>
      </c>
      <c r="AB23" s="1809">
        <f t="shared" si="4"/>
        <v>1</v>
      </c>
      <c r="AC23" s="1809">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220"/>
      <c r="Q24" s="1808">
        <f t="shared" ref="Q24:Q34" si="11">B24</f>
        <v>111</v>
      </c>
      <c r="R24" s="769" t="s">
        <v>17</v>
      </c>
      <c r="S24" s="770">
        <f>F24</f>
        <v>100</v>
      </c>
      <c r="T24" s="769" t="s">
        <v>17</v>
      </c>
      <c r="U24" s="770">
        <f>H24</f>
        <v>100</v>
      </c>
      <c r="V24" s="769" t="s">
        <v>17</v>
      </c>
      <c r="W24" s="770">
        <f>J24</f>
        <v>100</v>
      </c>
      <c r="X24" s="1811"/>
      <c r="Y24" s="3220"/>
      <c r="Z24" s="1812">
        <f>Q24</f>
        <v>111</v>
      </c>
      <c r="AA24" s="1809">
        <f t="shared" si="3"/>
        <v>1</v>
      </c>
      <c r="AB24" s="1809">
        <f t="shared" si="4"/>
        <v>1</v>
      </c>
      <c r="AC24" s="1809">
        <f t="shared" si="5"/>
        <v>1</v>
      </c>
    </row>
    <row r="25" spans="1:29" s="115" customFormat="1" ht="15.75" thickBot="1">
      <c r="A25" s="426"/>
      <c r="B25" s="2598">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220"/>
      <c r="Q25" s="1793">
        <f t="shared" si="11"/>
        <v>111</v>
      </c>
      <c r="R25" s="765" t="s">
        <v>17</v>
      </c>
      <c r="S25" s="766">
        <f>F25</f>
        <v>100</v>
      </c>
      <c r="T25" s="765" t="s">
        <v>17</v>
      </c>
      <c r="U25" s="766">
        <f>H25</f>
        <v>100</v>
      </c>
      <c r="V25" s="765" t="s">
        <v>17</v>
      </c>
      <c r="W25" s="766">
        <f>J25</f>
        <v>100</v>
      </c>
      <c r="X25" s="767"/>
      <c r="Y25" s="3220"/>
      <c r="Z25" s="55">
        <f>Q25</f>
        <v>111</v>
      </c>
      <c r="AA25" s="1809">
        <f>D25/F25</f>
        <v>1</v>
      </c>
      <c r="AB25" s="1809">
        <f>D25/H25</f>
        <v>1</v>
      </c>
      <c r="AC25" s="1809">
        <f>D25/J25</f>
        <v>1</v>
      </c>
    </row>
    <row r="26" spans="1:29" ht="15">
      <c r="A26" s="461" t="s">
        <v>2541</v>
      </c>
      <c r="B26" s="71" t="s">
        <v>2692</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21" t="s">
        <v>2543</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22" t="s">
        <v>2543</v>
      </c>
      <c r="Z26" s="1812" t="str">
        <f t="shared" ref="Z26:Z34" si="15">Q26</f>
        <v>公共部分装修</v>
      </c>
      <c r="AA26" s="1809">
        <f t="shared" si="3"/>
        <v>1</v>
      </c>
      <c r="AB26" s="1809">
        <f t="shared" si="4"/>
        <v>1</v>
      </c>
      <c r="AC26" s="1809">
        <f t="shared" si="5"/>
        <v>1</v>
      </c>
    </row>
    <row r="27" spans="1:29" s="466" customFormat="1" ht="15">
      <c r="A27" s="463"/>
      <c r="B27" s="417" t="s">
        <v>2693</v>
      </c>
      <c r="C27" s="469"/>
      <c r="D27" s="133">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222"/>
      <c r="Q27" s="771" t="str">
        <f t="shared" si="11"/>
        <v>成新率</v>
      </c>
      <c r="R27" s="772" t="s">
        <v>17</v>
      </c>
      <c r="S27" s="773" t="e">
        <f t="shared" si="12"/>
        <v>#N/A</v>
      </c>
      <c r="T27" s="772" t="s">
        <v>17</v>
      </c>
      <c r="U27" s="773" t="e">
        <f t="shared" si="13"/>
        <v>#N/A</v>
      </c>
      <c r="V27" s="772" t="s">
        <v>17</v>
      </c>
      <c r="W27" s="773" t="e">
        <f t="shared" si="14"/>
        <v>#N/A</v>
      </c>
      <c r="X27" s="774"/>
      <c r="Y27" s="3222"/>
      <c r="Z27" s="775" t="str">
        <f t="shared" si="15"/>
        <v>成新率</v>
      </c>
      <c r="AA27" s="1809" t="e">
        <f t="shared" si="3"/>
        <v>#N/A</v>
      </c>
      <c r="AB27" s="1809" t="e">
        <f t="shared" si="4"/>
        <v>#N/A</v>
      </c>
      <c r="AC27" s="1809" t="e">
        <f t="shared" si="5"/>
        <v>#N/A</v>
      </c>
    </row>
    <row r="28" spans="1:29" ht="15">
      <c r="A28" s="467"/>
      <c r="B28" s="417" t="s">
        <v>2694</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222"/>
      <c r="Q28" s="1808" t="str">
        <f t="shared" si="11"/>
        <v>物业等级</v>
      </c>
      <c r="R28" s="769" t="s">
        <v>17</v>
      </c>
      <c r="S28" s="770">
        <f t="shared" si="12"/>
        <v>100</v>
      </c>
      <c r="T28" s="769" t="s">
        <v>17</v>
      </c>
      <c r="U28" s="770">
        <f t="shared" si="13"/>
        <v>100</v>
      </c>
      <c r="V28" s="769" t="s">
        <v>17</v>
      </c>
      <c r="W28" s="770">
        <f t="shared" si="14"/>
        <v>100</v>
      </c>
      <c r="X28" s="1811"/>
      <c r="Y28" s="3222"/>
      <c r="Z28" s="1812" t="str">
        <f t="shared" si="15"/>
        <v>物业等级</v>
      </c>
      <c r="AA28" s="1809">
        <f t="shared" si="3"/>
        <v>1</v>
      </c>
      <c r="AB28" s="1809">
        <f t="shared" si="4"/>
        <v>1</v>
      </c>
      <c r="AC28" s="1809">
        <f t="shared" si="5"/>
        <v>1</v>
      </c>
    </row>
    <row r="29" spans="1:29" ht="15">
      <c r="A29" s="467"/>
      <c r="B29" s="417" t="s">
        <v>2715</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222"/>
      <c r="Q29" s="1808" t="str">
        <f t="shared" si="11"/>
        <v>有无电梯</v>
      </c>
      <c r="R29" s="769" t="s">
        <v>17</v>
      </c>
      <c r="S29" s="770">
        <f t="shared" si="12"/>
        <v>100</v>
      </c>
      <c r="T29" s="769" t="s">
        <v>17</v>
      </c>
      <c r="U29" s="770">
        <f t="shared" si="13"/>
        <v>100</v>
      </c>
      <c r="V29" s="769" t="s">
        <v>17</v>
      </c>
      <c r="W29" s="770">
        <f t="shared" si="14"/>
        <v>100</v>
      </c>
      <c r="X29" s="1811"/>
      <c r="Y29" s="3222"/>
      <c r="Z29" s="1812" t="str">
        <f t="shared" si="15"/>
        <v>有无电梯</v>
      </c>
      <c r="AA29" s="1809">
        <f t="shared" si="3"/>
        <v>1</v>
      </c>
      <c r="AB29" s="1809">
        <f t="shared" si="4"/>
        <v>1</v>
      </c>
      <c r="AC29" s="1809">
        <f t="shared" si="5"/>
        <v>1</v>
      </c>
    </row>
    <row r="30" spans="1:29" ht="15">
      <c r="A30" s="467"/>
      <c r="B30" s="417" t="s">
        <v>2716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222"/>
      <c r="Q30" s="1808" t="str">
        <f t="shared" si="11"/>
        <v>建筑面积</v>
      </c>
      <c r="R30" s="769" t="s">
        <v>17</v>
      </c>
      <c r="S30" s="770" t="e">
        <f t="shared" si="12"/>
        <v>#N/A</v>
      </c>
      <c r="T30" s="769" t="s">
        <v>17</v>
      </c>
      <c r="U30" s="770" t="e">
        <f t="shared" si="13"/>
        <v>#N/A</v>
      </c>
      <c r="V30" s="769" t="s">
        <v>17</v>
      </c>
      <c r="W30" s="770" t="e">
        <f t="shared" si="14"/>
        <v>#N/A</v>
      </c>
      <c r="X30" s="1811"/>
      <c r="Y30" s="3222"/>
      <c r="Z30" s="1812" t="str">
        <f t="shared" si="15"/>
        <v>建筑面积</v>
      </c>
      <c r="AA30" s="1809" t="e">
        <f t="shared" si="3"/>
        <v>#N/A</v>
      </c>
      <c r="AB30" s="1809" t="e">
        <f t="shared" si="4"/>
        <v>#N/A</v>
      </c>
      <c r="AC30" s="1809" t="e">
        <f t="shared" si="5"/>
        <v>#N/A</v>
      </c>
    </row>
    <row r="31" spans="1:29" s="115" customFormat="1" ht="15">
      <c r="A31" s="468"/>
      <c r="B31" s="417" t="s">
        <v>2717</v>
      </c>
      <c r="C31" s="652"/>
      <c r="D31" s="133">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222"/>
      <c r="Q31" s="1793" t="str">
        <f t="shared" si="11"/>
        <v>是否封闭</v>
      </c>
      <c r="R31" s="765" t="s">
        <v>17</v>
      </c>
      <c r="S31" s="766">
        <f t="shared" si="12"/>
        <v>100</v>
      </c>
      <c r="T31" s="765" t="s">
        <v>17</v>
      </c>
      <c r="U31" s="766">
        <f t="shared" si="13"/>
        <v>100</v>
      </c>
      <c r="V31" s="765" t="s">
        <v>17</v>
      </c>
      <c r="W31" s="766">
        <f t="shared" si="14"/>
        <v>100</v>
      </c>
      <c r="X31" s="767"/>
      <c r="Y31" s="3222"/>
      <c r="Z31" s="55" t="str">
        <f t="shared" si="15"/>
        <v>是否封闭</v>
      </c>
      <c r="AA31" s="768">
        <f t="shared" si="3"/>
        <v>1</v>
      </c>
      <c r="AB31" s="768">
        <f t="shared" si="4"/>
        <v>1</v>
      </c>
      <c r="AC31" s="768">
        <f t="shared" si="5"/>
        <v>1</v>
      </c>
    </row>
    <row r="32" spans="1:29" ht="15">
      <c r="A32" s="467"/>
      <c r="B32" s="2598">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222" t="s">
        <v>2543</v>
      </c>
      <c r="Q32" s="1808">
        <f t="shared" si="11"/>
        <v>111</v>
      </c>
      <c r="R32" s="769" t="s">
        <v>17</v>
      </c>
      <c r="S32" s="770">
        <f t="shared" si="12"/>
        <v>100</v>
      </c>
      <c r="T32" s="769" t="s">
        <v>17</v>
      </c>
      <c r="U32" s="770">
        <f t="shared" si="13"/>
        <v>100</v>
      </c>
      <c r="V32" s="769" t="s">
        <v>17</v>
      </c>
      <c r="W32" s="770">
        <f t="shared" si="14"/>
        <v>100</v>
      </c>
      <c r="X32" s="1811"/>
      <c r="Y32" s="3222" t="s">
        <v>2543</v>
      </c>
      <c r="Z32" s="1812">
        <f t="shared" si="15"/>
        <v>111</v>
      </c>
      <c r="AA32" s="1809">
        <f t="shared" si="3"/>
        <v>1</v>
      </c>
      <c r="AB32" s="1809">
        <f t="shared" si="4"/>
        <v>1</v>
      </c>
      <c r="AC32" s="1809">
        <f t="shared" si="5"/>
        <v>1</v>
      </c>
    </row>
    <row r="33" spans="1:29" ht="15">
      <c r="A33" s="467"/>
      <c r="B33" s="2598">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222"/>
      <c r="Q33" s="1808">
        <f t="shared" si="11"/>
        <v>111</v>
      </c>
      <c r="R33" s="769" t="s">
        <v>17</v>
      </c>
      <c r="S33" s="770">
        <f t="shared" si="12"/>
        <v>100</v>
      </c>
      <c r="T33" s="769" t="s">
        <v>17</v>
      </c>
      <c r="U33" s="770">
        <f t="shared" si="13"/>
        <v>100</v>
      </c>
      <c r="V33" s="769" t="s">
        <v>17</v>
      </c>
      <c r="W33" s="770">
        <f t="shared" si="14"/>
        <v>100</v>
      </c>
      <c r="X33" s="1811"/>
      <c r="Y33" s="3222"/>
      <c r="Z33" s="1812">
        <f t="shared" si="15"/>
        <v>111</v>
      </c>
      <c r="AA33" s="1809">
        <f t="shared" si="3"/>
        <v>1</v>
      </c>
      <c r="AB33" s="1809">
        <f t="shared" si="4"/>
        <v>1</v>
      </c>
      <c r="AC33" s="1809">
        <f t="shared" si="5"/>
        <v>1</v>
      </c>
    </row>
    <row r="34" spans="1:29" ht="15.75" thickBot="1">
      <c r="A34" s="473"/>
      <c r="B34" s="2600">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222"/>
      <c r="Q34" s="1808">
        <f t="shared" si="11"/>
        <v>111</v>
      </c>
      <c r="R34" s="769" t="s">
        <v>17</v>
      </c>
      <c r="S34" s="770">
        <f t="shared" si="12"/>
        <v>100</v>
      </c>
      <c r="T34" s="769" t="s">
        <v>17</v>
      </c>
      <c r="U34" s="770">
        <f t="shared" si="13"/>
        <v>100</v>
      </c>
      <c r="V34" s="769" t="s">
        <v>17</v>
      </c>
      <c r="W34" s="770">
        <f t="shared" si="14"/>
        <v>100</v>
      </c>
      <c r="X34" s="1811"/>
      <c r="Y34" s="3222"/>
      <c r="Z34" s="1812">
        <f t="shared" si="15"/>
        <v>111</v>
      </c>
      <c r="AA34" s="1809">
        <f t="shared" si="3"/>
        <v>1</v>
      </c>
      <c r="AB34" s="1809">
        <f t="shared" si="4"/>
        <v>1</v>
      </c>
      <c r="AC34" s="1809">
        <f t="shared" si="5"/>
        <v>1</v>
      </c>
    </row>
    <row r="35" spans="1:29" ht="15">
      <c r="A35" s="474" t="s">
        <v>2555</v>
      </c>
      <c r="B35" s="475"/>
      <c r="C35" s="1405" t="s">
        <v>1</v>
      </c>
      <c r="D35" s="1406"/>
      <c r="E35" s="1407"/>
      <c r="F35" s="1408"/>
      <c r="G35" s="1409"/>
      <c r="H35" s="1410"/>
      <c r="I35" s="1407"/>
      <c r="J35" s="1410"/>
      <c r="K35" s="778"/>
      <c r="L35" s="1141"/>
      <c r="M35" s="1142"/>
      <c r="N35" s="1129"/>
      <c r="O35" s="1142"/>
      <c r="P35" s="3217" t="str">
        <f>A35</f>
        <v>成交单价（元/平方米）</v>
      </c>
      <c r="Q35" s="3217"/>
      <c r="R35" s="3302">
        <f>E35</f>
        <v>0</v>
      </c>
      <c r="S35" s="3302"/>
      <c r="T35" s="3302">
        <f>G35</f>
        <v>0</v>
      </c>
      <c r="U35" s="3302"/>
      <c r="V35" s="3302">
        <f>I35</f>
        <v>0</v>
      </c>
      <c r="W35" s="3302"/>
      <c r="X35" s="754"/>
      <c r="Y35" s="776"/>
      <c r="Z35" s="754"/>
      <c r="AA35" s="754"/>
      <c r="AB35" s="754"/>
      <c r="AC35" s="754"/>
    </row>
    <row r="36" spans="1:29" ht="15.75" thickBot="1">
      <c r="A36" s="481" t="s">
        <v>2647</v>
      </c>
      <c r="B36" s="482"/>
      <c r="C36" s="1411" t="e">
        <f>R37</f>
        <v>#DIV/0!</v>
      </c>
      <c r="D36" s="1412"/>
      <c r="E36" s="1413" t="e">
        <f>R36</f>
        <v>#DIV/0!</v>
      </c>
      <c r="F36" s="1413"/>
      <c r="G36" s="1411" t="e">
        <f>T36</f>
        <v>#DIV/0!</v>
      </c>
      <c r="H36" s="1412"/>
      <c r="I36" s="1413" t="e">
        <f>V36</f>
        <v>#DIV/0!</v>
      </c>
      <c r="J36" s="1412"/>
      <c r="K36" s="779"/>
      <c r="L36" s="1141"/>
      <c r="M36" s="1142"/>
      <c r="N36" s="1129"/>
      <c r="O36" s="1142"/>
      <c r="P36" s="3217" t="str">
        <f>A36</f>
        <v>比较价值（元/平方米）</v>
      </c>
      <c r="Q36" s="3217"/>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754"/>
      <c r="Y36" s="754"/>
      <c r="Z36" s="754"/>
      <c r="AA36" s="754"/>
      <c r="AB36" s="754"/>
      <c r="AC36" s="754"/>
    </row>
    <row r="37" spans="1:29" ht="15.75" thickBot="1">
      <c r="A37" s="487" t="s">
        <v>2648</v>
      </c>
      <c r="B37" s="488"/>
      <c r="C37" s="1415" t="e">
        <f>R37</f>
        <v>#DIV/0!</v>
      </c>
      <c r="D37" s="1415"/>
      <c r="E37" s="1415"/>
      <c r="F37" s="1415"/>
      <c r="G37" s="1415"/>
      <c r="H37" s="1415"/>
      <c r="I37" s="1415"/>
      <c r="J37" s="1415"/>
      <c r="K37" s="780"/>
      <c r="L37" s="1141"/>
      <c r="M37" s="1142"/>
      <c r="N37" s="1142"/>
      <c r="O37" s="1142"/>
      <c r="P37" s="3211" t="str">
        <f>A37</f>
        <v>估价对象XX用房的比较价值（楼面单价，元/平方米）</v>
      </c>
      <c r="Q37" s="3212"/>
      <c r="R37" s="3301" t="e">
        <f>IF(F1="售价",ROUND(AVERAGE(R36:V36),0),ROUND(AVERAGE(R36:V36),1))</f>
        <v>#DIV/0!</v>
      </c>
      <c r="S37" s="3301"/>
      <c r="T37" s="3301"/>
      <c r="U37" s="3301"/>
      <c r="V37" s="3301"/>
      <c r="W37" s="3301"/>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2649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2650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2651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2652</v>
      </c>
      <c r="B45" s="754"/>
      <c r="C45" s="759"/>
      <c r="D45" s="759"/>
      <c r="E45" s="759"/>
      <c r="F45" s="760"/>
      <c r="G45" s="760"/>
      <c r="H45" s="759"/>
      <c r="I45" s="759"/>
      <c r="J45" s="759"/>
      <c r="K45" s="761"/>
      <c r="L45" s="762"/>
      <c r="M45" s="759"/>
      <c r="N45" s="759"/>
      <c r="O45" s="759"/>
      <c r="P45" s="498"/>
      <c r="Q45" s="499"/>
    </row>
    <row r="46" spans="1:29" s="503" customFormat="1" ht="15">
      <c r="A46" s="500" t="s">
        <v>2526</v>
      </c>
      <c r="B46" s="501"/>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2"/>
    </row>
    <row r="47" spans="1:29" s="115" customFormat="1" ht="15">
      <c r="A47" s="504"/>
      <c r="B47" s="505"/>
      <c r="C47" s="1571">
        <v>100</v>
      </c>
      <c r="D47" s="507"/>
      <c r="E47" s="507"/>
      <c r="F47" s="507"/>
      <c r="G47" s="507"/>
      <c r="H47" s="507"/>
      <c r="I47" s="507"/>
      <c r="J47" s="507"/>
      <c r="K47" s="507"/>
      <c r="L47" s="507"/>
      <c r="M47" s="508"/>
      <c r="N47" s="507"/>
      <c r="O47" s="509"/>
      <c r="P47" s="499"/>
    </row>
    <row r="48" spans="1:29" s="115" customFormat="1" ht="15.75" thickBot="1">
      <c r="A48" s="510" t="s">
        <v>2563</v>
      </c>
      <c r="B48" s="511"/>
      <c r="C48" s="512"/>
      <c r="D48" s="513"/>
      <c r="E48" s="513"/>
      <c r="F48" s="513"/>
      <c r="G48" s="513"/>
      <c r="H48" s="513"/>
      <c r="I48" s="513"/>
      <c r="J48" s="513"/>
      <c r="K48" s="513"/>
      <c r="L48" s="513"/>
      <c r="M48" s="514"/>
      <c r="N48" s="513"/>
      <c r="O48" s="515"/>
      <c r="P48" s="499"/>
      <c r="Q48" s="499"/>
    </row>
    <row r="49" spans="1:17" s="115" customFormat="1" ht="15">
      <c r="A49" s="516" t="s">
        <v>2528</v>
      </c>
      <c r="B49" s="505"/>
      <c r="C49" s="517" t="s">
        <v>2630</v>
      </c>
      <c r="D49" s="518"/>
      <c r="E49" s="518"/>
      <c r="F49" s="518"/>
      <c r="G49" s="518"/>
      <c r="H49" s="518"/>
      <c r="I49" s="518"/>
      <c r="J49" s="518"/>
      <c r="K49" s="518"/>
      <c r="L49" s="519"/>
      <c r="M49" s="520"/>
      <c r="N49" s="1149"/>
      <c r="O49" s="1149"/>
      <c r="P49" s="521"/>
      <c r="Q49" s="499"/>
    </row>
    <row r="50" spans="1:17" s="115"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2566</v>
      </c>
      <c r="B51" s="523" t="s">
        <v>2532</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2535</v>
      </c>
      <c r="C53" s="534" t="s">
        <v>2567</v>
      </c>
      <c r="D53" s="534" t="s">
        <v>2568</v>
      </c>
      <c r="E53" s="534" t="s">
        <v>2569</v>
      </c>
      <c r="F53" s="534" t="s">
        <v>2570</v>
      </c>
      <c r="G53" s="534" t="s">
        <v>2571</v>
      </c>
      <c r="H53" s="534" t="s">
        <v>2572</v>
      </c>
      <c r="I53" s="534" t="s">
        <v>2573</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2537</v>
      </c>
      <c r="B61" s="523" t="s">
        <v>2580</v>
      </c>
      <c r="C61" s="568" t="s">
        <v>2575</v>
      </c>
      <c r="D61" s="568" t="s">
        <v>2576</v>
      </c>
      <c r="E61" s="568" t="s">
        <v>2577</v>
      </c>
      <c r="F61" s="568" t="s">
        <v>2578</v>
      </c>
      <c r="G61" s="568" t="s">
        <v>2579</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2718</v>
      </c>
      <c r="C63" s="573" t="s">
        <v>2575</v>
      </c>
      <c r="D63" s="573" t="s">
        <v>2576</v>
      </c>
      <c r="E63" s="573" t="s">
        <v>2577</v>
      </c>
      <c r="F63" s="573" t="s">
        <v>2578</v>
      </c>
      <c r="G63" s="573" t="s">
        <v>2579</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2667</v>
      </c>
      <c r="C65" s="655" t="s">
        <v>2653</v>
      </c>
      <c r="D65" s="655" t="s">
        <v>2654</v>
      </c>
      <c r="E65" s="655" t="s">
        <v>2655</v>
      </c>
      <c r="F65" s="655" t="s">
        <v>2656</v>
      </c>
      <c r="G65" s="655" t="s">
        <v>2657</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5"/>
      <c r="Q66" s="499"/>
    </row>
    <row r="67" spans="1:17" ht="15.75" thickTop="1">
      <c r="A67" s="529"/>
      <c r="B67" s="533" t="s">
        <v>2587</v>
      </c>
      <c r="C67" s="573" t="s">
        <v>2575</v>
      </c>
      <c r="D67" s="573" t="s">
        <v>2576</v>
      </c>
      <c r="E67" s="573" t="s">
        <v>2577</v>
      </c>
      <c r="F67" s="573" t="s">
        <v>2578</v>
      </c>
      <c r="G67" s="573" t="s">
        <v>2579</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2707</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5" customFormat="1" ht="15.75" thickTop="1">
      <c r="A71" s="574"/>
      <c r="B71" s="533">
        <f>B23</f>
        <v>111</v>
      </c>
      <c r="C71" s="544"/>
      <c r="D71" s="544"/>
      <c r="E71" s="544"/>
      <c r="F71" s="544"/>
      <c r="G71" s="549"/>
      <c r="H71" s="549"/>
      <c r="I71" s="549"/>
      <c r="J71" s="549"/>
      <c r="K71" s="549"/>
      <c r="L71" s="575"/>
      <c r="M71" s="576"/>
      <c r="N71" s="1149"/>
      <c r="O71" s="1149"/>
      <c r="P71" s="45"/>
      <c r="Q71" s="499"/>
    </row>
    <row r="72" spans="1:17" s="115" customFormat="1" ht="15.75" thickBot="1">
      <c r="A72" s="574"/>
      <c r="B72" s="538"/>
      <c r="C72" s="555"/>
      <c r="D72" s="531"/>
      <c r="E72" s="531"/>
      <c r="F72" s="531"/>
      <c r="G72" s="531"/>
      <c r="H72" s="531"/>
      <c r="I72" s="531"/>
      <c r="J72" s="531"/>
      <c r="K72" s="531"/>
      <c r="L72" s="531"/>
      <c r="M72" s="532"/>
      <c r="N72" s="1151"/>
      <c r="O72" s="1151"/>
      <c r="P72" s="45"/>
      <c r="Q72" s="499"/>
    </row>
    <row r="73" spans="1:17" s="115" customFormat="1" ht="15.75" thickTop="1">
      <c r="A73" s="574"/>
      <c r="B73" s="533">
        <f>B24</f>
        <v>111</v>
      </c>
      <c r="C73" s="544"/>
      <c r="D73" s="544"/>
      <c r="E73" s="544"/>
      <c r="F73" s="544"/>
      <c r="G73" s="549"/>
      <c r="H73" s="549"/>
      <c r="I73" s="549"/>
      <c r="J73" s="549"/>
      <c r="K73" s="549"/>
      <c r="L73" s="549"/>
      <c r="M73" s="576"/>
      <c r="N73" s="1149"/>
      <c r="O73" s="1149"/>
      <c r="P73" s="45"/>
      <c r="Q73" s="499"/>
    </row>
    <row r="74" spans="1:17" s="115"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2541</v>
      </c>
      <c r="B77" s="523" t="s">
        <v>2594</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2710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2711</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2719</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2720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2721</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2722</v>
      </c>
      <c r="B1" s="390"/>
      <c r="C1" s="391" t="s">
        <v>2774</v>
      </c>
      <c r="D1" s="750"/>
      <c r="E1" s="750"/>
      <c r="F1" s="749" t="s">
        <v>2621</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2308</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ROUND(IF(D3="",B2*10000/'数据-汇总表'!E3,B2*10000/D3),0)</f>
        <v>#DIV/0!</v>
      </c>
      <c r="C3" s="242" t="s">
        <v>2724</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14" t="s">
        <v>2624</v>
      </c>
      <c r="D4" s="3227"/>
      <c r="E4" s="3228" t="s">
        <v>2625</v>
      </c>
      <c r="F4" s="3229"/>
      <c r="G4" s="3214" t="s">
        <v>2626</v>
      </c>
      <c r="H4" s="3227"/>
      <c r="I4" s="3214" t="s">
        <v>2627</v>
      </c>
      <c r="J4" s="3227"/>
      <c r="K4" s="605" t="s">
        <v>2628</v>
      </c>
      <c r="L4" s="1128"/>
      <c r="M4" s="1129"/>
      <c r="N4" s="1129"/>
      <c r="O4" s="1129"/>
      <c r="P4" s="3230" t="s">
        <v>2629</v>
      </c>
      <c r="Q4" s="3231"/>
      <c r="R4" s="3236" t="s">
        <v>2625</v>
      </c>
      <c r="S4" s="3237"/>
      <c r="T4" s="3236" t="s">
        <v>2626</v>
      </c>
      <c r="U4" s="3237"/>
      <c r="V4" s="3223" t="s">
        <v>2627</v>
      </c>
      <c r="W4" s="3223"/>
      <c r="X4" s="1811"/>
      <c r="Y4" s="3236" t="s">
        <v>2629</v>
      </c>
      <c r="Z4" s="3237"/>
      <c r="AA4" s="3224" t="s">
        <v>2625</v>
      </c>
      <c r="AB4" s="3225" t="s">
        <v>2626</v>
      </c>
      <c r="AC4" s="3224" t="s">
        <v>2627</v>
      </c>
    </row>
    <row r="5" spans="1:29" ht="15">
      <c r="A5" s="399"/>
      <c r="B5" s="400"/>
      <c r="C5" s="3244" t="s">
        <v>2520</v>
      </c>
      <c r="D5" s="3245"/>
      <c r="E5" s="3251" t="s">
        <v>2521</v>
      </c>
      <c r="F5" s="3252"/>
      <c r="G5" s="3244" t="s">
        <v>2522</v>
      </c>
      <c r="H5" s="3245"/>
      <c r="I5" s="3244" t="s">
        <v>2523</v>
      </c>
      <c r="J5" s="3245"/>
      <c r="K5" s="605"/>
      <c r="L5" s="1128"/>
      <c r="M5" s="1129"/>
      <c r="N5" s="1129"/>
      <c r="O5" s="1129"/>
      <c r="P5" s="3232"/>
      <c r="Q5" s="3233"/>
      <c r="R5" s="3238"/>
      <c r="S5" s="3239"/>
      <c r="T5" s="3238"/>
      <c r="U5" s="3239"/>
      <c r="V5" s="3223"/>
      <c r="W5" s="3223"/>
      <c r="X5" s="1811"/>
      <c r="Y5" s="3238"/>
      <c r="Z5" s="3239"/>
      <c r="AA5" s="3225"/>
      <c r="AB5" s="3225"/>
      <c r="AC5" s="3225"/>
    </row>
    <row r="6" spans="1:29" ht="15.75" thickBot="1">
      <c r="A6" s="401"/>
      <c r="B6" s="402"/>
      <c r="C6" s="3324" t="s">
        <v>2775</v>
      </c>
      <c r="D6" s="3325"/>
      <c r="E6" s="3326" t="s">
        <v>2775</v>
      </c>
      <c r="F6" s="3327"/>
      <c r="G6" s="3324" t="s">
        <v>2775</v>
      </c>
      <c r="H6" s="3325"/>
      <c r="I6" s="3324" t="s">
        <v>2775</v>
      </c>
      <c r="J6" s="3325"/>
      <c r="K6" s="605" t="s">
        <v>2525</v>
      </c>
      <c r="L6" s="1128"/>
      <c r="M6" s="1129"/>
      <c r="N6" s="1129"/>
      <c r="O6" s="1129"/>
      <c r="P6" s="3234"/>
      <c r="Q6" s="3235"/>
      <c r="R6" s="3238"/>
      <c r="S6" s="3239"/>
      <c r="T6" s="3240"/>
      <c r="U6" s="3241"/>
      <c r="V6" s="3223"/>
      <c r="W6" s="3223"/>
      <c r="X6" s="1811"/>
      <c r="Y6" s="3240"/>
      <c r="Z6" s="3241"/>
      <c r="AA6" s="3226"/>
      <c r="AB6" s="3226"/>
      <c r="AC6" s="3226"/>
    </row>
    <row r="7" spans="1:29" s="115" customFormat="1" ht="15.75" thickBot="1">
      <c r="A7" s="403" t="s">
        <v>2526</v>
      </c>
      <c r="B7" s="404"/>
      <c r="C7" s="405">
        <f>'数据-取费表'!B2</f>
        <v>43318</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246" t="s">
        <v>2527</v>
      </c>
      <c r="Q7" s="3248"/>
      <c r="R7" s="765" t="s">
        <v>17</v>
      </c>
      <c r="S7" s="766">
        <f t="shared" ref="S7:S15" si="0">F7</f>
        <v>0</v>
      </c>
      <c r="T7" s="765" t="s">
        <v>17</v>
      </c>
      <c r="U7" s="766">
        <f t="shared" ref="U7:U15" si="1">H7</f>
        <v>0</v>
      </c>
      <c r="V7" s="765" t="s">
        <v>17</v>
      </c>
      <c r="W7" s="766">
        <f t="shared" ref="W7:W15" si="2">J7</f>
        <v>0</v>
      </c>
      <c r="X7" s="767"/>
      <c r="Y7" s="3246" t="s">
        <v>2527</v>
      </c>
      <c r="Z7" s="3247"/>
      <c r="AA7" s="768" t="e">
        <f>D7/F7</f>
        <v>#DIV/0!</v>
      </c>
      <c r="AB7" s="768" t="e">
        <f>D7/H7</f>
        <v>#DIV/0!</v>
      </c>
      <c r="AC7" s="768" t="e">
        <f>D7/J7</f>
        <v>#DIV/0!</v>
      </c>
    </row>
    <row r="8" spans="1:29" s="115" customFormat="1" ht="15.75" thickBot="1">
      <c r="A8" s="403" t="s">
        <v>2528</v>
      </c>
      <c r="B8" s="404"/>
      <c r="C8" s="409" t="s">
        <v>2529</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246" t="s">
        <v>2530</v>
      </c>
      <c r="Q8" s="3247"/>
      <c r="R8" s="765" t="s">
        <v>17</v>
      </c>
      <c r="S8" s="766">
        <f t="shared" si="0"/>
        <v>0</v>
      </c>
      <c r="T8" s="765" t="s">
        <v>17</v>
      </c>
      <c r="U8" s="766">
        <f t="shared" si="1"/>
        <v>0</v>
      </c>
      <c r="V8" s="765" t="s">
        <v>17</v>
      </c>
      <c r="W8" s="766">
        <f t="shared" si="2"/>
        <v>0</v>
      </c>
      <c r="X8" s="767"/>
      <c r="Y8" s="3246" t="s">
        <v>2530</v>
      </c>
      <c r="Z8" s="3247"/>
      <c r="AA8" s="768" t="e">
        <f t="shared" ref="AA8:AA40" si="3">D8/F8</f>
        <v>#DIV/0!</v>
      </c>
      <c r="AB8" s="768" t="e">
        <f t="shared" ref="AB8:AB40" si="4">D8/H8</f>
        <v>#DIV/0!</v>
      </c>
      <c r="AC8" s="768" t="e">
        <f t="shared" ref="AC8:AC40" si="5">D8/J8</f>
        <v>#DIV/0!</v>
      </c>
    </row>
    <row r="9" spans="1:29" s="115" customFormat="1">
      <c r="A9" s="410" t="s">
        <v>2531</v>
      </c>
      <c r="B9" s="71" t="s">
        <v>2532</v>
      </c>
      <c r="C9" s="2697"/>
      <c r="D9" s="132">
        <v>100</v>
      </c>
      <c r="E9" s="2697"/>
      <c r="F9" s="132">
        <f>SUMIF(70:70,E9,71:71)-SUMIF(70:70,C9,71:71)+100</f>
        <v>100</v>
      </c>
      <c r="G9" s="2697"/>
      <c r="H9" s="132">
        <f>SUMIF(70:70,G9,71:71)-SUMIF(70:70,C9,71:71)+100</f>
        <v>100</v>
      </c>
      <c r="I9" s="2697"/>
      <c r="J9" s="132">
        <f>SUMIF(70:70,I9,71:71)-SUMIF(70:70,C9,71:71)+100</f>
        <v>100</v>
      </c>
      <c r="K9" s="606"/>
      <c r="L9" s="1130"/>
      <c r="M9" s="1131"/>
      <c r="N9" s="1131"/>
      <c r="O9" s="1132"/>
      <c r="P9" s="3217" t="s">
        <v>2533</v>
      </c>
      <c r="Q9" s="1793" t="str">
        <f t="shared" ref="Q9:Q15" si="6">B9</f>
        <v>用途</v>
      </c>
      <c r="R9" s="765" t="s">
        <v>17</v>
      </c>
      <c r="S9" s="766">
        <f t="shared" si="0"/>
        <v>100</v>
      </c>
      <c r="T9" s="765" t="s">
        <v>17</v>
      </c>
      <c r="U9" s="766">
        <f t="shared" si="1"/>
        <v>100</v>
      </c>
      <c r="V9" s="765" t="s">
        <v>17</v>
      </c>
      <c r="W9" s="766">
        <f t="shared" si="2"/>
        <v>100</v>
      </c>
      <c r="X9" s="767"/>
      <c r="Y9" s="3053" t="s">
        <v>2534</v>
      </c>
      <c r="Z9" s="55" t="str">
        <f t="shared" ref="Z9:Z15" si="7">Q9</f>
        <v>用途</v>
      </c>
      <c r="AA9" s="768">
        <f t="shared" si="3"/>
        <v>1</v>
      </c>
      <c r="AB9" s="768">
        <f t="shared" si="4"/>
        <v>1</v>
      </c>
      <c r="AC9" s="768">
        <f t="shared" si="5"/>
        <v>1</v>
      </c>
    </row>
    <row r="10" spans="1:29" s="422" customFormat="1" ht="27">
      <c r="A10" s="416"/>
      <c r="B10" s="417" t="s">
        <v>2535</v>
      </c>
      <c r="C10" s="427"/>
      <c r="D10" s="133">
        <v>100</v>
      </c>
      <c r="E10" s="427"/>
      <c r="F10" s="133">
        <f>ROUND(100/'数据-取费表'!G16,0)</f>
        <v>105</v>
      </c>
      <c r="G10" s="427"/>
      <c r="H10" s="133">
        <f>ROUND(100/'数据-取费表'!G16,0)</f>
        <v>105</v>
      </c>
      <c r="I10" s="427"/>
      <c r="J10" s="133">
        <f>ROUND(100/'数据-取费表'!G16,0)</f>
        <v>105</v>
      </c>
      <c r="K10" s="667"/>
      <c r="L10" s="1133"/>
      <c r="M10" s="1134"/>
      <c r="N10" s="1134"/>
      <c r="O10" s="1135"/>
      <c r="P10" s="3217"/>
      <c r="Q10" s="1793" t="str">
        <f t="shared" si="6"/>
        <v>土地使用年限（年）</v>
      </c>
      <c r="R10" s="765" t="s">
        <v>17</v>
      </c>
      <c r="S10" s="766">
        <f t="shared" si="0"/>
        <v>105</v>
      </c>
      <c r="T10" s="765" t="s">
        <v>17</v>
      </c>
      <c r="U10" s="766">
        <f t="shared" si="1"/>
        <v>105</v>
      </c>
      <c r="V10" s="765" t="s">
        <v>17</v>
      </c>
      <c r="W10" s="766">
        <f t="shared" si="2"/>
        <v>105</v>
      </c>
      <c r="X10" s="767"/>
      <c r="Y10" s="3053"/>
      <c r="Z10" s="55" t="str">
        <f t="shared" si="7"/>
        <v>土地使用年限（年）</v>
      </c>
      <c r="AA10" s="768">
        <f t="shared" si="3"/>
        <v>0.95238095238095233</v>
      </c>
      <c r="AB10" s="768">
        <f t="shared" si="4"/>
        <v>0.95238095238095233</v>
      </c>
      <c r="AC10" s="768">
        <f t="shared" si="5"/>
        <v>0.95238095238095233</v>
      </c>
    </row>
    <row r="11" spans="1:29" ht="15">
      <c r="A11" s="423"/>
      <c r="B11" s="417" t="s">
        <v>2536</v>
      </c>
      <c r="C11" s="424"/>
      <c r="D11" s="133">
        <v>100</v>
      </c>
      <c r="E11" s="424"/>
      <c r="F11" s="133" t="e">
        <f>LOOKUP(E11,75:75,76:76)-LOOKUP(C11,75:75,76:76)+100</f>
        <v>#N/A</v>
      </c>
      <c r="G11" s="425"/>
      <c r="H11" s="133" t="e">
        <f>LOOKUP(G11,75:75,76:76)-LOOKUP(C11,75:75,76:76)+100</f>
        <v>#N/A</v>
      </c>
      <c r="I11" s="424"/>
      <c r="J11" s="133" t="e">
        <f>LOOKUP(I11,75:75,76:76)-LOOKUP(C11,75:75,76:76)+100</f>
        <v>#N/A</v>
      </c>
      <c r="K11" s="668"/>
      <c r="L11" s="1136"/>
      <c r="M11" s="1129"/>
      <c r="N11" s="1129"/>
      <c r="O11" s="1137"/>
      <c r="P11" s="3217"/>
      <c r="Q11" s="1793" t="str">
        <f t="shared" si="6"/>
        <v>容积率</v>
      </c>
      <c r="R11" s="765" t="s">
        <v>17</v>
      </c>
      <c r="S11" s="766" t="e">
        <f t="shared" si="0"/>
        <v>#N/A</v>
      </c>
      <c r="T11" s="765" t="s">
        <v>17</v>
      </c>
      <c r="U11" s="766" t="e">
        <f t="shared" si="1"/>
        <v>#N/A</v>
      </c>
      <c r="V11" s="765" t="s">
        <v>17</v>
      </c>
      <c r="W11" s="766" t="e">
        <f t="shared" si="2"/>
        <v>#N/A</v>
      </c>
      <c r="X11" s="767"/>
      <c r="Y11" s="3053"/>
      <c r="Z11" s="55" t="str">
        <f t="shared" si="7"/>
        <v>容积率</v>
      </c>
      <c r="AA11" s="768" t="e">
        <f t="shared" si="3"/>
        <v>#N/A</v>
      </c>
      <c r="AB11" s="768" t="e">
        <f t="shared" si="4"/>
        <v>#N/A</v>
      </c>
      <c r="AC11" s="768" t="e">
        <f t="shared" si="5"/>
        <v>#N/A</v>
      </c>
    </row>
    <row r="12" spans="1:29" s="115" customFormat="1" ht="15">
      <c r="A12" s="426"/>
      <c r="B12" s="2598">
        <v>111</v>
      </c>
      <c r="C12" s="427"/>
      <c r="D12" s="428">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217"/>
      <c r="Q12" s="1793">
        <f t="shared" si="6"/>
        <v>111</v>
      </c>
      <c r="R12" s="765" t="s">
        <v>17</v>
      </c>
      <c r="S12" s="766">
        <f t="shared" si="0"/>
        <v>100</v>
      </c>
      <c r="T12" s="765" t="s">
        <v>17</v>
      </c>
      <c r="U12" s="766">
        <f t="shared" si="1"/>
        <v>100</v>
      </c>
      <c r="V12" s="765" t="s">
        <v>17</v>
      </c>
      <c r="W12" s="766">
        <f t="shared" si="2"/>
        <v>100</v>
      </c>
      <c r="X12" s="767"/>
      <c r="Y12" s="3053"/>
      <c r="Z12" s="55">
        <f t="shared" si="7"/>
        <v>111</v>
      </c>
      <c r="AA12" s="768">
        <f>D12/F12</f>
        <v>1</v>
      </c>
      <c r="AB12" s="768">
        <f>D12/H12</f>
        <v>1</v>
      </c>
      <c r="AC12" s="768">
        <f>D12/J12</f>
        <v>1</v>
      </c>
    </row>
    <row r="13" spans="1:29" ht="15">
      <c r="A13" s="423"/>
      <c r="B13" s="2598">
        <v>111</v>
      </c>
      <c r="C13" s="429"/>
      <c r="D13" s="430">
        <v>100</v>
      </c>
      <c r="E13" s="544"/>
      <c r="F13" s="133">
        <f>SUMIF(79:79,E13,80:80)-SUMIF(79:79,C13,80:80)+100</f>
        <v>100</v>
      </c>
      <c r="G13" s="669"/>
      <c r="H13" s="430">
        <f>SUMIF(79:79,G13,80:80)-SUMIF(79:79,C13,80:80)+100</f>
        <v>100</v>
      </c>
      <c r="I13" s="544"/>
      <c r="J13" s="430">
        <f>SUMIF(79:79,I13,80:80)-SUMIF(79:79,C13,80:80)+100</f>
        <v>100</v>
      </c>
      <c r="K13" s="667"/>
      <c r="L13" s="1138"/>
      <c r="M13" s="1129"/>
      <c r="N13" s="1129"/>
      <c r="O13" s="1137"/>
      <c r="P13" s="3217"/>
      <c r="Q13" s="1793">
        <f t="shared" si="6"/>
        <v>111</v>
      </c>
      <c r="R13" s="765" t="s">
        <v>17</v>
      </c>
      <c r="S13" s="766">
        <f t="shared" si="0"/>
        <v>100</v>
      </c>
      <c r="T13" s="765" t="s">
        <v>17</v>
      </c>
      <c r="U13" s="766">
        <f t="shared" si="1"/>
        <v>100</v>
      </c>
      <c r="V13" s="765" t="s">
        <v>17</v>
      </c>
      <c r="W13" s="766">
        <f t="shared" si="2"/>
        <v>100</v>
      </c>
      <c r="X13" s="767"/>
      <c r="Y13" s="3053"/>
      <c r="Z13" s="55">
        <f t="shared" si="7"/>
        <v>111</v>
      </c>
      <c r="AA13" s="768">
        <f t="shared" si="3"/>
        <v>1</v>
      </c>
      <c r="AB13" s="768">
        <f t="shared" si="4"/>
        <v>1</v>
      </c>
      <c r="AC13" s="768">
        <f t="shared" si="5"/>
        <v>1</v>
      </c>
    </row>
    <row r="14" spans="1:29" ht="15.75" thickBot="1">
      <c r="A14" s="431"/>
      <c r="B14" s="2600">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217"/>
      <c r="Q14" s="1793">
        <f t="shared" si="6"/>
        <v>111</v>
      </c>
      <c r="R14" s="765" t="s">
        <v>17</v>
      </c>
      <c r="S14" s="766">
        <f t="shared" si="0"/>
        <v>100</v>
      </c>
      <c r="T14" s="765" t="s">
        <v>17</v>
      </c>
      <c r="U14" s="766">
        <f t="shared" si="1"/>
        <v>100</v>
      </c>
      <c r="V14" s="765" t="s">
        <v>17</v>
      </c>
      <c r="W14" s="766">
        <f t="shared" si="2"/>
        <v>100</v>
      </c>
      <c r="X14" s="767"/>
      <c r="Y14" s="3053"/>
      <c r="Z14" s="55">
        <f t="shared" si="7"/>
        <v>111</v>
      </c>
      <c r="AA14" s="768">
        <f t="shared" si="3"/>
        <v>1</v>
      </c>
      <c r="AB14" s="768">
        <f t="shared" si="4"/>
        <v>1</v>
      </c>
      <c r="AC14" s="768">
        <f t="shared" si="5"/>
        <v>1</v>
      </c>
    </row>
    <row r="15" spans="1:29" ht="15">
      <c r="A15" s="435" t="s">
        <v>2537</v>
      </c>
      <c r="B15" s="624" t="s">
        <v>2776</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219" t="s">
        <v>2538</v>
      </c>
      <c r="Q15" s="1808" t="str">
        <f t="shared" si="6"/>
        <v>产业集聚程度</v>
      </c>
      <c r="R15" s="769" t="s">
        <v>17</v>
      </c>
      <c r="S15" s="770">
        <f t="shared" si="0"/>
        <v>100</v>
      </c>
      <c r="T15" s="769" t="s">
        <v>17</v>
      </c>
      <c r="U15" s="770">
        <f t="shared" si="1"/>
        <v>100</v>
      </c>
      <c r="V15" s="769" t="s">
        <v>17</v>
      </c>
      <c r="W15" s="770">
        <f t="shared" si="2"/>
        <v>100</v>
      </c>
      <c r="X15" s="1811"/>
      <c r="Y15" s="3219" t="s">
        <v>2538</v>
      </c>
      <c r="Z15" s="1812" t="str">
        <f t="shared" si="7"/>
        <v>产业集聚程度</v>
      </c>
      <c r="AA15" s="1809">
        <f t="shared" si="3"/>
        <v>1</v>
      </c>
      <c r="AB15" s="1809">
        <f t="shared" si="4"/>
        <v>1</v>
      </c>
      <c r="AC15" s="1809">
        <f t="shared" si="5"/>
        <v>1</v>
      </c>
    </row>
    <row r="16" spans="1:29" ht="15">
      <c r="A16" s="423"/>
      <c r="B16" s="625"/>
      <c r="C16" s="442"/>
      <c r="D16" s="443"/>
      <c r="E16" s="2609"/>
      <c r="F16" s="443"/>
      <c r="G16" s="2609"/>
      <c r="H16" s="445"/>
      <c r="I16" s="2609"/>
      <c r="J16" s="443"/>
      <c r="K16" s="667"/>
      <c r="L16" s="1138"/>
      <c r="M16" s="1129"/>
      <c r="N16" s="1129"/>
      <c r="O16" s="1137"/>
      <c r="P16" s="3220"/>
      <c r="Q16" s="1808"/>
      <c r="R16" s="769"/>
      <c r="S16" s="770"/>
      <c r="T16" s="769"/>
      <c r="U16" s="770"/>
      <c r="V16" s="769"/>
      <c r="W16" s="770"/>
      <c r="X16" s="1811"/>
      <c r="Y16" s="3220"/>
      <c r="Z16" s="1812"/>
      <c r="AA16" s="1809">
        <v>1</v>
      </c>
      <c r="AB16" s="1809">
        <v>1</v>
      </c>
      <c r="AC16" s="1809">
        <v>1</v>
      </c>
    </row>
    <row r="17" spans="1:29" ht="15">
      <c r="A17" s="423"/>
      <c r="B17" s="626" t="s">
        <v>2687</v>
      </c>
      <c r="C17" s="2605">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220"/>
      <c r="Q17" s="1808" t="str">
        <f>B17</f>
        <v>交通便捷度</v>
      </c>
      <c r="R17" s="769" t="s">
        <v>17</v>
      </c>
      <c r="S17" s="770">
        <f>F17</f>
        <v>100</v>
      </c>
      <c r="T17" s="769" t="s">
        <v>17</v>
      </c>
      <c r="U17" s="770">
        <f>H17</f>
        <v>100</v>
      </c>
      <c r="V17" s="769" t="s">
        <v>17</v>
      </c>
      <c r="W17" s="770">
        <f>J17</f>
        <v>100</v>
      </c>
      <c r="X17" s="1811"/>
      <c r="Y17" s="3220"/>
      <c r="Z17" s="1812" t="str">
        <f>Q17</f>
        <v>交通便捷度</v>
      </c>
      <c r="AA17" s="1809">
        <f t="shared" si="3"/>
        <v>1</v>
      </c>
      <c r="AB17" s="1809">
        <f t="shared" si="4"/>
        <v>1</v>
      </c>
      <c r="AC17" s="1809">
        <f t="shared" si="5"/>
        <v>1</v>
      </c>
    </row>
    <row r="18" spans="1:29" ht="15">
      <c r="A18" s="423"/>
      <c r="B18" s="627"/>
      <c r="C18" s="442"/>
      <c r="D18" s="443"/>
      <c r="E18" s="2603"/>
      <c r="F18" s="443"/>
      <c r="G18" s="2603"/>
      <c r="H18" s="443"/>
      <c r="I18" s="2602"/>
      <c r="J18" s="443"/>
      <c r="K18" s="667"/>
      <c r="L18" s="1138"/>
      <c r="M18" s="1129"/>
      <c r="N18" s="1129"/>
      <c r="O18" s="1137"/>
      <c r="P18" s="3220"/>
      <c r="Q18" s="1808"/>
      <c r="R18" s="769"/>
      <c r="S18" s="770"/>
      <c r="T18" s="769"/>
      <c r="U18" s="770"/>
      <c r="V18" s="769"/>
      <c r="W18" s="770"/>
      <c r="X18" s="1811"/>
      <c r="Y18" s="3220"/>
      <c r="Z18" s="1812"/>
      <c r="AA18" s="1809">
        <v>1</v>
      </c>
      <c r="AB18" s="1809">
        <v>1</v>
      </c>
      <c r="AC18" s="1809">
        <v>1</v>
      </c>
    </row>
    <row r="19" spans="1:29" ht="15">
      <c r="A19" s="423"/>
      <c r="B19" s="626" t="s">
        <v>2726</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220"/>
      <c r="Q19" s="1808" t="str">
        <f t="shared" ref="Q19:Q33" si="8">B19</f>
        <v>区域土地利用方向</v>
      </c>
      <c r="R19" s="769" t="s">
        <v>17</v>
      </c>
      <c r="S19" s="770">
        <f>F19</f>
        <v>100</v>
      </c>
      <c r="T19" s="769" t="s">
        <v>17</v>
      </c>
      <c r="U19" s="770">
        <f>H19</f>
        <v>100</v>
      </c>
      <c r="V19" s="769" t="s">
        <v>17</v>
      </c>
      <c r="W19" s="770">
        <f>J19</f>
        <v>100</v>
      </c>
      <c r="X19" s="1811"/>
      <c r="Y19" s="3220"/>
      <c r="Z19" s="1812" t="str">
        <f>Q19</f>
        <v>区域土地利用方向</v>
      </c>
      <c r="AA19" s="1809">
        <f t="shared" si="3"/>
        <v>1</v>
      </c>
      <c r="AB19" s="1809">
        <f t="shared" si="4"/>
        <v>1</v>
      </c>
      <c r="AC19" s="1809">
        <f t="shared" si="5"/>
        <v>1</v>
      </c>
    </row>
    <row r="20" spans="1:29" ht="15">
      <c r="A20" s="399"/>
      <c r="B20" s="627"/>
      <c r="C20" s="442"/>
      <c r="D20" s="443"/>
      <c r="E20" s="2603"/>
      <c r="F20" s="443"/>
      <c r="G20" s="2603"/>
      <c r="H20" s="443"/>
      <c r="I20" s="2603"/>
      <c r="J20" s="443"/>
      <c r="K20" s="807"/>
      <c r="L20" s="1138"/>
      <c r="M20" s="1129"/>
      <c r="N20" s="1129"/>
      <c r="O20" s="1137"/>
      <c r="P20" s="3220"/>
      <c r="Q20" s="1808"/>
      <c r="R20" s="769"/>
      <c r="S20" s="770"/>
      <c r="T20" s="769"/>
      <c r="U20" s="770"/>
      <c r="V20" s="769"/>
      <c r="W20" s="770"/>
      <c r="X20" s="1811"/>
      <c r="Y20" s="3220"/>
      <c r="Z20" s="1812"/>
      <c r="AA20" s="1809"/>
      <c r="AB20" s="1809"/>
      <c r="AC20" s="1809"/>
    </row>
    <row r="21" spans="1:29" ht="15">
      <c r="A21" s="399"/>
      <c r="B21" s="626" t="s">
        <v>2777</v>
      </c>
      <c r="C21" s="2605">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220"/>
      <c r="Q21" s="1808" t="str">
        <f t="shared" si="8"/>
        <v>环境状况</v>
      </c>
      <c r="R21" s="769" t="s">
        <v>17</v>
      </c>
      <c r="S21" s="770">
        <f>F21</f>
        <v>100</v>
      </c>
      <c r="T21" s="769" t="s">
        <v>17</v>
      </c>
      <c r="U21" s="770">
        <f>H21</f>
        <v>100</v>
      </c>
      <c r="V21" s="769" t="s">
        <v>17</v>
      </c>
      <c r="W21" s="770">
        <f>J21</f>
        <v>100</v>
      </c>
      <c r="X21" s="1811"/>
      <c r="Y21" s="3220"/>
      <c r="Z21" s="1812" t="str">
        <f>Q21</f>
        <v>环境状况</v>
      </c>
      <c r="AA21" s="1809">
        <f t="shared" si="3"/>
        <v>1</v>
      </c>
      <c r="AB21" s="1809">
        <f t="shared" si="4"/>
        <v>1</v>
      </c>
      <c r="AC21" s="1809">
        <f t="shared" si="5"/>
        <v>1</v>
      </c>
    </row>
    <row r="22" spans="1:29" ht="15">
      <c r="A22" s="399"/>
      <c r="B22" s="627"/>
      <c r="C22" s="442"/>
      <c r="D22" s="443"/>
      <c r="E22" s="2609"/>
      <c r="F22" s="443"/>
      <c r="G22" s="2609"/>
      <c r="H22" s="443"/>
      <c r="I22" s="442"/>
      <c r="J22" s="443"/>
      <c r="K22" s="667"/>
      <c r="L22" s="1138"/>
      <c r="M22" s="1129"/>
      <c r="N22" s="1129"/>
      <c r="O22" s="1137"/>
      <c r="P22" s="3220"/>
      <c r="Q22" s="1808"/>
      <c r="R22" s="769"/>
      <c r="S22" s="770"/>
      <c r="T22" s="769"/>
      <c r="U22" s="770"/>
      <c r="V22" s="769"/>
      <c r="W22" s="770"/>
      <c r="X22" s="1811"/>
      <c r="Y22" s="3220"/>
      <c r="Z22" s="1812"/>
      <c r="AA22" s="1809">
        <v>1</v>
      </c>
      <c r="AB22" s="1809">
        <v>1</v>
      </c>
      <c r="AC22" s="1809">
        <v>1</v>
      </c>
    </row>
    <row r="23" spans="1:29" s="115" customFormat="1" ht="15">
      <c r="A23" s="644"/>
      <c r="B23" s="628" t="s">
        <v>2632</v>
      </c>
      <c r="C23" s="2605">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220"/>
      <c r="Q23" s="1793" t="str">
        <f t="shared" si="8"/>
        <v>公共配套设施</v>
      </c>
      <c r="R23" s="765" t="s">
        <v>17</v>
      </c>
      <c r="S23" s="766">
        <f>F23</f>
        <v>100</v>
      </c>
      <c r="T23" s="765" t="s">
        <v>17</v>
      </c>
      <c r="U23" s="766">
        <f>H23</f>
        <v>100</v>
      </c>
      <c r="V23" s="765" t="s">
        <v>17</v>
      </c>
      <c r="W23" s="766">
        <f>J23</f>
        <v>100</v>
      </c>
      <c r="X23" s="767"/>
      <c r="Y23" s="3220"/>
      <c r="Z23" s="55" t="str">
        <f>Q23</f>
        <v>公共配套设施</v>
      </c>
      <c r="AA23" s="1809">
        <f>D23/F23</f>
        <v>1</v>
      </c>
      <c r="AB23" s="1809">
        <f>D23/H23</f>
        <v>1</v>
      </c>
      <c r="AC23" s="1809">
        <f>D23/J23</f>
        <v>1</v>
      </c>
    </row>
    <row r="24" spans="1:29" s="115" customFormat="1" ht="15">
      <c r="A24" s="644"/>
      <c r="B24" s="627"/>
      <c r="C24" s="2698"/>
      <c r="D24" s="443"/>
      <c r="E24" s="2609"/>
      <c r="F24" s="443"/>
      <c r="G24" s="2609"/>
      <c r="H24" s="443"/>
      <c r="I24" s="442"/>
      <c r="J24" s="443"/>
      <c r="K24" s="667"/>
      <c r="L24" s="1130"/>
      <c r="M24" s="1131"/>
      <c r="N24" s="1131"/>
      <c r="O24" s="1132"/>
      <c r="P24" s="3220"/>
      <c r="Q24" s="1793"/>
      <c r="R24" s="765"/>
      <c r="S24" s="766"/>
      <c r="T24" s="765"/>
      <c r="U24" s="766"/>
      <c r="V24" s="765"/>
      <c r="W24" s="766"/>
      <c r="X24" s="767"/>
      <c r="Y24" s="3220"/>
      <c r="Z24" s="55"/>
      <c r="AA24" s="768">
        <v>1</v>
      </c>
      <c r="AB24" s="768">
        <v>1</v>
      </c>
      <c r="AC24" s="768">
        <v>1</v>
      </c>
    </row>
    <row r="25" spans="1:29" s="115" customFormat="1" ht="15">
      <c r="A25" s="644"/>
      <c r="B25" s="628" t="s">
        <v>2633</v>
      </c>
      <c r="C25" s="2605">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220"/>
      <c r="Q25" s="1793" t="str">
        <f t="shared" ref="Q25" si="9">B25</f>
        <v>基础设施水平</v>
      </c>
      <c r="R25" s="765" t="s">
        <v>17</v>
      </c>
      <c r="S25" s="766">
        <f>F25</f>
        <v>100</v>
      </c>
      <c r="T25" s="765" t="s">
        <v>17</v>
      </c>
      <c r="U25" s="766">
        <f>H25</f>
        <v>100</v>
      </c>
      <c r="V25" s="765" t="s">
        <v>17</v>
      </c>
      <c r="W25" s="766">
        <f>J25</f>
        <v>100</v>
      </c>
      <c r="X25" s="767"/>
      <c r="Y25" s="3220"/>
      <c r="Z25" s="55" t="str">
        <f>Q25</f>
        <v>基础设施水平</v>
      </c>
      <c r="AA25" s="1809">
        <f>D25/F25</f>
        <v>1</v>
      </c>
      <c r="AB25" s="1809">
        <f>D25/H25</f>
        <v>1</v>
      </c>
      <c r="AC25" s="1809">
        <f>D25/J25</f>
        <v>1</v>
      </c>
    </row>
    <row r="26" spans="1:29" s="115" customFormat="1" ht="15">
      <c r="A26" s="644"/>
      <c r="B26" s="627"/>
      <c r="C26" s="2698"/>
      <c r="D26" s="443"/>
      <c r="E26" s="2699"/>
      <c r="F26" s="443"/>
      <c r="G26" s="2699"/>
      <c r="H26" s="443"/>
      <c r="I26" s="2699"/>
      <c r="J26" s="443"/>
      <c r="K26" s="667"/>
      <c r="L26" s="1130"/>
      <c r="M26" s="1131"/>
      <c r="N26" s="1131"/>
      <c r="O26" s="1132"/>
      <c r="P26" s="3220"/>
      <c r="Q26" s="1793"/>
      <c r="R26" s="765"/>
      <c r="S26" s="766"/>
      <c r="T26" s="765"/>
      <c r="U26" s="766"/>
      <c r="V26" s="765"/>
      <c r="W26" s="766"/>
      <c r="X26" s="767"/>
      <c r="Y26" s="3220"/>
      <c r="Z26" s="55"/>
      <c r="AA26" s="768">
        <v>1</v>
      </c>
      <c r="AB26" s="768">
        <v>1</v>
      </c>
      <c r="AC26" s="768">
        <v>1</v>
      </c>
    </row>
    <row r="27" spans="1:29" ht="15">
      <c r="A27" s="423"/>
      <c r="B27" s="627" t="s">
        <v>2634</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220"/>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20"/>
      <c r="Z27" s="1812" t="str">
        <f t="shared" ref="Z27:Z40" si="13">Q27</f>
        <v>临街状况</v>
      </c>
      <c r="AA27" s="1809">
        <f t="shared" si="3"/>
        <v>1</v>
      </c>
      <c r="AB27" s="1809">
        <f t="shared" si="4"/>
        <v>1</v>
      </c>
      <c r="AC27" s="1809">
        <f t="shared" si="5"/>
        <v>1</v>
      </c>
    </row>
    <row r="28" spans="1:29" ht="27">
      <c r="A28" s="423"/>
      <c r="B28" s="628" t="s">
        <v>2669</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220"/>
      <c r="Q28" s="1808" t="str">
        <f t="shared" si="8"/>
        <v>毗邻道路的类型与等级</v>
      </c>
      <c r="R28" s="769" t="s">
        <v>17</v>
      </c>
      <c r="S28" s="770">
        <f t="shared" si="10"/>
        <v>100</v>
      </c>
      <c r="T28" s="769" t="s">
        <v>17</v>
      </c>
      <c r="U28" s="770">
        <f t="shared" si="11"/>
        <v>100</v>
      </c>
      <c r="V28" s="769" t="s">
        <v>17</v>
      </c>
      <c r="W28" s="770">
        <f t="shared" si="12"/>
        <v>100</v>
      </c>
      <c r="X28" s="1811"/>
      <c r="Y28" s="3220"/>
      <c r="Z28" s="1812" t="str">
        <f t="shared" si="13"/>
        <v>毗邻道路的类型与等级</v>
      </c>
      <c r="AA28" s="1809">
        <f t="shared" si="3"/>
        <v>1</v>
      </c>
      <c r="AB28" s="1809">
        <f t="shared" si="4"/>
        <v>1</v>
      </c>
      <c r="AC28" s="1809">
        <f t="shared" si="5"/>
        <v>1</v>
      </c>
    </row>
    <row r="29" spans="1:29" ht="15">
      <c r="A29" s="423"/>
      <c r="B29" s="627"/>
      <c r="C29" s="442"/>
      <c r="D29" s="443"/>
      <c r="E29" s="2609"/>
      <c r="F29" s="443"/>
      <c r="G29" s="2609"/>
      <c r="H29" s="443"/>
      <c r="I29" s="2609"/>
      <c r="J29" s="443"/>
      <c r="K29" s="608"/>
      <c r="L29" s="1138"/>
      <c r="M29" s="1129"/>
      <c r="N29" s="1129"/>
      <c r="O29" s="1137"/>
      <c r="P29" s="3220"/>
      <c r="Q29" s="1808"/>
      <c r="R29" s="769"/>
      <c r="S29" s="770"/>
      <c r="T29" s="769"/>
      <c r="U29" s="770"/>
      <c r="V29" s="769"/>
      <c r="W29" s="770"/>
      <c r="X29" s="1811"/>
      <c r="Y29" s="3220"/>
      <c r="Z29" s="1812"/>
      <c r="AA29" s="1809">
        <v>1</v>
      </c>
      <c r="AB29" s="1809">
        <v>1</v>
      </c>
      <c r="AC29" s="1809">
        <v>1</v>
      </c>
    </row>
    <row r="30" spans="1:29" ht="15">
      <c r="A30" s="423"/>
      <c r="B30" s="649" t="s">
        <v>2728</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220"/>
      <c r="Q30" s="1808" t="str">
        <f t="shared" si="8"/>
        <v>土地级别</v>
      </c>
      <c r="R30" s="769" t="s">
        <v>17</v>
      </c>
      <c r="S30" s="770">
        <f t="shared" si="10"/>
        <v>100</v>
      </c>
      <c r="T30" s="769" t="s">
        <v>17</v>
      </c>
      <c r="U30" s="770">
        <f t="shared" si="11"/>
        <v>100</v>
      </c>
      <c r="V30" s="769" t="s">
        <v>17</v>
      </c>
      <c r="W30" s="770">
        <f t="shared" si="12"/>
        <v>100</v>
      </c>
      <c r="X30" s="1811"/>
      <c r="Y30" s="3220"/>
      <c r="Z30" s="1812" t="str">
        <f t="shared" si="13"/>
        <v>土地级别</v>
      </c>
      <c r="AA30" s="1809">
        <f t="shared" si="3"/>
        <v>1</v>
      </c>
      <c r="AB30" s="1809">
        <f t="shared" si="4"/>
        <v>1</v>
      </c>
      <c r="AC30" s="1809">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220"/>
      <c r="Q31" s="1808">
        <f t="shared" si="8"/>
        <v>111</v>
      </c>
      <c r="R31" s="769" t="s">
        <v>17</v>
      </c>
      <c r="S31" s="770">
        <f t="shared" si="10"/>
        <v>100</v>
      </c>
      <c r="T31" s="769" t="s">
        <v>17</v>
      </c>
      <c r="U31" s="770">
        <f t="shared" si="11"/>
        <v>100</v>
      </c>
      <c r="V31" s="769" t="s">
        <v>17</v>
      </c>
      <c r="W31" s="770">
        <f t="shared" si="12"/>
        <v>100</v>
      </c>
      <c r="X31" s="1811"/>
      <c r="Y31" s="3220"/>
      <c r="Z31" s="1812">
        <f t="shared" si="13"/>
        <v>111</v>
      </c>
      <c r="AA31" s="1809">
        <f t="shared" si="3"/>
        <v>1</v>
      </c>
      <c r="AB31" s="1809">
        <f t="shared" si="4"/>
        <v>1</v>
      </c>
      <c r="AC31" s="1809">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21" t="s">
        <v>2543</v>
      </c>
      <c r="Q32" s="1808">
        <f t="shared" si="8"/>
        <v>111</v>
      </c>
      <c r="R32" s="769" t="s">
        <v>17</v>
      </c>
      <c r="S32" s="770">
        <f t="shared" si="10"/>
        <v>100</v>
      </c>
      <c r="T32" s="769" t="s">
        <v>17</v>
      </c>
      <c r="U32" s="770">
        <f t="shared" si="11"/>
        <v>100</v>
      </c>
      <c r="V32" s="769" t="s">
        <v>17</v>
      </c>
      <c r="W32" s="770">
        <f t="shared" si="12"/>
        <v>100</v>
      </c>
      <c r="X32" s="1811"/>
      <c r="Y32" s="3222" t="s">
        <v>2543</v>
      </c>
      <c r="Z32" s="1812">
        <f t="shared" si="13"/>
        <v>111</v>
      </c>
      <c r="AA32" s="1809">
        <f t="shared" si="3"/>
        <v>1</v>
      </c>
      <c r="AB32" s="1809">
        <f t="shared" si="4"/>
        <v>1</v>
      </c>
      <c r="AC32" s="1809">
        <f t="shared" si="5"/>
        <v>1</v>
      </c>
    </row>
    <row r="33" spans="1:29" s="466" customFormat="1" ht="15.75" thickBot="1">
      <c r="A33" s="671"/>
      <c r="B33" s="2713">
        <v>111</v>
      </c>
      <c r="C33" s="673"/>
      <c r="D33" s="134">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222"/>
      <c r="Q33" s="1808">
        <f t="shared" si="8"/>
        <v>111</v>
      </c>
      <c r="R33" s="772" t="s">
        <v>17</v>
      </c>
      <c r="S33" s="773">
        <f t="shared" si="10"/>
        <v>100</v>
      </c>
      <c r="T33" s="772" t="s">
        <v>17</v>
      </c>
      <c r="U33" s="773">
        <f t="shared" si="11"/>
        <v>100</v>
      </c>
      <c r="V33" s="772" t="s">
        <v>17</v>
      </c>
      <c r="W33" s="773">
        <f t="shared" si="12"/>
        <v>100</v>
      </c>
      <c r="X33" s="774"/>
      <c r="Y33" s="3222"/>
      <c r="Z33" s="775">
        <f t="shared" si="13"/>
        <v>111</v>
      </c>
      <c r="AA33" s="1809">
        <f t="shared" si="3"/>
        <v>1</v>
      </c>
      <c r="AB33" s="1809">
        <f t="shared" si="4"/>
        <v>1</v>
      </c>
      <c r="AC33" s="1809">
        <f t="shared" si="5"/>
        <v>1</v>
      </c>
    </row>
    <row r="34" spans="1:29" ht="15">
      <c r="A34" s="435" t="s">
        <v>2541</v>
      </c>
      <c r="B34" s="451" t="s">
        <v>2729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222"/>
      <c r="Q34" s="1808" t="str">
        <f>B34</f>
        <v>宗地面积</v>
      </c>
      <c r="R34" s="769" t="s">
        <v>17</v>
      </c>
      <c r="S34" s="770" t="e">
        <f t="shared" si="10"/>
        <v>#N/A</v>
      </c>
      <c r="T34" s="769" t="s">
        <v>17</v>
      </c>
      <c r="U34" s="770" t="e">
        <f t="shared" si="11"/>
        <v>#N/A</v>
      </c>
      <c r="V34" s="769" t="s">
        <v>17</v>
      </c>
      <c r="W34" s="770" t="e">
        <f t="shared" si="12"/>
        <v>#N/A</v>
      </c>
      <c r="X34" s="1811"/>
      <c r="Y34" s="3222"/>
      <c r="Z34" s="1812" t="str">
        <f t="shared" si="13"/>
        <v>宗地面积</v>
      </c>
      <c r="AA34" s="1809" t="e">
        <f t="shared" si="3"/>
        <v>#N/A</v>
      </c>
      <c r="AB34" s="1809" t="e">
        <f t="shared" si="4"/>
        <v>#N/A</v>
      </c>
      <c r="AC34" s="1809" t="e">
        <f t="shared" si="5"/>
        <v>#N/A</v>
      </c>
    </row>
    <row r="35" spans="1:29" ht="15">
      <c r="A35" s="467"/>
      <c r="B35" s="417" t="s">
        <v>2730</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7"/>
      <c r="L35" s="1138"/>
      <c r="M35" s="1129"/>
      <c r="N35" s="1129"/>
      <c r="O35" s="1137"/>
      <c r="P35" s="3222"/>
      <c r="Q35" s="1808" t="str">
        <f t="shared" ref="Q35:Q40" si="14">B35</f>
        <v>宗地形状</v>
      </c>
      <c r="R35" s="769" t="s">
        <v>17</v>
      </c>
      <c r="S35" s="770">
        <f t="shared" si="10"/>
        <v>100</v>
      </c>
      <c r="T35" s="769" t="s">
        <v>17</v>
      </c>
      <c r="U35" s="770">
        <f t="shared" si="11"/>
        <v>100</v>
      </c>
      <c r="V35" s="769" t="s">
        <v>17</v>
      </c>
      <c r="W35" s="770">
        <f t="shared" si="12"/>
        <v>100</v>
      </c>
      <c r="X35" s="1811"/>
      <c r="Y35" s="3222"/>
      <c r="Z35" s="1812" t="str">
        <f t="shared" si="13"/>
        <v>宗地形状</v>
      </c>
      <c r="AA35" s="1809">
        <f t="shared" si="3"/>
        <v>1</v>
      </c>
      <c r="AB35" s="1809">
        <f t="shared" si="4"/>
        <v>1</v>
      </c>
      <c r="AC35" s="1809">
        <f t="shared" si="5"/>
        <v>1</v>
      </c>
    </row>
    <row r="36" spans="1:29" s="115" customFormat="1" ht="15">
      <c r="A36" s="468"/>
      <c r="B36" s="417" t="s">
        <v>2732</v>
      </c>
      <c r="C36" s="2700"/>
      <c r="D36" s="133">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222"/>
      <c r="Q36" s="1808" t="str">
        <f t="shared" si="14"/>
        <v>宗地开发程度</v>
      </c>
      <c r="R36" s="765" t="s">
        <v>17</v>
      </c>
      <c r="S36" s="766">
        <f t="shared" si="10"/>
        <v>100</v>
      </c>
      <c r="T36" s="765" t="s">
        <v>17</v>
      </c>
      <c r="U36" s="766">
        <f t="shared" si="11"/>
        <v>100</v>
      </c>
      <c r="V36" s="765" t="s">
        <v>17</v>
      </c>
      <c r="W36" s="766">
        <f t="shared" si="12"/>
        <v>100</v>
      </c>
      <c r="X36" s="767"/>
      <c r="Y36" s="3222"/>
      <c r="Z36" s="55" t="str">
        <f t="shared" si="13"/>
        <v>宗地开发程度</v>
      </c>
      <c r="AA36" s="768">
        <f t="shared" si="3"/>
        <v>1</v>
      </c>
      <c r="AB36" s="768">
        <f t="shared" si="4"/>
        <v>1</v>
      </c>
      <c r="AC36" s="768">
        <f t="shared" si="5"/>
        <v>1</v>
      </c>
    </row>
    <row r="37" spans="1:29" ht="15">
      <c r="A37" s="467"/>
      <c r="B37" s="417" t="s">
        <v>2733</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7"/>
      <c r="L37" s="1138"/>
      <c r="M37" s="1129"/>
      <c r="N37" s="1129"/>
      <c r="O37" s="1137"/>
      <c r="P37" s="3222" t="s">
        <v>2543</v>
      </c>
      <c r="Q37" s="1808" t="str">
        <f t="shared" si="14"/>
        <v>工程地质条件</v>
      </c>
      <c r="R37" s="769" t="s">
        <v>17</v>
      </c>
      <c r="S37" s="770">
        <f t="shared" si="10"/>
        <v>100</v>
      </c>
      <c r="T37" s="769" t="s">
        <v>17</v>
      </c>
      <c r="U37" s="770">
        <f t="shared" si="11"/>
        <v>100</v>
      </c>
      <c r="V37" s="769" t="s">
        <v>17</v>
      </c>
      <c r="W37" s="770">
        <f t="shared" si="12"/>
        <v>100</v>
      </c>
      <c r="X37" s="1811"/>
      <c r="Y37" s="3222" t="s">
        <v>2543</v>
      </c>
      <c r="Z37" s="1812" t="str">
        <f t="shared" si="13"/>
        <v>工程地质条件</v>
      </c>
      <c r="AA37" s="1809">
        <f t="shared" si="3"/>
        <v>1</v>
      </c>
      <c r="AB37" s="1809">
        <f t="shared" si="4"/>
        <v>1</v>
      </c>
      <c r="AC37" s="1809">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222"/>
      <c r="Q38" s="1808">
        <f t="shared" si="14"/>
        <v>111</v>
      </c>
      <c r="R38" s="769" t="s">
        <v>17</v>
      </c>
      <c r="S38" s="770">
        <f t="shared" si="10"/>
        <v>100</v>
      </c>
      <c r="T38" s="769" t="s">
        <v>17</v>
      </c>
      <c r="U38" s="770">
        <f t="shared" si="11"/>
        <v>100</v>
      </c>
      <c r="V38" s="769" t="s">
        <v>17</v>
      </c>
      <c r="W38" s="770">
        <f t="shared" si="12"/>
        <v>100</v>
      </c>
      <c r="X38" s="1811"/>
      <c r="Y38" s="3222"/>
      <c r="Z38" s="1812">
        <f t="shared" si="13"/>
        <v>111</v>
      </c>
      <c r="AA38" s="1809">
        <f t="shared" si="3"/>
        <v>1</v>
      </c>
      <c r="AB38" s="1809">
        <f t="shared" si="4"/>
        <v>1</v>
      </c>
      <c r="AC38" s="1809">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222"/>
      <c r="Q39" s="1808">
        <f t="shared" si="14"/>
        <v>111</v>
      </c>
      <c r="R39" s="769" t="s">
        <v>17</v>
      </c>
      <c r="S39" s="770">
        <f t="shared" si="10"/>
        <v>100</v>
      </c>
      <c r="T39" s="769" t="s">
        <v>17</v>
      </c>
      <c r="U39" s="770">
        <f t="shared" si="11"/>
        <v>100</v>
      </c>
      <c r="V39" s="769" t="s">
        <v>17</v>
      </c>
      <c r="W39" s="770">
        <f t="shared" si="12"/>
        <v>100</v>
      </c>
      <c r="X39" s="1811"/>
      <c r="Y39" s="3222"/>
      <c r="Z39" s="1812">
        <f t="shared" si="13"/>
        <v>111</v>
      </c>
      <c r="AA39" s="1809">
        <f t="shared" si="3"/>
        <v>1</v>
      </c>
      <c r="AB39" s="1809">
        <f t="shared" si="4"/>
        <v>1</v>
      </c>
      <c r="AC39" s="1809">
        <f t="shared" si="5"/>
        <v>1</v>
      </c>
    </row>
    <row r="40" spans="1:29" s="466" customFormat="1" ht="15.75" thickBot="1">
      <c r="A40" s="463"/>
      <c r="B40" s="1385">
        <v>111</v>
      </c>
      <c r="C40" s="2701"/>
      <c r="D40" s="134">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222"/>
      <c r="Q40" s="1808">
        <f t="shared" si="14"/>
        <v>111</v>
      </c>
      <c r="R40" s="772" t="s">
        <v>17</v>
      </c>
      <c r="S40" s="773">
        <f t="shared" si="10"/>
        <v>100</v>
      </c>
      <c r="T40" s="772" t="s">
        <v>17</v>
      </c>
      <c r="U40" s="773">
        <f t="shared" si="11"/>
        <v>100</v>
      </c>
      <c r="V40" s="772" t="s">
        <v>17</v>
      </c>
      <c r="W40" s="773">
        <f t="shared" si="12"/>
        <v>100</v>
      </c>
      <c r="X40" s="774"/>
      <c r="Y40" s="3222"/>
      <c r="Z40" s="775">
        <f t="shared" si="13"/>
        <v>111</v>
      </c>
      <c r="AA40" s="1809">
        <f t="shared" si="3"/>
        <v>1</v>
      </c>
      <c r="AB40" s="1809">
        <f t="shared" si="4"/>
        <v>1</v>
      </c>
      <c r="AC40" s="1809">
        <f t="shared" si="5"/>
        <v>1</v>
      </c>
    </row>
    <row r="41" spans="1:29" ht="15">
      <c r="A41" s="474" t="s">
        <v>2698</v>
      </c>
      <c r="B41" s="2702" t="s">
        <v>2778</v>
      </c>
      <c r="C41" s="677" t="s">
        <v>1</v>
      </c>
      <c r="D41" s="476"/>
      <c r="E41" s="477"/>
      <c r="F41" s="478"/>
      <c r="G41" s="479"/>
      <c r="H41" s="480"/>
      <c r="I41" s="477"/>
      <c r="J41" s="480"/>
      <c r="K41" s="778"/>
      <c r="L41" s="1141"/>
      <c r="M41" s="1129"/>
      <c r="N41" s="1129"/>
      <c r="O41" s="1142"/>
      <c r="P41" s="3217" t="str">
        <f>A41</f>
        <v>成交单价</v>
      </c>
      <c r="Q41" s="3217"/>
      <c r="R41" s="3223">
        <f>E41</f>
        <v>0</v>
      </c>
      <c r="S41" s="3223"/>
      <c r="T41" s="3223">
        <f>G41</f>
        <v>0</v>
      </c>
      <c r="U41" s="3223"/>
      <c r="V41" s="3223">
        <f>I41</f>
        <v>0</v>
      </c>
      <c r="W41" s="3223"/>
      <c r="X41" s="754"/>
      <c r="Y41" s="776"/>
      <c r="Z41" s="754"/>
      <c r="AA41" s="754"/>
      <c r="AB41" s="754"/>
      <c r="AC41" s="754"/>
    </row>
    <row r="42" spans="1:29" ht="15.75" thickBot="1">
      <c r="A42" s="481" t="s">
        <v>2647</v>
      </c>
      <c r="B42" s="678"/>
      <c r="C42" s="485" t="e">
        <f>R43</f>
        <v>#DIV/0!</v>
      </c>
      <c r="D42" s="484"/>
      <c r="E42" s="485" t="e">
        <f>R42</f>
        <v>#DIV/0!</v>
      </c>
      <c r="F42" s="486"/>
      <c r="G42" s="483" t="e">
        <f>T42</f>
        <v>#DIV/0!</v>
      </c>
      <c r="H42" s="484"/>
      <c r="I42" s="485" t="e">
        <f>V42</f>
        <v>#DIV/0!</v>
      </c>
      <c r="J42" s="484"/>
      <c r="K42" s="779"/>
      <c r="L42" s="1141"/>
      <c r="M42" s="1129"/>
      <c r="N42" s="1129"/>
      <c r="O42" s="1142"/>
      <c r="P42" s="3217" t="str">
        <f>A42</f>
        <v>比较价值（元/平方米）</v>
      </c>
      <c r="Q42" s="3217"/>
      <c r="R42" s="3210" t="e">
        <f>ROUND(PRODUCT(R41,AA7:AA40),0)</f>
        <v>#DIV/0!</v>
      </c>
      <c r="S42" s="3210"/>
      <c r="T42" s="3210" t="e">
        <f>ROUND(PRODUCT(T41,AB7:AB40),0)</f>
        <v>#DIV/0!</v>
      </c>
      <c r="U42" s="3210"/>
      <c r="V42" s="3210" t="e">
        <f>ROUND(PRODUCT(V41,AC7:AC40),0)</f>
        <v>#DIV/0!</v>
      </c>
      <c r="W42" s="3210"/>
      <c r="X42" s="754"/>
      <c r="Y42" s="754"/>
      <c r="Z42" s="754"/>
      <c r="AA42" s="754"/>
      <c r="AB42" s="754"/>
      <c r="AC42" s="754"/>
    </row>
    <row r="43" spans="1:29" ht="15.75" thickBot="1">
      <c r="A43" s="487" t="s">
        <v>2648</v>
      </c>
      <c r="B43" s="488"/>
      <c r="C43" s="489" t="e">
        <f>R43</f>
        <v>#DIV/0!</v>
      </c>
      <c r="D43" s="489"/>
      <c r="E43" s="489"/>
      <c r="F43" s="489"/>
      <c r="G43" s="489"/>
      <c r="H43" s="489"/>
      <c r="I43" s="489"/>
      <c r="J43" s="489"/>
      <c r="K43" s="780"/>
      <c r="L43" s="1141"/>
      <c r="M43" s="1129"/>
      <c r="N43" s="1129"/>
      <c r="O43" s="1142"/>
      <c r="P43" s="3211" t="str">
        <f>A43</f>
        <v>估价对象XX用房的比较价值（楼面单价，元/平方米）</v>
      </c>
      <c r="Q43" s="3212"/>
      <c r="R43" s="3213" t="e">
        <f>ROUND(AVERAGE(R42:V42),0)</f>
        <v>#DIV/0!</v>
      </c>
      <c r="S43" s="3213"/>
      <c r="T43" s="3213"/>
      <c r="U43" s="3213"/>
      <c r="V43" s="3213"/>
      <c r="W43" s="3213"/>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2649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2650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2651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2736</v>
      </c>
      <c r="B50" s="680" t="s">
        <v>2737</v>
      </c>
      <c r="C50" s="2703" t="s">
        <v>2738</v>
      </c>
      <c r="D50" s="2704" t="s">
        <v>2739</v>
      </c>
      <c r="E50" s="681" t="s">
        <v>2740</v>
      </c>
      <c r="F50" s="682" t="s">
        <v>2741</v>
      </c>
      <c r="G50" s="3214" t="s">
        <v>2742</v>
      </c>
      <c r="H50" s="3215"/>
      <c r="I50" s="1812" t="s">
        <v>2779</v>
      </c>
      <c r="J50" s="1812">
        <f>项目基本情况!F35</f>
        <v>0</v>
      </c>
      <c r="K50" s="2706" t="s">
        <v>2744</v>
      </c>
      <c r="L50" s="1104"/>
      <c r="M50" s="1142"/>
      <c r="N50" s="1142"/>
      <c r="O50" s="1142"/>
    </row>
    <row r="51" spans="1:17" s="687" customFormat="1">
      <c r="A51" s="683" t="s">
        <v>2745</v>
      </c>
      <c r="B51" s="684" t="e">
        <f>C43</f>
        <v>#DIV/0!</v>
      </c>
      <c r="C51" s="685">
        <v>1</v>
      </c>
      <c r="D51" s="1161">
        <v>1</v>
      </c>
      <c r="E51" s="685">
        <f>'数据-汇总表'!E8+'数据-汇总表'!E9</f>
        <v>68001.889999999985</v>
      </c>
      <c r="F51" s="686" t="e">
        <f t="shared" ref="F51:F60" si="15">ROUND(B51*E51/10000,0)</f>
        <v>#DIV/0!</v>
      </c>
      <c r="G51" s="3216"/>
      <c r="H51" s="3217"/>
      <c r="I51" s="940">
        <v>1</v>
      </c>
      <c r="J51" s="940">
        <v>1</v>
      </c>
      <c r="K51" s="1143"/>
      <c r="L51" s="939"/>
      <c r="M51" s="939"/>
      <c r="N51" s="939"/>
      <c r="O51" s="939"/>
    </row>
    <row r="52" spans="1:17" s="687" customFormat="1">
      <c r="A52" s="688" t="s">
        <v>2746</v>
      </c>
      <c r="B52" s="257" t="e">
        <f>ROUND($C$43*C52*D52,0)</f>
        <v>#DIV/0!</v>
      </c>
      <c r="C52" s="195">
        <f t="shared" ref="C52:C60" si="16">IF($C$50="北京市系数",I52,J52)</f>
        <v>0.7</v>
      </c>
      <c r="D52" s="1162">
        <v>0.25</v>
      </c>
      <c r="E52" s="689"/>
      <c r="F52" s="686" t="e">
        <f t="shared" si="15"/>
        <v>#DIV/0!</v>
      </c>
      <c r="G52" s="3218" t="s">
        <v>2747</v>
      </c>
      <c r="H52" s="1102" t="str">
        <f>项目基本情况!B37</f>
        <v>七级</v>
      </c>
      <c r="I52" s="940">
        <f>SUMIF(修正!A45:A56,H52,修正!B45:B56)</f>
        <v>0.7</v>
      </c>
      <c r="J52" s="941"/>
      <c r="K52" s="1142"/>
      <c r="L52" s="939"/>
      <c r="M52" s="939"/>
      <c r="N52" s="939"/>
      <c r="O52" s="939"/>
    </row>
    <row r="53" spans="1:17" s="687" customFormat="1">
      <c r="A53" s="688" t="s">
        <v>2748</v>
      </c>
      <c r="B53" s="257" t="e">
        <f t="shared" ref="B53:B60" si="17">ROUND($C$43*C53*D53,0)</f>
        <v>#DIV/0!</v>
      </c>
      <c r="C53" s="195">
        <f t="shared" si="16"/>
        <v>0.4</v>
      </c>
      <c r="D53" s="1162">
        <v>0.25</v>
      </c>
      <c r="E53" s="689"/>
      <c r="F53" s="686" t="e">
        <f t="shared" si="15"/>
        <v>#DIV/0!</v>
      </c>
      <c r="G53" s="3218"/>
      <c r="H53" s="1102" t="str">
        <f>项目基本情况!B37</f>
        <v>七级</v>
      </c>
      <c r="I53" s="940">
        <f>SUMIF(修正!A45:A56,H53,修正!C45:C56)</f>
        <v>0.4</v>
      </c>
      <c r="J53" s="941"/>
      <c r="K53" s="1143"/>
      <c r="L53" s="939"/>
      <c r="M53" s="939"/>
      <c r="N53" s="939"/>
      <c r="O53" s="939"/>
    </row>
    <row r="54" spans="1:17" s="687" customFormat="1">
      <c r="A54" s="688" t="s">
        <v>2749</v>
      </c>
      <c r="B54" s="257" t="e">
        <f t="shared" si="17"/>
        <v>#DIV/0!</v>
      </c>
      <c r="C54" s="195">
        <f t="shared" si="16"/>
        <v>0.28000000000000003</v>
      </c>
      <c r="D54" s="1162">
        <v>0.25</v>
      </c>
      <c r="E54" s="689"/>
      <c r="F54" s="686" t="e">
        <f t="shared" si="15"/>
        <v>#DIV/0!</v>
      </c>
      <c r="G54" s="3218"/>
      <c r="H54" s="1102" t="str">
        <f>项目基本情况!B37</f>
        <v>七级</v>
      </c>
      <c r="I54" s="940">
        <f>SUMIF(修正!A45:A56,H54,修正!D45:D56)</f>
        <v>0.28000000000000003</v>
      </c>
      <c r="J54" s="941"/>
      <c r="K54" s="1142"/>
      <c r="L54" s="939"/>
      <c r="M54" s="939"/>
      <c r="N54" s="939"/>
      <c r="O54" s="939"/>
    </row>
    <row r="55" spans="1:17" s="687" customFormat="1">
      <c r="A55" s="688" t="s">
        <v>2750</v>
      </c>
      <c r="B55" s="257" t="e">
        <f t="shared" si="17"/>
        <v>#DIV/0!</v>
      </c>
      <c r="C55" s="195">
        <f t="shared" si="16"/>
        <v>0.25</v>
      </c>
      <c r="D55" s="1162">
        <v>0.25</v>
      </c>
      <c r="E55" s="689"/>
      <c r="F55" s="686" t="e">
        <f t="shared" si="15"/>
        <v>#DIV/0!</v>
      </c>
      <c r="G55" s="3218"/>
      <c r="H55" s="1102" t="str">
        <f>项目基本情况!B37</f>
        <v>七级</v>
      </c>
      <c r="I55" s="940">
        <f>SUMIF(修正!A45:A56,H55,修正!E45:E56)</f>
        <v>0.25</v>
      </c>
      <c r="J55" s="941"/>
      <c r="K55" s="1143"/>
      <c r="L55" s="939"/>
      <c r="M55" s="939"/>
      <c r="N55" s="939"/>
      <c r="O55" s="939"/>
    </row>
    <row r="56" spans="1:17" s="687" customFormat="1">
      <c r="A56" s="688" t="s">
        <v>2751</v>
      </c>
      <c r="B56" s="257" t="e">
        <f t="shared" si="17"/>
        <v>#DIV/0!</v>
      </c>
      <c r="C56" s="195">
        <f t="shared" si="16"/>
        <v>0.25</v>
      </c>
      <c r="D56" s="1162">
        <v>0.25</v>
      </c>
      <c r="E56" s="256">
        <f>'数据-汇总表'!E11</f>
        <v>0</v>
      </c>
      <c r="F56" s="686" t="e">
        <f t="shared" si="15"/>
        <v>#DIV/0!</v>
      </c>
      <c r="G56" s="2707" t="s">
        <v>2752</v>
      </c>
      <c r="H56" s="1102" t="str">
        <f>项目基本情况!C37</f>
        <v>七级</v>
      </c>
      <c r="I56" s="940">
        <f>SUMIF(修正!A45:A56,H56,修正!F45:F56)</f>
        <v>0.25</v>
      </c>
      <c r="J56" s="941"/>
      <c r="K56" s="1142"/>
      <c r="L56" s="939"/>
      <c r="M56" s="939"/>
      <c r="N56" s="939"/>
      <c r="O56" s="939"/>
    </row>
    <row r="57" spans="1:17" s="687" customFormat="1">
      <c r="A57" s="688" t="s">
        <v>2753</v>
      </c>
      <c r="B57" s="257" t="e">
        <f t="shared" si="17"/>
        <v>#DIV/0!</v>
      </c>
      <c r="C57" s="195">
        <f t="shared" si="16"/>
        <v>0.25</v>
      </c>
      <c r="D57" s="1162">
        <v>0.25</v>
      </c>
      <c r="E57" s="256">
        <f>'数据-汇总表'!E12</f>
        <v>0</v>
      </c>
      <c r="F57" s="686" t="e">
        <f t="shared" si="15"/>
        <v>#DIV/0!</v>
      </c>
      <c r="G57" s="1107" t="s">
        <v>2754</v>
      </c>
      <c r="H57" s="1102" t="str">
        <f>IF(G57="商业",项目基本情况!B37,IF(G57="办公",项目基本情况!C37,IF(G57="住宅",项目基本情况!D37,项目基本情况!E37)))</f>
        <v>七级</v>
      </c>
      <c r="I57" s="940">
        <f>SUMIF(修正!A45:A56,H57,修正!G45:G56)</f>
        <v>0.25</v>
      </c>
      <c r="J57" s="941"/>
      <c r="K57" s="1143"/>
      <c r="L57" s="939"/>
      <c r="M57" s="939"/>
      <c r="N57" s="939"/>
      <c r="O57" s="939"/>
    </row>
    <row r="58" spans="1:17" s="687" customFormat="1">
      <c r="A58" s="688" t="s">
        <v>2755</v>
      </c>
      <c r="B58" s="257" t="e">
        <f t="shared" si="17"/>
        <v>#DIV/0!</v>
      </c>
      <c r="C58" s="195">
        <f t="shared" si="16"/>
        <v>0</v>
      </c>
      <c r="D58" s="1162">
        <v>0.25</v>
      </c>
      <c r="E58" s="256">
        <f>'数据-汇总表'!E13</f>
        <v>0</v>
      </c>
      <c r="F58" s="686" t="e">
        <f t="shared" si="15"/>
        <v>#DIV/0!</v>
      </c>
      <c r="G58" s="1107" t="s">
        <v>2756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2757</v>
      </c>
      <c r="B59" s="257" t="e">
        <f t="shared" si="17"/>
        <v>#DIV/0!</v>
      </c>
      <c r="C59" s="195">
        <f t="shared" si="16"/>
        <v>0.2</v>
      </c>
      <c r="D59" s="1162">
        <v>0.25</v>
      </c>
      <c r="E59" s="256">
        <f>'数据-汇总表'!E14</f>
        <v>0</v>
      </c>
      <c r="F59" s="686" t="e">
        <f t="shared" si="15"/>
        <v>#DIV/0!</v>
      </c>
      <c r="G59" s="2707" t="s">
        <v>2747</v>
      </c>
      <c r="H59" s="1102" t="str">
        <f>项目基本情况!B37</f>
        <v>七级</v>
      </c>
      <c r="I59" s="940">
        <f>SUMIF(修正!A45:A56,H59,修正!H45:H56)</f>
        <v>0.2</v>
      </c>
      <c r="J59" s="941"/>
      <c r="K59" s="1143"/>
      <c r="L59" s="939"/>
      <c r="M59" s="939"/>
      <c r="N59" s="939"/>
      <c r="O59" s="939"/>
    </row>
    <row r="60" spans="1:17" s="687" customFormat="1" ht="15" thickBot="1">
      <c r="A60" s="688" t="s">
        <v>2758</v>
      </c>
      <c r="B60" s="257" t="e">
        <f t="shared" si="17"/>
        <v>#DIV/0!</v>
      </c>
      <c r="C60" s="195">
        <f t="shared" si="16"/>
        <v>0.2</v>
      </c>
      <c r="D60" s="1162">
        <v>0.25</v>
      </c>
      <c r="E60" s="256">
        <f>'数据-汇总表'!E15</f>
        <v>0</v>
      </c>
      <c r="F60" s="686" t="e">
        <f t="shared" si="15"/>
        <v>#DIV/0!</v>
      </c>
      <c r="G60" s="2708" t="s">
        <v>2752</v>
      </c>
      <c r="H60" s="1112" t="str">
        <f>项目基本情况!C37</f>
        <v>七级</v>
      </c>
      <c r="I60" s="940">
        <f>SUMIF(修正!A45:A56,H60,修正!H45:H56)</f>
        <v>0.2</v>
      </c>
      <c r="J60" s="941"/>
      <c r="K60" s="1142"/>
      <c r="L60" s="939"/>
      <c r="M60" s="939"/>
      <c r="N60" s="939"/>
      <c r="O60" s="939"/>
    </row>
    <row r="61" spans="1:17" s="687" customFormat="1" ht="15" thickBot="1">
      <c r="A61" s="690" t="s">
        <v>2759</v>
      </c>
      <c r="B61" s="691" t="s">
        <v>28</v>
      </c>
      <c r="C61" s="691" t="s">
        <v>29</v>
      </c>
      <c r="D61" s="691" t="s">
        <v>1029</v>
      </c>
      <c r="E61" s="691">
        <f>IF(B41="楼面地价",SUM(E51:E60),'数据-汇总表'!D3)</f>
        <v>35985.589999999997</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2018-8-1</v>
      </c>
      <c r="D63" s="756">
        <f>EDATE(C63,-3)</f>
        <v>43221</v>
      </c>
      <c r="E63" s="756">
        <f>EDATE(D63,-3)</f>
        <v>43132</v>
      </c>
      <c r="F63" s="756">
        <f t="shared" ref="F63:O63" si="18">EDATE(E63,-3)</f>
        <v>43040</v>
      </c>
      <c r="G63" s="756">
        <f t="shared" si="18"/>
        <v>42948</v>
      </c>
      <c r="H63" s="756">
        <f t="shared" si="18"/>
        <v>42856</v>
      </c>
      <c r="I63" s="756">
        <f t="shared" si="18"/>
        <v>42767</v>
      </c>
      <c r="J63" s="756">
        <f t="shared" si="18"/>
        <v>42675</v>
      </c>
      <c r="K63" s="756">
        <f t="shared" si="18"/>
        <v>42583</v>
      </c>
      <c r="L63" s="756">
        <f t="shared" si="18"/>
        <v>42491</v>
      </c>
      <c r="M63" s="756">
        <f t="shared" si="18"/>
        <v>42401</v>
      </c>
      <c r="N63" s="756">
        <f t="shared" si="18"/>
        <v>42309</v>
      </c>
      <c r="O63" s="756">
        <f t="shared" si="18"/>
        <v>42217</v>
      </c>
    </row>
    <row r="64" spans="1:17" ht="21.75" thickBot="1">
      <c r="A64" s="758" t="s">
        <v>2652</v>
      </c>
      <c r="B64" s="754"/>
      <c r="C64" s="759"/>
      <c r="D64" s="759"/>
      <c r="E64" s="759"/>
      <c r="F64" s="760"/>
      <c r="G64" s="760"/>
      <c r="H64" s="759"/>
      <c r="I64" s="759"/>
      <c r="J64" s="759"/>
      <c r="K64" s="761"/>
      <c r="L64" s="762"/>
      <c r="M64" s="759"/>
      <c r="N64" s="759"/>
      <c r="O64" s="1157"/>
      <c r="P64" s="498"/>
      <c r="Q64" s="499"/>
    </row>
    <row r="65" spans="1:17" s="503" customFormat="1" ht="15">
      <c r="A65" s="2709" t="s">
        <v>2760</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2"/>
    </row>
    <row r="66" spans="1:17" s="115" customFormat="1" ht="30.75" customHeight="1">
      <c r="A66" s="2714" t="s">
        <v>2780</v>
      </c>
      <c r="B66" s="327" t="str">
        <f>"北京市平均增长率"&amp;TEXT('基准地价修正-商业'!P24,"0.00%")</f>
        <v>北京市平均增长率1.41%</v>
      </c>
      <c r="C66" s="598">
        <v>100</v>
      </c>
      <c r="D66" s="590"/>
      <c r="E66" s="590"/>
      <c r="F66" s="590"/>
      <c r="G66" s="590"/>
      <c r="H66" s="590"/>
      <c r="I66" s="590"/>
      <c r="J66" s="590"/>
      <c r="K66" s="590"/>
      <c r="L66" s="590"/>
      <c r="M66" s="1565"/>
      <c r="N66" s="1565"/>
      <c r="O66" s="1567"/>
      <c r="P66" s="499"/>
    </row>
    <row r="67" spans="1:17" s="115" customFormat="1" ht="15.75" thickBot="1">
      <c r="A67" s="510" t="s">
        <v>2563</v>
      </c>
      <c r="B67" s="511"/>
      <c r="C67" s="512"/>
      <c r="D67" s="513"/>
      <c r="E67" s="513"/>
      <c r="F67" s="513"/>
      <c r="G67" s="513"/>
      <c r="H67" s="513"/>
      <c r="I67" s="513"/>
      <c r="J67" s="513"/>
      <c r="K67" s="513"/>
      <c r="L67" s="513"/>
      <c r="M67" s="514"/>
      <c r="N67" s="514"/>
      <c r="O67" s="515"/>
      <c r="P67" s="499"/>
      <c r="Q67" s="499"/>
    </row>
    <row r="68" spans="1:17" s="115" customFormat="1" ht="15">
      <c r="A68" s="516" t="s">
        <v>2528</v>
      </c>
      <c r="B68" s="505"/>
      <c r="C68" s="517" t="s">
        <v>2630</v>
      </c>
      <c r="D68" s="518"/>
      <c r="E68" s="518"/>
      <c r="F68" s="518"/>
      <c r="G68" s="518"/>
      <c r="H68" s="518"/>
      <c r="I68" s="518"/>
      <c r="J68" s="518"/>
      <c r="K68" s="518"/>
      <c r="L68" s="519"/>
      <c r="M68" s="520"/>
      <c r="N68" s="1149"/>
      <c r="O68" s="1149"/>
      <c r="P68" s="521"/>
      <c r="Q68" s="499"/>
    </row>
    <row r="69" spans="1:17" s="115"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2566</v>
      </c>
      <c r="B70" s="523" t="s">
        <v>2532</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2535</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2536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2537</v>
      </c>
      <c r="B83" s="523" t="s">
        <v>2683</v>
      </c>
      <c r="C83" s="568" t="s">
        <v>2575</v>
      </c>
      <c r="D83" s="568" t="s">
        <v>2576</v>
      </c>
      <c r="E83" s="568" t="s">
        <v>2577</v>
      </c>
      <c r="F83" s="568" t="s">
        <v>2578</v>
      </c>
      <c r="G83" s="568" t="s">
        <v>2579</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2580</v>
      </c>
      <c r="C85" s="573" t="s">
        <v>2575</v>
      </c>
      <c r="D85" s="573" t="s">
        <v>2576</v>
      </c>
      <c r="E85" s="573" t="s">
        <v>2577</v>
      </c>
      <c r="F85" s="573" t="s">
        <v>2578</v>
      </c>
      <c r="G85" s="573" t="s">
        <v>2579</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5" customFormat="1" ht="15.75" thickTop="1">
      <c r="A87" s="574"/>
      <c r="B87" s="533" t="s">
        <v>2763</v>
      </c>
      <c r="C87" s="568" t="s">
        <v>2575</v>
      </c>
      <c r="D87" s="568" t="s">
        <v>2576</v>
      </c>
      <c r="E87" s="568" t="s">
        <v>2577</v>
      </c>
      <c r="F87" s="568" t="s">
        <v>2578</v>
      </c>
      <c r="G87" s="568" t="s">
        <v>2579</v>
      </c>
      <c r="H87" s="573"/>
      <c r="I87" s="573"/>
      <c r="J87" s="573"/>
      <c r="K87" s="573"/>
      <c r="L87" s="693"/>
      <c r="M87" s="617"/>
      <c r="N87" s="1149"/>
      <c r="O87" s="1149"/>
      <c r="P87" s="45"/>
      <c r="Q87" s="499"/>
    </row>
    <row r="88" spans="1:17" s="115"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5" customFormat="1" ht="27.75" thickTop="1">
      <c r="A89" s="574"/>
      <c r="B89" s="533" t="s">
        <v>2764</v>
      </c>
      <c r="C89" s="568" t="s">
        <v>2575</v>
      </c>
      <c r="D89" s="568" t="s">
        <v>2576</v>
      </c>
      <c r="E89" s="568" t="s">
        <v>2577</v>
      </c>
      <c r="F89" s="568" t="s">
        <v>2578</v>
      </c>
      <c r="G89" s="568" t="s">
        <v>2579</v>
      </c>
      <c r="H89" s="573"/>
      <c r="I89" s="573"/>
      <c r="J89" s="573"/>
      <c r="K89" s="573"/>
      <c r="L89" s="573"/>
      <c r="M89" s="617"/>
      <c r="N89" s="1149"/>
      <c r="O89" s="1149"/>
      <c r="P89" s="45"/>
      <c r="Q89" s="499"/>
    </row>
    <row r="90" spans="1:17" s="115"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2632</v>
      </c>
      <c r="C91" s="568" t="s">
        <v>2575</v>
      </c>
      <c r="D91" s="568" t="s">
        <v>2576</v>
      </c>
      <c r="E91" s="568" t="s">
        <v>2577</v>
      </c>
      <c r="F91" s="568" t="s">
        <v>2578</v>
      </c>
      <c r="G91" s="568" t="s">
        <v>2579</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2781</v>
      </c>
      <c r="C93" s="655" t="s">
        <v>2653</v>
      </c>
      <c r="D93" s="655" t="s">
        <v>2654</v>
      </c>
      <c r="E93" s="655" t="s">
        <v>2655</v>
      </c>
      <c r="F93" s="655" t="s">
        <v>2656</v>
      </c>
      <c r="G93" s="655" t="s">
        <v>2657</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2765</v>
      </c>
      <c r="D95" s="534" t="s">
        <v>2766</v>
      </c>
      <c r="E95" s="534" t="s">
        <v>2767</v>
      </c>
      <c r="F95" s="534" t="s">
        <v>2768</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2669</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2728</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2541</v>
      </c>
      <c r="B107" s="523" t="s">
        <v>2769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4" t="str">
        <f t="shared" si="25"/>
        <v>(含)-</v>
      </c>
      <c r="L107" s="1764" t="str">
        <f t="shared" si="25"/>
        <v>(含)-</v>
      </c>
      <c r="M107" s="1765"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2770</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2772</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2773</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8" t="s">
        <v>183</v>
      </c>
      <c r="B18" s="877" t="s">
        <v>560</v>
      </c>
      <c r="C18" s="878" t="s">
        <v>561</v>
      </c>
      <c r="D18" s="879"/>
      <c r="E18" s="877">
        <v>1</v>
      </c>
      <c r="F18" s="880" t="s">
        <v>562</v>
      </c>
      <c r="G18" s="881"/>
      <c r="H18" s="873"/>
      <c r="I18" s="873"/>
    </row>
    <row r="19" spans="1:9" s="882" customFormat="1" ht="19.5" customHeight="1">
      <c r="A19" s="3328"/>
      <c r="B19" s="3328" t="s">
        <v>563</v>
      </c>
      <c r="C19" s="878" t="s">
        <v>564</v>
      </c>
      <c r="D19" s="879"/>
      <c r="E19" s="877">
        <v>0.9</v>
      </c>
      <c r="F19" s="880" t="s">
        <v>565</v>
      </c>
      <c r="G19" s="881"/>
      <c r="H19" s="873"/>
      <c r="I19" s="873"/>
    </row>
    <row r="20" spans="1:9" s="882" customFormat="1" ht="19.5" customHeight="1">
      <c r="A20" s="3328"/>
      <c r="B20" s="3328"/>
      <c r="C20" s="878" t="s">
        <v>566</v>
      </c>
      <c r="D20" s="879"/>
      <c r="E20" s="877">
        <v>1.1000000000000001</v>
      </c>
      <c r="F20" s="880" t="s">
        <v>567</v>
      </c>
      <c r="G20" s="881"/>
      <c r="H20" s="873"/>
      <c r="I20" s="873"/>
    </row>
    <row r="21" spans="1:9" s="882" customFormat="1" ht="19.5" customHeight="1">
      <c r="A21" s="3328"/>
      <c r="B21" s="3328"/>
      <c r="C21" s="878" t="s">
        <v>568</v>
      </c>
      <c r="D21" s="879"/>
      <c r="E21" s="877">
        <v>0.8</v>
      </c>
      <c r="F21" s="880" t="s">
        <v>569</v>
      </c>
      <c r="G21" s="881"/>
      <c r="H21" s="873"/>
      <c r="I21" s="873"/>
    </row>
    <row r="22" spans="1:9" s="882" customFormat="1" ht="19.5" customHeight="1">
      <c r="A22" s="3328"/>
      <c r="B22" s="3328"/>
      <c r="C22" s="878" t="s">
        <v>570</v>
      </c>
      <c r="D22" s="879"/>
      <c r="E22" s="877">
        <v>0.5</v>
      </c>
      <c r="F22" s="880"/>
      <c r="G22" s="881"/>
      <c r="H22" s="873"/>
      <c r="I22" s="873"/>
    </row>
    <row r="23" spans="1:9" s="882" customFormat="1" ht="19.5" customHeight="1">
      <c r="A23" s="3328" t="s">
        <v>184</v>
      </c>
      <c r="B23" s="877" t="s">
        <v>560</v>
      </c>
      <c r="C23" s="878" t="s">
        <v>571</v>
      </c>
      <c r="D23" s="879"/>
      <c r="E23" s="877">
        <v>1</v>
      </c>
      <c r="F23" s="880" t="s">
        <v>572</v>
      </c>
      <c r="G23" s="881"/>
      <c r="H23" s="873"/>
      <c r="I23" s="873"/>
    </row>
    <row r="24" spans="1:9" s="882" customFormat="1" ht="19.5" customHeight="1">
      <c r="A24" s="3328"/>
      <c r="B24" s="3328" t="s">
        <v>563</v>
      </c>
      <c r="C24" s="878" t="s">
        <v>573</v>
      </c>
      <c r="D24" s="879"/>
      <c r="E24" s="877">
        <v>0.5</v>
      </c>
      <c r="F24" s="880"/>
      <c r="G24" s="881"/>
      <c r="H24" s="873"/>
      <c r="I24" s="873"/>
    </row>
    <row r="25" spans="1:9" s="882" customFormat="1" ht="19.5" customHeight="1">
      <c r="A25" s="3328"/>
      <c r="B25" s="3328"/>
      <c r="C25" s="878" t="s">
        <v>574</v>
      </c>
      <c r="D25" s="879"/>
      <c r="E25" s="877">
        <v>1.1000000000000001</v>
      </c>
      <c r="F25" s="880"/>
      <c r="G25" s="881"/>
      <c r="H25" s="873"/>
      <c r="I25" s="873"/>
    </row>
    <row r="26" spans="1:9" s="882" customFormat="1" ht="19.5" customHeight="1">
      <c r="A26" s="3328"/>
      <c r="B26" s="3328"/>
      <c r="C26" s="878" t="s">
        <v>575</v>
      </c>
      <c r="D26" s="879"/>
      <c r="E26" s="877">
        <v>1.1000000000000001</v>
      </c>
      <c r="F26" s="880"/>
      <c r="G26" s="881"/>
      <c r="H26" s="873"/>
      <c r="I26" s="873"/>
    </row>
    <row r="27" spans="1:9" s="882" customFormat="1" ht="19.5" customHeight="1">
      <c r="A27" s="3328"/>
      <c r="B27" s="3328"/>
      <c r="C27" s="878" t="s">
        <v>576</v>
      </c>
      <c r="D27" s="879"/>
      <c r="E27" s="877">
        <v>0.9</v>
      </c>
      <c r="F27" s="880" t="s">
        <v>577</v>
      </c>
      <c r="G27" s="881"/>
      <c r="H27" s="873"/>
      <c r="I27" s="873"/>
    </row>
    <row r="28" spans="1:9" s="882" customFormat="1" ht="19.5" customHeight="1">
      <c r="A28" s="3328"/>
      <c r="B28" s="3328"/>
      <c r="C28" s="878" t="s">
        <v>578</v>
      </c>
      <c r="D28" s="879"/>
      <c r="E28" s="877">
        <v>0.9</v>
      </c>
      <c r="F28" s="880" t="s">
        <v>579</v>
      </c>
      <c r="G28" s="881"/>
      <c r="H28" s="873"/>
      <c r="I28" s="873"/>
    </row>
    <row r="29" spans="1:9" s="882" customFormat="1" ht="19.5" customHeight="1">
      <c r="A29" s="3328"/>
      <c r="B29" s="3328"/>
      <c r="C29" s="878" t="s">
        <v>580</v>
      </c>
      <c r="D29" s="879"/>
      <c r="E29" s="877">
        <v>0.9</v>
      </c>
      <c r="F29" s="880" t="s">
        <v>581</v>
      </c>
      <c r="G29" s="881"/>
      <c r="H29" s="873"/>
      <c r="I29" s="873"/>
    </row>
    <row r="30" spans="1:9" s="882" customFormat="1" ht="19.5" customHeight="1">
      <c r="A30" s="3328"/>
      <c r="B30" s="3328"/>
      <c r="C30" s="878" t="s">
        <v>582</v>
      </c>
      <c r="D30" s="879"/>
      <c r="E30" s="877">
        <v>0.9</v>
      </c>
      <c r="F30" s="880" t="s">
        <v>583</v>
      </c>
      <c r="G30" s="881"/>
      <c r="H30" s="873"/>
      <c r="I30" s="873"/>
    </row>
    <row r="31" spans="1:9" s="882" customFormat="1" ht="19.5" customHeight="1">
      <c r="A31" s="3328"/>
      <c r="B31" s="3328"/>
      <c r="C31" s="878" t="s">
        <v>584</v>
      </c>
      <c r="D31" s="879"/>
      <c r="E31" s="877">
        <v>0.8</v>
      </c>
      <c r="F31" s="880" t="s">
        <v>585</v>
      </c>
      <c r="G31" s="881"/>
      <c r="H31" s="873"/>
      <c r="I31" s="873"/>
    </row>
    <row r="32" spans="1:9" s="882" customFormat="1" ht="19.5" customHeight="1">
      <c r="A32" s="3328"/>
      <c r="B32" s="3328"/>
      <c r="C32" s="878" t="s">
        <v>586</v>
      </c>
      <c r="D32" s="879"/>
      <c r="E32" s="877">
        <v>0.8</v>
      </c>
      <c r="F32" s="880" t="s">
        <v>587</v>
      </c>
      <c r="G32" s="881"/>
      <c r="H32" s="873"/>
      <c r="I32" s="873"/>
    </row>
    <row r="33" spans="1:9" s="882" customFormat="1" ht="19.5" customHeight="1">
      <c r="A33" s="3328" t="s">
        <v>185</v>
      </c>
      <c r="B33" s="877" t="s">
        <v>560</v>
      </c>
      <c r="C33" s="878" t="s">
        <v>588</v>
      </c>
      <c r="D33" s="879"/>
      <c r="E33" s="877">
        <v>1</v>
      </c>
      <c r="F33" s="880" t="s">
        <v>589</v>
      </c>
      <c r="G33" s="881"/>
      <c r="H33" s="873"/>
      <c r="I33" s="873"/>
    </row>
    <row r="34" spans="1:9" s="882" customFormat="1" ht="19.5" customHeight="1">
      <c r="A34" s="3328"/>
      <c r="B34" s="877" t="s">
        <v>563</v>
      </c>
      <c r="C34" s="878" t="s">
        <v>590</v>
      </c>
      <c r="D34" s="879"/>
      <c r="E34" s="877">
        <v>1.5</v>
      </c>
      <c r="F34" s="880" t="s">
        <v>591</v>
      </c>
      <c r="G34" s="881"/>
      <c r="H34" s="873"/>
      <c r="I34" s="873"/>
    </row>
    <row r="35" spans="1:9" s="882" customFormat="1" ht="19.5" customHeight="1">
      <c r="A35" s="3328" t="s">
        <v>186</v>
      </c>
      <c r="B35" s="877" t="s">
        <v>560</v>
      </c>
      <c r="C35" s="878" t="s">
        <v>592</v>
      </c>
      <c r="D35" s="879"/>
      <c r="E35" s="877">
        <v>1</v>
      </c>
      <c r="F35" s="880" t="s">
        <v>593</v>
      </c>
      <c r="G35" s="881"/>
      <c r="H35" s="873"/>
      <c r="I35" s="873"/>
    </row>
    <row r="36" spans="1:9" s="882" customFormat="1" ht="19.5" customHeight="1">
      <c r="A36" s="3328"/>
      <c r="B36" s="3328" t="s">
        <v>563</v>
      </c>
      <c r="C36" s="878" t="s">
        <v>594</v>
      </c>
      <c r="D36" s="879"/>
      <c r="E36" s="877">
        <v>1</v>
      </c>
      <c r="F36" s="880" t="s">
        <v>595</v>
      </c>
      <c r="G36" s="881"/>
      <c r="H36" s="873"/>
      <c r="I36" s="873"/>
    </row>
    <row r="37" spans="1:9" s="882" customFormat="1" ht="19.5" customHeight="1">
      <c r="A37" s="3328"/>
      <c r="B37" s="3328"/>
      <c r="C37" s="878" t="s">
        <v>596</v>
      </c>
      <c r="D37" s="879"/>
      <c r="E37" s="877">
        <v>1.5</v>
      </c>
      <c r="F37" s="880" t="s">
        <v>597</v>
      </c>
      <c r="G37" s="881"/>
      <c r="H37" s="873"/>
      <c r="I37" s="873"/>
    </row>
    <row r="38" spans="1:9" s="882" customFormat="1" ht="19.5" customHeight="1">
      <c r="A38" s="3328"/>
      <c r="B38" s="3328"/>
      <c r="C38" s="878" t="s">
        <v>598</v>
      </c>
      <c r="D38" s="879"/>
      <c r="E38" s="877">
        <v>1</v>
      </c>
      <c r="F38" s="880" t="s">
        <v>599</v>
      </c>
      <c r="G38" s="881"/>
      <c r="H38" s="873"/>
      <c r="I38" s="873"/>
    </row>
    <row r="39" spans="1:9" s="882" customFormat="1" ht="19.5" customHeight="1">
      <c r="A39" s="3328"/>
      <c r="B39" s="332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8" t="s">
        <v>614</v>
      </c>
      <c r="C61" s="813" t="s">
        <v>615</v>
      </c>
      <c r="D61" s="813" t="s">
        <v>616</v>
      </c>
      <c r="E61" s="890">
        <v>0.5</v>
      </c>
      <c r="F61" s="877">
        <v>80</v>
      </c>
    </row>
    <row r="62" spans="1:8" s="873" customFormat="1" ht="24">
      <c r="A62" s="877">
        <v>2</v>
      </c>
      <c r="B62" s="3328"/>
      <c r="C62" s="813" t="s">
        <v>617</v>
      </c>
      <c r="D62" s="813" t="s">
        <v>618</v>
      </c>
      <c r="E62" s="890">
        <v>0.5</v>
      </c>
      <c r="F62" s="877">
        <v>80</v>
      </c>
    </row>
    <row r="63" spans="1:8" s="873" customFormat="1" ht="36">
      <c r="A63" s="877">
        <v>3</v>
      </c>
      <c r="B63" s="3328"/>
      <c r="C63" s="813" t="s">
        <v>619</v>
      </c>
      <c r="D63" s="813" t="s">
        <v>620</v>
      </c>
      <c r="E63" s="890">
        <v>0.5</v>
      </c>
      <c r="F63" s="877">
        <v>80</v>
      </c>
    </row>
    <row r="64" spans="1:8" s="873" customFormat="1" ht="36">
      <c r="A64" s="877">
        <v>4</v>
      </c>
      <c r="B64" s="3328"/>
      <c r="C64" s="813" t="s">
        <v>621</v>
      </c>
      <c r="D64" s="813" t="s">
        <v>622</v>
      </c>
      <c r="E64" s="890">
        <v>0.4</v>
      </c>
      <c r="F64" s="877">
        <v>60</v>
      </c>
    </row>
    <row r="65" spans="1:6" s="873" customFormat="1" ht="36">
      <c r="A65" s="877">
        <v>5</v>
      </c>
      <c r="B65" s="3328"/>
      <c r="C65" s="813" t="s">
        <v>623</v>
      </c>
      <c r="D65" s="813" t="s">
        <v>624</v>
      </c>
      <c r="E65" s="890">
        <v>0.2</v>
      </c>
      <c r="F65" s="877">
        <v>30</v>
      </c>
    </row>
    <row r="66" spans="1:6" s="873" customFormat="1" ht="36">
      <c r="A66" s="877">
        <v>6</v>
      </c>
      <c r="B66" s="3328"/>
      <c r="C66" s="813" t="s">
        <v>625</v>
      </c>
      <c r="D66" s="813" t="s">
        <v>626</v>
      </c>
      <c r="E66" s="890">
        <v>0.3</v>
      </c>
      <c r="F66" s="877">
        <v>50</v>
      </c>
    </row>
    <row r="67" spans="1:6" s="873" customFormat="1" ht="36">
      <c r="A67" s="877">
        <v>7</v>
      </c>
      <c r="B67" s="3328"/>
      <c r="C67" s="813" t="s">
        <v>627</v>
      </c>
      <c r="D67" s="813" t="s">
        <v>628</v>
      </c>
      <c r="E67" s="890">
        <v>0.2</v>
      </c>
      <c r="F67" s="877">
        <v>30</v>
      </c>
    </row>
    <row r="68" spans="1:6" s="873" customFormat="1" ht="36">
      <c r="A68" s="877">
        <v>8</v>
      </c>
      <c r="B68" s="3328"/>
      <c r="C68" s="813" t="s">
        <v>629</v>
      </c>
      <c r="D68" s="813" t="s">
        <v>630</v>
      </c>
      <c r="E68" s="890">
        <v>0.2</v>
      </c>
      <c r="F68" s="877">
        <v>30</v>
      </c>
    </row>
    <row r="69" spans="1:6" s="873" customFormat="1" ht="36">
      <c r="A69" s="877">
        <v>9</v>
      </c>
      <c r="B69" s="3328"/>
      <c r="C69" s="813" t="s">
        <v>631</v>
      </c>
      <c r="D69" s="813" t="s">
        <v>632</v>
      </c>
      <c r="E69" s="890">
        <v>0.2</v>
      </c>
      <c r="F69" s="877">
        <v>30</v>
      </c>
    </row>
    <row r="70" spans="1:6" s="873" customFormat="1" ht="48">
      <c r="A70" s="877">
        <v>10</v>
      </c>
      <c r="B70" s="3328"/>
      <c r="C70" s="813" t="s">
        <v>633</v>
      </c>
      <c r="D70" s="813" t="s">
        <v>634</v>
      </c>
      <c r="E70" s="890">
        <v>0.2</v>
      </c>
      <c r="F70" s="877">
        <v>30</v>
      </c>
    </row>
    <row r="71" spans="1:6" s="873" customFormat="1" ht="48">
      <c r="A71" s="877">
        <v>11</v>
      </c>
      <c r="B71" s="3328"/>
      <c r="C71" s="813" t="s">
        <v>635</v>
      </c>
      <c r="D71" s="813" t="s">
        <v>636</v>
      </c>
      <c r="E71" s="890">
        <v>0.2</v>
      </c>
      <c r="F71" s="877">
        <v>30</v>
      </c>
    </row>
    <row r="72" spans="1:6" s="873" customFormat="1" ht="36">
      <c r="A72" s="877">
        <v>12</v>
      </c>
      <c r="B72" s="3328"/>
      <c r="C72" s="813" t="s">
        <v>637</v>
      </c>
      <c r="D72" s="813" t="s">
        <v>638</v>
      </c>
      <c r="E72" s="890">
        <v>0.5</v>
      </c>
      <c r="F72" s="877">
        <v>80</v>
      </c>
    </row>
    <row r="73" spans="1:6" s="873" customFormat="1" ht="24">
      <c r="A73" s="877">
        <v>13</v>
      </c>
      <c r="B73" s="3328"/>
      <c r="C73" s="813" t="s">
        <v>639</v>
      </c>
      <c r="D73" s="813" t="s">
        <v>640</v>
      </c>
      <c r="E73" s="890">
        <v>0.4</v>
      </c>
      <c r="F73" s="877">
        <v>60</v>
      </c>
    </row>
    <row r="74" spans="1:6" s="873" customFormat="1" ht="24">
      <c r="A74" s="877">
        <v>14</v>
      </c>
      <c r="B74" s="3328"/>
      <c r="C74" s="813" t="s">
        <v>641</v>
      </c>
      <c r="D74" s="813" t="s">
        <v>642</v>
      </c>
      <c r="E74" s="890">
        <v>0.2</v>
      </c>
      <c r="F74" s="877">
        <v>30</v>
      </c>
    </row>
    <row r="75" spans="1:6" s="873" customFormat="1" ht="24">
      <c r="A75" s="877">
        <v>15</v>
      </c>
      <c r="B75" s="3328"/>
      <c r="C75" s="813" t="s">
        <v>643</v>
      </c>
      <c r="D75" s="813" t="s">
        <v>644</v>
      </c>
      <c r="E75" s="890">
        <v>0.2</v>
      </c>
      <c r="F75" s="877">
        <v>30</v>
      </c>
    </row>
    <row r="76" spans="1:6" s="873" customFormat="1" ht="24">
      <c r="A76" s="877">
        <v>16</v>
      </c>
      <c r="B76" s="3328" t="s">
        <v>645</v>
      </c>
      <c r="C76" s="813" t="s">
        <v>646</v>
      </c>
      <c r="D76" s="813" t="s">
        <v>647</v>
      </c>
      <c r="E76" s="890">
        <v>0.5</v>
      </c>
      <c r="F76" s="877">
        <v>80</v>
      </c>
    </row>
    <row r="77" spans="1:6" s="873" customFormat="1" ht="24">
      <c r="A77" s="877">
        <v>17</v>
      </c>
      <c r="B77" s="3328"/>
      <c r="C77" s="813" t="s">
        <v>648</v>
      </c>
      <c r="D77" s="813" t="s">
        <v>649</v>
      </c>
      <c r="E77" s="890">
        <v>0.5</v>
      </c>
      <c r="F77" s="877">
        <v>80</v>
      </c>
    </row>
    <row r="78" spans="1:6" s="873" customFormat="1" ht="24">
      <c r="A78" s="877">
        <v>18</v>
      </c>
      <c r="B78" s="3328"/>
      <c r="C78" s="813" t="s">
        <v>650</v>
      </c>
      <c r="D78" s="813" t="s">
        <v>651</v>
      </c>
      <c r="E78" s="890">
        <v>0.2</v>
      </c>
      <c r="F78" s="877">
        <v>30</v>
      </c>
    </row>
    <row r="79" spans="1:6" s="873" customFormat="1" ht="24">
      <c r="A79" s="877">
        <v>19</v>
      </c>
      <c r="B79" s="3328"/>
      <c r="C79" s="813" t="s">
        <v>652</v>
      </c>
      <c r="D79" s="813" t="s">
        <v>653</v>
      </c>
      <c r="E79" s="890">
        <v>0.5</v>
      </c>
      <c r="F79" s="877">
        <v>80</v>
      </c>
    </row>
    <row r="80" spans="1:6" s="873" customFormat="1" ht="36">
      <c r="A80" s="877">
        <v>20</v>
      </c>
      <c r="B80" s="3328"/>
      <c r="C80" s="813" t="s">
        <v>654</v>
      </c>
      <c r="D80" s="813" t="s">
        <v>655</v>
      </c>
      <c r="E80" s="890">
        <v>0.2</v>
      </c>
      <c r="F80" s="877">
        <v>30</v>
      </c>
    </row>
    <row r="81" spans="1:6" s="873" customFormat="1" ht="36">
      <c r="A81" s="877">
        <v>21</v>
      </c>
      <c r="B81" s="3328"/>
      <c r="C81" s="813" t="s">
        <v>656</v>
      </c>
      <c r="D81" s="813" t="s">
        <v>657</v>
      </c>
      <c r="E81" s="890">
        <v>0.2</v>
      </c>
      <c r="F81" s="877">
        <v>30</v>
      </c>
    </row>
    <row r="82" spans="1:6" s="873" customFormat="1" ht="48">
      <c r="A82" s="877">
        <v>22</v>
      </c>
      <c r="B82" s="3328"/>
      <c r="C82" s="813" t="s">
        <v>658</v>
      </c>
      <c r="D82" s="813" t="s">
        <v>659</v>
      </c>
      <c r="E82" s="890">
        <v>0.2</v>
      </c>
      <c r="F82" s="877">
        <v>30</v>
      </c>
    </row>
    <row r="83" spans="1:6" s="873" customFormat="1" ht="48">
      <c r="A83" s="877">
        <v>23</v>
      </c>
      <c r="B83" s="3328"/>
      <c r="C83" s="813" t="s">
        <v>660</v>
      </c>
      <c r="D83" s="813" t="s">
        <v>661</v>
      </c>
      <c r="E83" s="890">
        <v>0.2</v>
      </c>
      <c r="F83" s="877">
        <v>30</v>
      </c>
    </row>
    <row r="84" spans="1:6" s="873" customFormat="1" ht="36">
      <c r="A84" s="877">
        <v>24</v>
      </c>
      <c r="B84" s="3328"/>
      <c r="C84" s="813" t="s">
        <v>662</v>
      </c>
      <c r="D84" s="813" t="s">
        <v>663</v>
      </c>
      <c r="E84" s="890">
        <v>0.2</v>
      </c>
      <c r="F84" s="877">
        <v>30</v>
      </c>
    </row>
    <row r="85" spans="1:6" s="873" customFormat="1" ht="36">
      <c r="A85" s="877">
        <v>25</v>
      </c>
      <c r="B85" s="3328"/>
      <c r="C85" s="813" t="s">
        <v>664</v>
      </c>
      <c r="D85" s="813" t="s">
        <v>665</v>
      </c>
      <c r="E85" s="890">
        <v>0.5</v>
      </c>
      <c r="F85" s="877">
        <v>80</v>
      </c>
    </row>
    <row r="86" spans="1:6" s="873" customFormat="1" ht="36">
      <c r="A86" s="877">
        <v>26</v>
      </c>
      <c r="B86" s="3328"/>
      <c r="C86" s="813" t="s">
        <v>666</v>
      </c>
      <c r="D86" s="813" t="s">
        <v>667</v>
      </c>
      <c r="E86" s="890">
        <v>0.2</v>
      </c>
      <c r="F86" s="877">
        <v>30</v>
      </c>
    </row>
    <row r="87" spans="1:6" s="873" customFormat="1" ht="36">
      <c r="A87" s="877">
        <v>27</v>
      </c>
      <c r="B87" s="3328"/>
      <c r="C87" s="813" t="s">
        <v>668</v>
      </c>
      <c r="D87" s="813" t="s">
        <v>669</v>
      </c>
      <c r="E87" s="890">
        <v>0.2</v>
      </c>
      <c r="F87" s="877">
        <v>30</v>
      </c>
    </row>
    <row r="88" spans="1:6" s="873" customFormat="1" ht="36">
      <c r="A88" s="877">
        <v>28</v>
      </c>
      <c r="B88" s="3328"/>
      <c r="C88" s="813" t="s">
        <v>670</v>
      </c>
      <c r="D88" s="813" t="s">
        <v>671</v>
      </c>
      <c r="E88" s="890">
        <v>0.2</v>
      </c>
      <c r="F88" s="877">
        <v>30</v>
      </c>
    </row>
    <row r="89" spans="1:6" s="873" customFormat="1" ht="24">
      <c r="A89" s="877">
        <v>29</v>
      </c>
      <c r="B89" s="3328"/>
      <c r="C89" s="813" t="s">
        <v>672</v>
      </c>
      <c r="D89" s="813" t="s">
        <v>673</v>
      </c>
      <c r="E89" s="890">
        <v>0.2</v>
      </c>
      <c r="F89" s="877">
        <v>30</v>
      </c>
    </row>
    <row r="90" spans="1:6" s="873" customFormat="1" ht="24">
      <c r="A90" s="877">
        <v>30</v>
      </c>
      <c r="B90" s="3328"/>
      <c r="C90" s="813" t="s">
        <v>674</v>
      </c>
      <c r="D90" s="813" t="s">
        <v>675</v>
      </c>
      <c r="E90" s="890">
        <v>0.2</v>
      </c>
      <c r="F90" s="877">
        <v>30</v>
      </c>
    </row>
    <row r="91" spans="1:6" s="873" customFormat="1" ht="36">
      <c r="A91" s="877">
        <v>31</v>
      </c>
      <c r="B91" s="3328"/>
      <c r="C91" s="813" t="s">
        <v>676</v>
      </c>
      <c r="D91" s="813" t="s">
        <v>677</v>
      </c>
      <c r="E91" s="890">
        <v>0.2</v>
      </c>
      <c r="F91" s="877">
        <v>30</v>
      </c>
    </row>
    <row r="92" spans="1:6" s="873" customFormat="1" ht="24">
      <c r="A92" s="877">
        <v>32</v>
      </c>
      <c r="B92" s="3328" t="s">
        <v>678</v>
      </c>
      <c r="C92" s="877" t="s">
        <v>679</v>
      </c>
      <c r="D92" s="813" t="s">
        <v>680</v>
      </c>
      <c r="E92" s="890">
        <v>0.2</v>
      </c>
      <c r="F92" s="877">
        <v>30</v>
      </c>
    </row>
    <row r="93" spans="1:6" s="873" customFormat="1" ht="36">
      <c r="A93" s="877">
        <v>33</v>
      </c>
      <c r="B93" s="3328"/>
      <c r="C93" s="877" t="s">
        <v>681</v>
      </c>
      <c r="D93" s="813" t="s">
        <v>682</v>
      </c>
      <c r="E93" s="890">
        <v>0.2</v>
      </c>
      <c r="F93" s="877">
        <v>30</v>
      </c>
    </row>
    <row r="94" spans="1:6" s="873" customFormat="1" ht="48">
      <c r="A94" s="877">
        <v>34</v>
      </c>
      <c r="B94" s="3328"/>
      <c r="C94" s="877" t="s">
        <v>683</v>
      </c>
      <c r="D94" s="813" t="s">
        <v>684</v>
      </c>
      <c r="E94" s="890">
        <v>0.2</v>
      </c>
      <c r="F94" s="877">
        <v>30</v>
      </c>
    </row>
    <row r="95" spans="1:6" s="873" customFormat="1" ht="36">
      <c r="A95" s="877">
        <v>35</v>
      </c>
      <c r="B95" s="3328"/>
      <c r="C95" s="877" t="s">
        <v>685</v>
      </c>
      <c r="D95" s="813" t="s">
        <v>686</v>
      </c>
      <c r="E95" s="890">
        <v>0.2</v>
      </c>
      <c r="F95" s="877">
        <v>30</v>
      </c>
    </row>
    <row r="96" spans="1:6" s="873" customFormat="1" ht="48">
      <c r="A96" s="877">
        <v>36</v>
      </c>
      <c r="B96" s="3328"/>
      <c r="C96" s="813" t="s">
        <v>687</v>
      </c>
      <c r="D96" s="813" t="s">
        <v>688</v>
      </c>
      <c r="E96" s="890">
        <v>0.2</v>
      </c>
      <c r="F96" s="877">
        <v>30</v>
      </c>
    </row>
    <row r="97" spans="1:6" s="873" customFormat="1" ht="36">
      <c r="A97" s="877">
        <v>37</v>
      </c>
      <c r="B97" s="3328"/>
      <c r="C97" s="877" t="s">
        <v>689</v>
      </c>
      <c r="D97" s="813" t="s">
        <v>690</v>
      </c>
      <c r="E97" s="890">
        <v>0.2</v>
      </c>
      <c r="F97" s="877">
        <v>30</v>
      </c>
    </row>
    <row r="98" spans="1:6" s="873" customFormat="1" ht="36">
      <c r="A98" s="877">
        <v>38</v>
      </c>
      <c r="B98" s="3328"/>
      <c r="C98" s="877" t="s">
        <v>691</v>
      </c>
      <c r="D98" s="813" t="s">
        <v>692</v>
      </c>
      <c r="E98" s="890">
        <v>0.2</v>
      </c>
      <c r="F98" s="877">
        <v>30</v>
      </c>
    </row>
    <row r="99" spans="1:6" s="873" customFormat="1" ht="36">
      <c r="A99" s="877">
        <v>39</v>
      </c>
      <c r="B99" s="3328" t="s">
        <v>693</v>
      </c>
      <c r="C99" s="877" t="s">
        <v>694</v>
      </c>
      <c r="D99" s="813" t="s">
        <v>695</v>
      </c>
      <c r="E99" s="890">
        <v>0.3</v>
      </c>
      <c r="F99" s="877">
        <v>50</v>
      </c>
    </row>
    <row r="100" spans="1:6" s="873" customFormat="1" ht="24">
      <c r="A100" s="877">
        <v>40</v>
      </c>
      <c r="B100" s="3328"/>
      <c r="C100" s="877" t="s">
        <v>696</v>
      </c>
      <c r="D100" s="813" t="s">
        <v>697</v>
      </c>
      <c r="E100" s="890">
        <v>0.2</v>
      </c>
      <c r="F100" s="877">
        <v>30</v>
      </c>
    </row>
    <row r="101" spans="1:6" s="873" customFormat="1" ht="36">
      <c r="A101" s="877">
        <v>41</v>
      </c>
      <c r="B101" s="332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8" t="s">
        <v>708</v>
      </c>
      <c r="C105" s="877" t="s">
        <v>709</v>
      </c>
      <c r="D105" s="813" t="s">
        <v>710</v>
      </c>
      <c r="E105" s="890">
        <v>0.2</v>
      </c>
      <c r="F105" s="877">
        <v>30</v>
      </c>
    </row>
    <row r="106" spans="1:6" s="873" customFormat="1" ht="36">
      <c r="A106" s="877">
        <v>46</v>
      </c>
      <c r="B106" s="3328"/>
      <c r="C106" s="877" t="s">
        <v>711</v>
      </c>
      <c r="D106" s="813" t="s">
        <v>712</v>
      </c>
      <c r="E106" s="890">
        <v>0.2</v>
      </c>
      <c r="F106" s="877">
        <v>30</v>
      </c>
    </row>
    <row r="107" spans="1:6" s="873" customFormat="1" ht="36">
      <c r="A107" s="877">
        <v>47</v>
      </c>
      <c r="B107" s="3328" t="s">
        <v>713</v>
      </c>
      <c r="C107" s="877" t="s">
        <v>714</v>
      </c>
      <c r="D107" s="813" t="s">
        <v>715</v>
      </c>
      <c r="E107" s="890">
        <v>0.3</v>
      </c>
      <c r="F107" s="877">
        <v>50</v>
      </c>
    </row>
    <row r="108" spans="1:6" s="873" customFormat="1" ht="36">
      <c r="A108" s="877">
        <v>48</v>
      </c>
      <c r="B108" s="332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8" t="s">
        <v>724</v>
      </c>
      <c r="C111" s="877" t="s">
        <v>725</v>
      </c>
      <c r="D111" s="813" t="s">
        <v>726</v>
      </c>
      <c r="E111" s="890">
        <v>0.2</v>
      </c>
      <c r="F111" s="877">
        <v>30</v>
      </c>
    </row>
    <row r="112" spans="1:6" s="873" customFormat="1" ht="24">
      <c r="A112" s="877">
        <v>52</v>
      </c>
      <c r="B112" s="3328"/>
      <c r="C112" s="877" t="s">
        <v>727</v>
      </c>
      <c r="D112" s="813" t="s">
        <v>728</v>
      </c>
      <c r="E112" s="890">
        <v>0.2</v>
      </c>
      <c r="F112" s="877">
        <v>30</v>
      </c>
    </row>
    <row r="113" spans="1:6" s="873" customFormat="1" ht="24">
      <c r="A113" s="877">
        <v>53</v>
      </c>
      <c r="B113" s="332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8" t="s">
        <v>737</v>
      </c>
      <c r="C116" s="877" t="s">
        <v>738</v>
      </c>
      <c r="D116" s="813" t="s">
        <v>739</v>
      </c>
      <c r="E116" s="890">
        <v>0.2</v>
      </c>
      <c r="F116" s="877">
        <v>30</v>
      </c>
    </row>
    <row r="117" spans="1:6" ht="36">
      <c r="A117" s="877">
        <v>57</v>
      </c>
      <c r="B117" s="332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9"/>
      <c r="B4" s="3013" t="s">
        <v>1624</v>
      </c>
      <c r="C4" s="3013"/>
      <c r="D4" s="3013"/>
      <c r="E4" s="1959"/>
    </row>
    <row r="5" spans="1:5" ht="16.5" thickTop="1">
      <c r="A5" s="1957"/>
      <c r="B5" s="3011" t="s">
        <v>1616</v>
      </c>
      <c r="C5" s="1960" t="s">
        <v>1617</v>
      </c>
      <c r="D5" s="1038">
        <f ca="1">结果表!H101</f>
        <v>102110</v>
      </c>
      <c r="E5" s="1957"/>
    </row>
    <row r="6" spans="1:5" ht="15.75">
      <c r="A6" s="1957"/>
      <c r="B6" s="3011"/>
      <c r="C6" s="1960" t="s">
        <v>1618</v>
      </c>
      <c r="D6" s="1038" t="str">
        <f ca="1">NUMBERSTRING(INT(D5*10000),2)&amp;"元整"</f>
        <v>壹拾亿贰仟壹佰壹拾万元整</v>
      </c>
      <c r="E6" s="1957"/>
    </row>
    <row r="7" spans="1:5" ht="15.75">
      <c r="A7" s="1957"/>
      <c r="B7" s="3016"/>
      <c r="C7" s="1961" t="s">
        <v>1619</v>
      </c>
      <c r="D7" s="1039">
        <f ca="1">结果表!H102</f>
        <v>10577</v>
      </c>
      <c r="E7" s="1957"/>
    </row>
    <row r="8" spans="1:5" ht="15.75">
      <c r="A8" s="1957"/>
      <c r="B8" s="3017" t="str">
        <f>结果表!E103</f>
        <v>2.估价师知悉的法定优先受偿款</v>
      </c>
      <c r="C8" s="1962" t="s">
        <v>1620</v>
      </c>
      <c r="D8" s="1039">
        <f>结果表!H103</f>
        <v>1628</v>
      </c>
      <c r="E8" s="1957"/>
    </row>
    <row r="9" spans="1:5" ht="15.75">
      <c r="A9" s="1957"/>
      <c r="B9" s="3019"/>
      <c r="C9" s="1960" t="s">
        <v>1618</v>
      </c>
      <c r="D9" s="1038" t="str">
        <f>NUMBERSTRING(INT(D8*10000),2)&amp;"元整"</f>
        <v>壹仟陆佰贰拾捌万元整</v>
      </c>
      <c r="E9" s="1957"/>
    </row>
    <row r="10" spans="1:5" ht="15">
      <c r="A10" s="1957"/>
      <c r="B10" s="1963" t="s">
        <v>1623</v>
      </c>
      <c r="C10" s="1964" t="s">
        <v>1621</v>
      </c>
      <c r="D10" s="1040">
        <f>结果表!H104</f>
        <v>0</v>
      </c>
      <c r="E10" s="1957"/>
    </row>
    <row r="11" spans="1:5" ht="15">
      <c r="A11" s="1957"/>
      <c r="B11" s="1963" t="s">
        <v>1625</v>
      </c>
      <c r="C11" s="1964" t="s">
        <v>1626</v>
      </c>
      <c r="D11" s="1040">
        <f>结果表!H105</f>
        <v>0</v>
      </c>
      <c r="E11" s="1957"/>
    </row>
    <row r="12" spans="1:5" ht="15">
      <c r="A12" s="1957"/>
      <c r="B12" s="1963" t="s">
        <v>1627</v>
      </c>
      <c r="C12" s="1964" t="s">
        <v>1626</v>
      </c>
      <c r="D12" s="1040">
        <f>结果表!H106</f>
        <v>1628</v>
      </c>
      <c r="E12" s="1957"/>
    </row>
    <row r="13" spans="1:5" ht="15.75">
      <c r="A13" s="1957"/>
      <c r="B13" s="3010" t="str">
        <f>结果表!E107</f>
        <v>3.房地产抵押价值</v>
      </c>
      <c r="C13" s="1965" t="s">
        <v>1617</v>
      </c>
      <c r="D13" s="1041">
        <f ca="1">结果表!H107</f>
        <v>100482</v>
      </c>
      <c r="E13" s="1957"/>
    </row>
    <row r="14" spans="1:5" ht="15.75">
      <c r="A14" s="1957"/>
      <c r="B14" s="3011"/>
      <c r="C14" s="1960" t="s">
        <v>1618</v>
      </c>
      <c r="D14" s="1038" t="str">
        <f ca="1">NUMBERSTRING(INT(D13*10000),2)&amp;"元整"</f>
        <v>壹拾亿零肆佰捌拾贰万元整</v>
      </c>
      <c r="E14" s="1957"/>
    </row>
    <row r="15" spans="1:5" ht="15">
      <c r="A15" s="1957"/>
      <c r="B15" s="3016"/>
      <c r="C15" s="1961" t="s">
        <v>1628</v>
      </c>
      <c r="D15" s="1050">
        <f ca="1">结果表!H108</f>
        <v>10409</v>
      </c>
      <c r="E15" s="1957"/>
    </row>
    <row r="16" spans="1:5" ht="15">
      <c r="A16" s="1957"/>
      <c r="B16" s="3017" t="str">
        <f>结果表!E109</f>
        <v>——</v>
      </c>
      <c r="C16" s="1965" t="s">
        <v>1629</v>
      </c>
      <c r="D16" s="1966" t="str">
        <f>结果表!H109</f>
        <v>——</v>
      </c>
      <c r="E16" s="1957"/>
    </row>
    <row r="17" spans="1:5" ht="15.75">
      <c r="A17" s="1957"/>
      <c r="B17" s="3018"/>
      <c r="C17" s="1960" t="s">
        <v>1630</v>
      </c>
      <c r="D17" s="1038" t="e">
        <f>NUMBERSTRING(INT(D16*10000),2)&amp;"元整"</f>
        <v>#VALUE!</v>
      </c>
      <c r="E17" s="1957"/>
    </row>
    <row r="18" spans="1:5" ht="15">
      <c r="A18" s="1957"/>
      <c r="B18" s="3019"/>
      <c r="C18" s="1961" t="s">
        <v>1619</v>
      </c>
      <c r="D18" s="1050" t="str">
        <f>结果表!H110</f>
        <v>——</v>
      </c>
      <c r="E18" s="1957"/>
    </row>
    <row r="19" spans="1:5" ht="15.75">
      <c r="A19" s="1957"/>
      <c r="B19" s="3010" t="str">
        <f>结果表!E111</f>
        <v>——</v>
      </c>
      <c r="C19" s="1965" t="s">
        <v>1617</v>
      </c>
      <c r="D19" s="1039" t="str">
        <f>结果表!H111</f>
        <v>——</v>
      </c>
      <c r="E19" s="1957"/>
    </row>
    <row r="20" spans="1:5" ht="15.75">
      <c r="A20" s="1957"/>
      <c r="B20" s="3011"/>
      <c r="C20" s="1960" t="s">
        <v>1630</v>
      </c>
      <c r="D20" s="1038" t="e">
        <f>NUMBERSTRING(INT(D19*10000),2)&amp;"元整"</f>
        <v>#VALUE!</v>
      </c>
      <c r="E20" s="1957"/>
    </row>
    <row r="21" spans="1:5" ht="15.75" thickBot="1">
      <c r="A21" s="1957"/>
      <c r="B21" s="3012"/>
      <c r="C21" s="1967" t="s">
        <v>1628</v>
      </c>
      <c r="D21" s="1051"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SUMPRODUCT((A105:A204=ROUNDDOWN('基准地价修正-商业'!G3,1))*(B104:M104='基准地价修正-商业'!G2)*(B105:M204))</f>
        <v>1.0571999999999999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55" sqref="N5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4" t="s">
        <v>1144</v>
      </c>
      <c r="C1" s="3334"/>
      <c r="D1" s="3334"/>
      <c r="E1" s="3334"/>
      <c r="F1" s="3334"/>
      <c r="G1" s="3333" t="s">
        <v>1145</v>
      </c>
      <c r="H1" s="3333"/>
      <c r="I1" s="3333"/>
      <c r="J1" s="3333"/>
      <c r="K1" s="3333"/>
      <c r="L1" s="3333"/>
      <c r="N1" s="3333" t="s">
        <v>1146</v>
      </c>
      <c r="O1" s="3333"/>
      <c r="P1" s="3333"/>
      <c r="Q1" s="3333"/>
      <c r="R1" s="1444"/>
      <c r="S1" s="3333" t="s">
        <v>1147</v>
      </c>
      <c r="T1" s="3333"/>
      <c r="U1" s="3333"/>
      <c r="V1" s="3333"/>
      <c r="X1" s="3332" t="s">
        <v>1148</v>
      </c>
      <c r="Y1" s="3333"/>
      <c r="Z1" s="3333"/>
      <c r="AA1" s="3333"/>
      <c r="AB1" s="3333"/>
      <c r="AD1" s="3332" t="s">
        <v>1149</v>
      </c>
      <c r="AE1" s="3333"/>
      <c r="AF1" s="3333"/>
      <c r="AG1" s="3333"/>
      <c r="AH1" s="3333"/>
    </row>
    <row r="2" spans="1:34" s="1445" customFormat="1" ht="14.25" thickBot="1">
      <c r="B2" s="1446" t="s">
        <v>1150</v>
      </c>
      <c r="C2" s="1446" t="s">
        <v>1151</v>
      </c>
      <c r="D2" s="1447" t="s">
        <v>1152</v>
      </c>
      <c r="E2" s="1447" t="s">
        <v>1153</v>
      </c>
      <c r="F2" s="1446" t="s">
        <v>1154</v>
      </c>
      <c r="G2" s="1448"/>
      <c r="H2" s="1449"/>
      <c r="I2" s="1446" t="s">
        <v>1150</v>
      </c>
      <c r="J2" s="1447" t="s">
        <v>1379</v>
      </c>
      <c r="K2" s="1447" t="s">
        <v>751</v>
      </c>
      <c r="L2" s="1446" t="s">
        <v>1154</v>
      </c>
      <c r="N2" s="1446" t="s">
        <v>1150</v>
      </c>
      <c r="O2" s="1447" t="s">
        <v>1379</v>
      </c>
      <c r="P2" s="1447" t="s">
        <v>751</v>
      </c>
      <c r="Q2" s="1446" t="s">
        <v>1154</v>
      </c>
      <c r="R2" s="1450"/>
      <c r="S2" s="1446" t="s">
        <v>1150</v>
      </c>
      <c r="T2" s="1447" t="s">
        <v>1379</v>
      </c>
      <c r="U2" s="1447" t="s">
        <v>751</v>
      </c>
      <c r="V2" s="1446" t="s">
        <v>1154</v>
      </c>
      <c r="X2" s="1446" t="s">
        <v>1150</v>
      </c>
      <c r="Y2" s="1446" t="s">
        <v>1151</v>
      </c>
      <c r="Z2" s="1447" t="s">
        <v>1152</v>
      </c>
      <c r="AA2" s="1447" t="s">
        <v>1153</v>
      </c>
      <c r="AB2" s="1446" t="s">
        <v>1154</v>
      </c>
      <c r="AD2" s="1446" t="s">
        <v>1150</v>
      </c>
      <c r="AE2" s="1446" t="s">
        <v>1151</v>
      </c>
      <c r="AF2" s="1447" t="s">
        <v>1152</v>
      </c>
      <c r="AG2" s="1447" t="s">
        <v>1153</v>
      </c>
      <c r="AH2" s="1446" t="s">
        <v>1154</v>
      </c>
    </row>
    <row r="3" spans="1:34" s="2927" customFormat="1" ht="14.25">
      <c r="A3" s="2936" t="s">
        <v>3015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3022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9">
        <v>2018</v>
      </c>
      <c r="H5" s="1728">
        <v>3</v>
      </c>
      <c r="I5" s="2922">
        <v>0</v>
      </c>
      <c r="J5" s="2922">
        <v>0</v>
      </c>
      <c r="K5" s="2922">
        <v>0</v>
      </c>
      <c r="L5" s="2922">
        <v>0</v>
      </c>
      <c r="N5" s="1465">
        <f>I5/100</f>
        <v>0</v>
      </c>
      <c r="O5" s="1465">
        <f t="shared" ref="O5" si="7">J5/100</f>
        <v>0</v>
      </c>
      <c r="P5" s="1465">
        <f t="shared" ref="P5" si="8">K5/100</f>
        <v>0</v>
      </c>
      <c r="Q5" s="1465">
        <f t="shared" ref="Q5" si="9">L5/100</f>
        <v>0</v>
      </c>
      <c r="R5" s="1730"/>
      <c r="S5" s="1731"/>
      <c r="T5" s="1730"/>
      <c r="U5" s="1730"/>
      <c r="V5" s="1730"/>
      <c r="W5" s="2926" t="s">
        <v>3016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3023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3014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3011</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3012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1380</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1155</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35">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30"/>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30"/>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31"/>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29">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30"/>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30"/>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31"/>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29">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30"/>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30"/>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31"/>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1156</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1157</v>
      </c>
      <c r="B24" s="1467">
        <v>299</v>
      </c>
      <c r="C24" s="1467">
        <v>252</v>
      </c>
      <c r="D24" s="1467">
        <f t="shared" si="54"/>
        <v>252</v>
      </c>
      <c r="E24" s="1467">
        <v>409</v>
      </c>
      <c r="F24" s="1468">
        <v>227</v>
      </c>
      <c r="G24" s="3336">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1158</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37"/>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1159</v>
      </c>
      <c r="B26" s="1475">
        <f t="shared" si="63"/>
        <v>288.2649053828776</v>
      </c>
      <c r="C26" s="1475">
        <f t="shared" si="63"/>
        <v>243.64564425013293</v>
      </c>
      <c r="D26" s="1475">
        <f t="shared" si="54"/>
        <v>243.64564425013293</v>
      </c>
      <c r="E26" s="1475">
        <f t="shared" si="64"/>
        <v>393.31080825986544</v>
      </c>
      <c r="F26" s="1475">
        <f t="shared" si="64"/>
        <v>223.07903790551154</v>
      </c>
      <c r="G26" s="3337"/>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1160</v>
      </c>
      <c r="B27" s="1475">
        <f t="shared" si="63"/>
        <v>282.50186729015837</v>
      </c>
      <c r="C27" s="1475">
        <f t="shared" si="63"/>
        <v>238.09796174155468</v>
      </c>
      <c r="D27" s="1475">
        <f t="shared" si="54"/>
        <v>238.09796174155468</v>
      </c>
      <c r="E27" s="1475">
        <f t="shared" si="64"/>
        <v>385.33438646014054</v>
      </c>
      <c r="F27" s="1475">
        <f t="shared" si="64"/>
        <v>221.55034055567739</v>
      </c>
      <c r="G27" s="3338"/>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1161</v>
      </c>
      <c r="B28" s="1509">
        <v>278</v>
      </c>
      <c r="C28" s="1509">
        <v>234</v>
      </c>
      <c r="D28" s="1509">
        <f t="shared" si="54"/>
        <v>234</v>
      </c>
      <c r="E28" s="1509">
        <v>379</v>
      </c>
      <c r="F28" s="1510">
        <v>220</v>
      </c>
      <c r="G28" s="3329">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1162</v>
      </c>
      <c r="B29" s="1475">
        <f>B28/(1+N28)</f>
        <v>275.49301357645425</v>
      </c>
      <c r="C29" s="1475">
        <f>C28/(1+O28)</f>
        <v>232.41954707985698</v>
      </c>
      <c r="D29" s="1475">
        <f t="shared" si="54"/>
        <v>232.41954707985698</v>
      </c>
      <c r="E29" s="1475">
        <f t="shared" ref="E29:F31" si="65">E28/(1+P28)</f>
        <v>375.32184591008121</v>
      </c>
      <c r="F29" s="1475">
        <f t="shared" si="65"/>
        <v>218.03766105054513</v>
      </c>
      <c r="G29" s="3330"/>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1163</v>
      </c>
      <c r="B30" s="1475">
        <f>B29/(1+N29)</f>
        <v>275.24529281292263</v>
      </c>
      <c r="C30" s="1475">
        <f>C29/(1+O29)</f>
        <v>231.74747938962707</v>
      </c>
      <c r="D30" s="1475">
        <f t="shared" si="54"/>
        <v>231.74747938962707</v>
      </c>
      <c r="E30" s="1475">
        <f t="shared" si="65"/>
        <v>375.35938184826603</v>
      </c>
      <c r="F30" s="1475">
        <f t="shared" si="65"/>
        <v>216.78033510692495</v>
      </c>
      <c r="G30" s="3330"/>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1164</v>
      </c>
      <c r="B31" s="1475">
        <f>B30/(1+N30)</f>
        <v>275.19025476197027</v>
      </c>
      <c r="C31" s="1511">
        <v>232</v>
      </c>
      <c r="D31" s="1511">
        <f t="shared" si="54"/>
        <v>232</v>
      </c>
      <c r="E31" s="1475">
        <f t="shared" si="65"/>
        <v>375.65990977608692</v>
      </c>
      <c r="F31" s="1475">
        <f t="shared" si="65"/>
        <v>214.12518283971252</v>
      </c>
      <c r="G31" s="3331"/>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1165</v>
      </c>
      <c r="B32" s="1467">
        <v>275</v>
      </c>
      <c r="C32" s="1467">
        <v>232</v>
      </c>
      <c r="D32" s="1467">
        <f t="shared" si="54"/>
        <v>232</v>
      </c>
      <c r="E32" s="1467">
        <v>376</v>
      </c>
      <c r="F32" s="1468">
        <v>213</v>
      </c>
      <c r="G32" s="3329">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1166</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30">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1167</v>
      </c>
      <c r="B34" s="1475">
        <f t="shared" si="66"/>
        <v>275.19335084830601</v>
      </c>
      <c r="C34" s="1475">
        <f t="shared" si="66"/>
        <v>230.18088050139744</v>
      </c>
      <c r="D34" s="1475">
        <f t="shared" si="54"/>
        <v>230.18088050139744</v>
      </c>
      <c r="E34" s="1475">
        <f t="shared" si="67"/>
        <v>377.58482925212331</v>
      </c>
      <c r="F34" s="1475">
        <f t="shared" si="67"/>
        <v>210.90687997847917</v>
      </c>
      <c r="G34" s="3330">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1168</v>
      </c>
      <c r="B35" s="1475">
        <f t="shared" si="66"/>
        <v>276.29854502841971</v>
      </c>
      <c r="C35" s="1475">
        <f t="shared" si="66"/>
        <v>229.79023709833027</v>
      </c>
      <c r="D35" s="1475">
        <f t="shared" si="54"/>
        <v>229.79023709833027</v>
      </c>
      <c r="E35" s="1475">
        <f t="shared" si="67"/>
        <v>379.78759731655936</v>
      </c>
      <c r="F35" s="1475">
        <f t="shared" si="67"/>
        <v>211.32953905659235</v>
      </c>
      <c r="G35" s="3331">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1169</v>
      </c>
      <c r="B36" s="1467">
        <v>269</v>
      </c>
      <c r="C36" s="1467">
        <v>221</v>
      </c>
      <c r="D36" s="1467">
        <f t="shared" si="54"/>
        <v>221</v>
      </c>
      <c r="E36" s="1467">
        <v>373</v>
      </c>
      <c r="F36" s="1468">
        <v>196</v>
      </c>
      <c r="G36" s="3329">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1170</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30">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1171</v>
      </c>
      <c r="B38" s="1475">
        <f t="shared" si="68"/>
        <v>242.95398227588385</v>
      </c>
      <c r="C38" s="1475">
        <f t="shared" si="68"/>
        <v>199.59137053614126</v>
      </c>
      <c r="D38" s="1475">
        <f t="shared" si="54"/>
        <v>199.59137053614126</v>
      </c>
      <c r="E38" s="1475">
        <f t="shared" si="69"/>
        <v>335.92189522342125</v>
      </c>
      <c r="F38" s="1475">
        <f t="shared" si="69"/>
        <v>183.10139991109489</v>
      </c>
      <c r="G38" s="3330">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1172</v>
      </c>
      <c r="B39" s="1475">
        <f t="shared" si="68"/>
        <v>232.06990378821649</v>
      </c>
      <c r="C39" s="1475">
        <f t="shared" si="68"/>
        <v>192.74878854286936</v>
      </c>
      <c r="D39" s="1475">
        <f t="shared" si="54"/>
        <v>192.74878854286936</v>
      </c>
      <c r="E39" s="1475">
        <f t="shared" si="69"/>
        <v>319.71247284992984</v>
      </c>
      <c r="F39" s="1475">
        <f t="shared" si="69"/>
        <v>175.67053622862409</v>
      </c>
      <c r="G39" s="3331">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1173</v>
      </c>
      <c r="B40" s="1467">
        <v>220</v>
      </c>
      <c r="C40" s="1467">
        <v>187</v>
      </c>
      <c r="D40" s="1467">
        <f t="shared" si="54"/>
        <v>187</v>
      </c>
      <c r="E40" s="1467">
        <v>301</v>
      </c>
      <c r="F40" s="1468">
        <v>168</v>
      </c>
      <c r="G40" s="3329">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1174</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30">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1175</v>
      </c>
      <c r="B42" s="1475">
        <f t="shared" si="70"/>
        <v>210.630522469011</v>
      </c>
      <c r="C42" s="1475">
        <f t="shared" si="70"/>
        <v>181.69567812247232</v>
      </c>
      <c r="D42" s="1475">
        <f t="shared" si="54"/>
        <v>181.69567812247232</v>
      </c>
      <c r="E42" s="1475">
        <f t="shared" si="71"/>
        <v>286.13517466736738</v>
      </c>
      <c r="F42" s="1475">
        <f t="shared" si="71"/>
        <v>165.47535084591149</v>
      </c>
      <c r="G42" s="3330">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1176</v>
      </c>
      <c r="B43" s="1475">
        <f t="shared" si="70"/>
        <v>208.83454537875372</v>
      </c>
      <c r="C43" s="1475">
        <f t="shared" si="70"/>
        <v>183.77230517090351</v>
      </c>
      <c r="D43" s="1475">
        <f t="shared" si="54"/>
        <v>183.77230517090351</v>
      </c>
      <c r="E43" s="1475">
        <f t="shared" si="71"/>
        <v>281.10342338870947</v>
      </c>
      <c r="F43" s="1475">
        <f t="shared" si="71"/>
        <v>168.97309388942256</v>
      </c>
      <c r="G43" s="3331">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1177</v>
      </c>
      <c r="B44" s="1509">
        <v>214</v>
      </c>
      <c r="C44" s="1509">
        <v>188</v>
      </c>
      <c r="D44" s="1509">
        <f t="shared" si="54"/>
        <v>188</v>
      </c>
      <c r="E44" s="1509">
        <v>289</v>
      </c>
      <c r="F44" s="1510">
        <v>166</v>
      </c>
      <c r="G44" s="3329">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1178</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30">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1179</v>
      </c>
      <c r="B46" s="1475">
        <f t="shared" si="72"/>
        <v>206.31694671589116</v>
      </c>
      <c r="C46" s="1475">
        <f t="shared" si="72"/>
        <v>183.61041121036101</v>
      </c>
      <c r="D46" s="1475">
        <f t="shared" si="54"/>
        <v>183.61041121036101</v>
      </c>
      <c r="E46" s="1475">
        <f t="shared" si="73"/>
        <v>276.66850301795557</v>
      </c>
      <c r="F46" s="1475">
        <f t="shared" si="73"/>
        <v>165.1360938278614</v>
      </c>
      <c r="G46" s="3330">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1180</v>
      </c>
      <c r="B47" s="1512">
        <f t="shared" si="72"/>
        <v>196.62341248059772</v>
      </c>
      <c r="C47" s="1512">
        <f t="shared" si="72"/>
        <v>170.99125648199012</v>
      </c>
      <c r="D47" s="1512">
        <f t="shared" si="54"/>
        <v>170.99125648199012</v>
      </c>
      <c r="E47" s="1512">
        <f t="shared" si="73"/>
        <v>266.07857570490052</v>
      </c>
      <c r="F47" s="1512">
        <f t="shared" si="73"/>
        <v>154.53499328828505</v>
      </c>
      <c r="G47" s="3331">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1181</v>
      </c>
      <c r="B48" s="1467">
        <v>188</v>
      </c>
      <c r="C48" s="1467">
        <v>165</v>
      </c>
      <c r="D48" s="1467">
        <f t="shared" si="54"/>
        <v>165</v>
      </c>
      <c r="E48" s="1467">
        <v>254</v>
      </c>
      <c r="F48" s="1468">
        <v>148</v>
      </c>
      <c r="G48" s="3329">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1182</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30">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1183</v>
      </c>
      <c r="B50" s="1475">
        <f t="shared" si="76"/>
        <v>168.82017748715555</v>
      </c>
      <c r="C50" s="1475">
        <f t="shared" si="76"/>
        <v>148.06267029972753</v>
      </c>
      <c r="D50" s="1475">
        <f t="shared" si="54"/>
        <v>148.06267029972753</v>
      </c>
      <c r="E50" s="1475">
        <f t="shared" si="77"/>
        <v>216.46288379323747</v>
      </c>
      <c r="F50" s="1475">
        <f t="shared" si="77"/>
        <v>134.23529411764704</v>
      </c>
      <c r="G50" s="3330">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1184</v>
      </c>
      <c r="B51" s="1475">
        <f t="shared" si="76"/>
        <v>163.84913591779542</v>
      </c>
      <c r="C51" s="1475">
        <f t="shared" si="76"/>
        <v>145.0283378746594</v>
      </c>
      <c r="D51" s="1475">
        <f t="shared" si="54"/>
        <v>145.0283378746594</v>
      </c>
      <c r="E51" s="1475">
        <f t="shared" si="77"/>
        <v>204.95180722891567</v>
      </c>
      <c r="F51" s="1475">
        <f t="shared" si="77"/>
        <v>125.95920303605313</v>
      </c>
      <c r="G51" s="3331">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1185</v>
      </c>
      <c r="B52" s="1488">
        <v>159</v>
      </c>
      <c r="C52" s="1488">
        <v>141</v>
      </c>
      <c r="D52" s="1488">
        <f t="shared" si="54"/>
        <v>141</v>
      </c>
      <c r="E52" s="1488">
        <v>195</v>
      </c>
      <c r="F52" s="1489">
        <v>122</v>
      </c>
      <c r="G52" s="3329">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1186</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30">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1187</v>
      </c>
      <c r="B54" s="1475">
        <f t="shared" si="80"/>
        <v>146.57412060301507</v>
      </c>
      <c r="C54" s="1475">
        <f t="shared" si="80"/>
        <v>136.46831955922866</v>
      </c>
      <c r="D54" s="1475">
        <f t="shared" si="54"/>
        <v>136.46831955922866</v>
      </c>
      <c r="E54" s="1475">
        <f t="shared" si="81"/>
        <v>166.73864894795128</v>
      </c>
      <c r="F54" s="1475">
        <f t="shared" si="81"/>
        <v>115.05882352941177</v>
      </c>
      <c r="G54" s="3330">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1188</v>
      </c>
      <c r="B55" s="1475">
        <f t="shared" si="80"/>
        <v>144.04145728643215</v>
      </c>
      <c r="C55" s="1475">
        <f t="shared" si="80"/>
        <v>136.12396694214877</v>
      </c>
      <c r="D55" s="1475">
        <f t="shared" si="54"/>
        <v>136.12396694214877</v>
      </c>
      <c r="E55" s="1475">
        <f t="shared" si="81"/>
        <v>158.32225913621264</v>
      </c>
      <c r="F55" s="1475">
        <f t="shared" si="81"/>
        <v>114.04278074866311</v>
      </c>
      <c r="G55" s="3331">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1189</v>
      </c>
      <c r="B56" s="1488">
        <v>138</v>
      </c>
      <c r="C56" s="1488">
        <v>131</v>
      </c>
      <c r="D56" s="1488">
        <f t="shared" si="54"/>
        <v>131</v>
      </c>
      <c r="E56" s="1488">
        <v>155</v>
      </c>
      <c r="F56" s="1489">
        <v>114</v>
      </c>
      <c r="G56" s="3329">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1190</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30">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1191</v>
      </c>
      <c r="B58" s="1475">
        <f t="shared" si="84"/>
        <v>124.29032258064517</v>
      </c>
      <c r="C58" s="1475">
        <f t="shared" si="84"/>
        <v>123.8968609865471</v>
      </c>
      <c r="D58" s="1475">
        <f t="shared" si="54"/>
        <v>123.8968609865471</v>
      </c>
      <c r="E58" s="1475">
        <f t="shared" si="85"/>
        <v>138.00507614213197</v>
      </c>
      <c r="F58" s="1475">
        <f t="shared" si="85"/>
        <v>107.96106557377048</v>
      </c>
      <c r="G58" s="3330">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1192</v>
      </c>
      <c r="B59" s="1475">
        <f t="shared" si="84"/>
        <v>122.57204301075269</v>
      </c>
      <c r="C59" s="1475">
        <f t="shared" si="84"/>
        <v>123.4932735426009</v>
      </c>
      <c r="D59" s="1475">
        <f t="shared" si="54"/>
        <v>123.4932735426009</v>
      </c>
      <c r="E59" s="1475">
        <f t="shared" si="85"/>
        <v>129.82233502538071</v>
      </c>
      <c r="F59" s="1475">
        <f t="shared" si="85"/>
        <v>107.39446721311475</v>
      </c>
      <c r="G59" s="3331">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1193</v>
      </c>
      <c r="B60" s="1509">
        <v>121</v>
      </c>
      <c r="C60" s="1509">
        <v>122</v>
      </c>
      <c r="D60" s="1509">
        <f t="shared" si="54"/>
        <v>122</v>
      </c>
      <c r="E60" s="1509">
        <v>124</v>
      </c>
      <c r="F60" s="1510">
        <v>107</v>
      </c>
      <c r="G60" s="3329">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1194</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30">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1195</v>
      </c>
      <c r="B62" s="1475">
        <f t="shared" si="88"/>
        <v>116.99099099099099</v>
      </c>
      <c r="C62" s="1475">
        <f t="shared" si="88"/>
        <v>118.84848484848486</v>
      </c>
      <c r="D62" s="1475">
        <f t="shared" si="54"/>
        <v>118.84848484848486</v>
      </c>
      <c r="E62" s="1475">
        <f t="shared" si="89"/>
        <v>117.60960960960961</v>
      </c>
      <c r="F62" s="1475">
        <f t="shared" si="89"/>
        <v>104</v>
      </c>
      <c r="G62" s="3330">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1196</v>
      </c>
      <c r="B63" s="1512">
        <f t="shared" si="88"/>
        <v>112.48648648648648</v>
      </c>
      <c r="C63" s="1512">
        <f t="shared" si="88"/>
        <v>115.21212121212122</v>
      </c>
      <c r="D63" s="1512">
        <f t="shared" si="54"/>
        <v>115.21212121212122</v>
      </c>
      <c r="E63" s="1512">
        <f t="shared" si="89"/>
        <v>110.4024024024024</v>
      </c>
      <c r="F63" s="1512">
        <f t="shared" si="89"/>
        <v>104</v>
      </c>
      <c r="G63" s="3331">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1197</v>
      </c>
      <c r="B64" s="1530">
        <v>111</v>
      </c>
      <c r="C64" s="1530">
        <v>114</v>
      </c>
      <c r="D64" s="1530">
        <f t="shared" si="54"/>
        <v>114</v>
      </c>
      <c r="E64" s="1530">
        <v>108</v>
      </c>
      <c r="F64" s="1531">
        <v>104</v>
      </c>
      <c r="G64" s="3329">
        <v>2003</v>
      </c>
      <c r="H64" s="1520">
        <v>4</v>
      </c>
      <c r="I64" s="1532"/>
      <c r="J64" s="1532"/>
      <c r="K64" s="1532"/>
      <c r="L64" s="1532"/>
      <c r="N64" s="1533"/>
      <c r="O64" s="1532"/>
      <c r="P64" s="1532"/>
      <c r="Q64" s="1532"/>
      <c r="S64" s="1533"/>
      <c r="T64" s="1532"/>
      <c r="U64" s="1532"/>
      <c r="V64" s="1532"/>
      <c r="X64" s="1524"/>
      <c r="Y64" s="1524"/>
      <c r="Z64" s="1524"/>
    </row>
    <row r="65" spans="1:26">
      <c r="A65" s="1459" t="s">
        <v>1198</v>
      </c>
      <c r="B65" s="1534">
        <f t="shared" ref="B65:C67" si="90">B66+(B$64-B$68)/4</f>
        <v>109.75</v>
      </c>
      <c r="C65" s="1534">
        <f t="shared" si="90"/>
        <v>112.25</v>
      </c>
      <c r="D65" s="1534">
        <f t="shared" si="54"/>
        <v>112.25</v>
      </c>
      <c r="E65" s="1534">
        <f t="shared" ref="E65:F67" si="91">E66+(E$64-E$68)/4</f>
        <v>107.25</v>
      </c>
      <c r="F65" s="1534">
        <f t="shared" si="91"/>
        <v>103.5</v>
      </c>
      <c r="G65" s="3330">
        <v>2003</v>
      </c>
      <c r="H65" s="1485">
        <v>3</v>
      </c>
      <c r="I65" s="1532"/>
      <c r="J65" s="1532"/>
      <c r="K65" s="1532"/>
      <c r="L65" s="1532"/>
      <c r="X65" s="1524"/>
      <c r="Y65" s="1524"/>
      <c r="Z65" s="1524"/>
    </row>
    <row r="66" spans="1:26">
      <c r="A66" s="1459" t="s">
        <v>1199</v>
      </c>
      <c r="B66" s="1534">
        <f t="shared" si="90"/>
        <v>108.5</v>
      </c>
      <c r="C66" s="1534">
        <f t="shared" si="90"/>
        <v>110.5</v>
      </c>
      <c r="D66" s="1534">
        <f t="shared" si="54"/>
        <v>110.5</v>
      </c>
      <c r="E66" s="1534">
        <f t="shared" si="91"/>
        <v>106.5</v>
      </c>
      <c r="F66" s="1534">
        <f t="shared" si="91"/>
        <v>103</v>
      </c>
      <c r="G66" s="3330">
        <v>2003</v>
      </c>
      <c r="H66" s="1463">
        <v>2</v>
      </c>
      <c r="I66" s="1532"/>
      <c r="J66" s="1532"/>
      <c r="K66" s="1532"/>
      <c r="L66" s="1532"/>
      <c r="X66" s="1524"/>
      <c r="Y66" s="1524"/>
      <c r="Z66" s="1524"/>
    </row>
    <row r="67" spans="1:26" ht="13.5" thickBot="1">
      <c r="A67" s="1459" t="s">
        <v>1200</v>
      </c>
      <c r="B67" s="1534">
        <f t="shared" si="90"/>
        <v>107.25</v>
      </c>
      <c r="C67" s="1534">
        <f t="shared" si="90"/>
        <v>108.75</v>
      </c>
      <c r="D67" s="1534">
        <f t="shared" si="54"/>
        <v>108.75</v>
      </c>
      <c r="E67" s="1534">
        <f t="shared" si="91"/>
        <v>105.75</v>
      </c>
      <c r="F67" s="1534">
        <f t="shared" si="91"/>
        <v>102.5</v>
      </c>
      <c r="G67" s="3331">
        <v>2003</v>
      </c>
      <c r="H67" s="1535">
        <v>1</v>
      </c>
      <c r="I67" s="1532"/>
      <c r="J67" s="1532"/>
      <c r="K67" s="1532"/>
      <c r="L67" s="1532"/>
      <c r="S67" s="1470"/>
      <c r="T67" s="1471"/>
      <c r="U67" s="1471"/>
      <c r="X67" s="1524"/>
      <c r="Y67" s="1524"/>
      <c r="Z67" s="1524"/>
    </row>
    <row r="68" spans="1:26" ht="13.5" thickBot="1">
      <c r="A68" s="1459" t="s">
        <v>1201</v>
      </c>
      <c r="B68" s="1536">
        <v>106</v>
      </c>
      <c r="C68" s="1536">
        <v>107</v>
      </c>
      <c r="D68" s="1536">
        <f t="shared" si="54"/>
        <v>107</v>
      </c>
      <c r="E68" s="1536">
        <v>105</v>
      </c>
      <c r="F68" s="1537">
        <v>102</v>
      </c>
      <c r="G68" s="3329">
        <v>2002</v>
      </c>
      <c r="H68" s="1480">
        <v>4</v>
      </c>
      <c r="I68" s="1532"/>
      <c r="J68" s="1532"/>
      <c r="K68" s="1532"/>
      <c r="L68" s="1532"/>
      <c r="N68" s="1533"/>
      <c r="O68" s="1532"/>
      <c r="P68" s="1532"/>
      <c r="Q68" s="1532"/>
      <c r="S68" s="1533"/>
      <c r="T68" s="1532"/>
      <c r="U68" s="1532"/>
      <c r="V68" s="1532"/>
      <c r="X68" s="1524"/>
      <c r="Y68" s="1524"/>
      <c r="Z68" s="1524"/>
    </row>
    <row r="69" spans="1:26">
      <c r="A69" s="1459" t="s">
        <v>1202</v>
      </c>
      <c r="B69" s="1534">
        <f t="shared" ref="B69:C71" si="92">B70+(B$68-B$72)/4</f>
        <v>105</v>
      </c>
      <c r="C69" s="1534">
        <f t="shared" si="92"/>
        <v>106</v>
      </c>
      <c r="D69" s="1534">
        <f t="shared" si="54"/>
        <v>106</v>
      </c>
      <c r="E69" s="1534">
        <f t="shared" ref="E69:F71" si="93">E70+(E$68-E$72)/4</f>
        <v>104.5</v>
      </c>
      <c r="F69" s="1534">
        <f t="shared" si="93"/>
        <v>101.5</v>
      </c>
      <c r="G69" s="3330">
        <v>2002</v>
      </c>
      <c r="H69" s="1485">
        <v>3</v>
      </c>
      <c r="I69" s="1532"/>
      <c r="J69" s="1532"/>
      <c r="K69" s="1532"/>
      <c r="L69" s="1532"/>
      <c r="X69" s="1524"/>
      <c r="Y69" s="1524"/>
      <c r="Z69" s="1524"/>
    </row>
    <row r="70" spans="1:26">
      <c r="A70" s="1459" t="s">
        <v>1203</v>
      </c>
      <c r="B70" s="1534">
        <f t="shared" si="92"/>
        <v>104</v>
      </c>
      <c r="C70" s="1534">
        <f t="shared" si="92"/>
        <v>105</v>
      </c>
      <c r="D70" s="1534">
        <f t="shared" si="54"/>
        <v>105</v>
      </c>
      <c r="E70" s="1534">
        <f t="shared" si="93"/>
        <v>104</v>
      </c>
      <c r="F70" s="1534">
        <f t="shared" si="93"/>
        <v>101</v>
      </c>
      <c r="G70" s="3330">
        <v>2002</v>
      </c>
      <c r="H70" s="1463">
        <v>2</v>
      </c>
      <c r="I70" s="1532"/>
      <c r="J70" s="1532"/>
      <c r="K70" s="1532"/>
      <c r="L70" s="1532"/>
      <c r="X70" s="1524"/>
      <c r="Y70" s="1524"/>
      <c r="Z70" s="1524"/>
    </row>
    <row r="71" spans="1:26" s="1496" customFormat="1" ht="13.5" thickBot="1">
      <c r="A71" s="1492" t="s">
        <v>1204</v>
      </c>
      <c r="B71" s="1538">
        <f t="shared" si="92"/>
        <v>103</v>
      </c>
      <c r="C71" s="1538">
        <f t="shared" si="92"/>
        <v>104</v>
      </c>
      <c r="D71" s="1538">
        <f t="shared" si="54"/>
        <v>104</v>
      </c>
      <c r="E71" s="1538">
        <f t="shared" si="93"/>
        <v>103.5</v>
      </c>
      <c r="F71" s="1538">
        <f t="shared" si="93"/>
        <v>100.5</v>
      </c>
      <c r="G71" s="3331">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1205</v>
      </c>
      <c r="G74" s="1548"/>
      <c r="N74" s="1548"/>
      <c r="S74" s="1548"/>
    </row>
    <row r="75" spans="1:26" s="1547" customFormat="1">
      <c r="A75" s="1547" t="s">
        <v>1206</v>
      </c>
      <c r="G75" s="1548"/>
      <c r="N75" s="1548"/>
      <c r="S75" s="1548"/>
    </row>
    <row r="76" spans="1:26" s="1547" customFormat="1">
      <c r="A76" s="1547" t="s">
        <v>1207</v>
      </c>
      <c r="G76" s="1548"/>
      <c r="I76" s="1549"/>
      <c r="J76" s="1549"/>
      <c r="K76" s="1549"/>
      <c r="L76" s="1549"/>
      <c r="N76" s="1550"/>
      <c r="O76" s="1549"/>
      <c r="P76" s="1549"/>
      <c r="Q76" s="1549"/>
      <c r="S76" s="1550"/>
      <c r="T76" s="1549"/>
      <c r="U76" s="1549"/>
      <c r="V76" s="1549"/>
    </row>
    <row r="77" spans="1:26" s="1547" customFormat="1">
      <c r="A77" s="1547" t="s">
        <v>1208</v>
      </c>
      <c r="G77" s="1548"/>
      <c r="N77" s="1548"/>
      <c r="S77" s="1548"/>
    </row>
    <row r="84" spans="7:22" ht="13.5" thickBot="1"/>
    <row r="85" spans="7:22">
      <c r="G85" s="1469"/>
      <c r="S85" s="1551" t="s">
        <v>1209</v>
      </c>
      <c r="T85" s="1552" t="s">
        <v>1210</v>
      </c>
      <c r="U85" s="1552" t="s">
        <v>1211</v>
      </c>
      <c r="V85" s="1552" t="s">
        <v>1212</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2982</v>
      </c>
      <c r="C1" s="3340" t="s">
        <v>2983</v>
      </c>
      <c r="D1" s="3341"/>
      <c r="E1" s="3341"/>
      <c r="F1" s="3341"/>
      <c r="G1" s="3341"/>
      <c r="H1" s="3341"/>
      <c r="I1" s="3341"/>
      <c r="J1" s="3341"/>
      <c r="K1" s="3341"/>
      <c r="L1" s="3341"/>
      <c r="M1" s="3341"/>
      <c r="N1" s="3341"/>
      <c r="O1" s="3341"/>
      <c r="P1" s="3341"/>
      <c r="Q1" s="3341"/>
      <c r="R1" s="3341"/>
      <c r="S1" s="3342"/>
      <c r="T1" s="1202" t="s">
        <v>2984</v>
      </c>
    </row>
    <row r="2" spans="1:45" s="702" customFormat="1">
      <c r="A2" s="1203"/>
      <c r="B2" s="698" t="s">
        <v>2985</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2"/>
      <c r="G3" s="1702"/>
      <c r="H3" s="1702"/>
      <c r="I3" s="1702"/>
      <c r="J3" s="1702"/>
      <c r="K3" s="1702"/>
      <c r="L3" s="1703"/>
      <c r="M3" s="1704"/>
      <c r="N3" s="1704"/>
      <c r="O3" s="1702"/>
      <c r="P3" s="1702"/>
      <c r="Q3" s="1702"/>
      <c r="R3" s="1702"/>
      <c r="S3" s="170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6" customFormat="1">
      <c r="A5" s="1213"/>
      <c r="B5" s="1767" t="s">
        <v>2986</v>
      </c>
      <c r="C5" s="1214"/>
      <c r="D5" s="1215"/>
      <c r="E5" s="1215"/>
      <c r="F5" s="1709"/>
      <c r="G5" s="1709"/>
      <c r="H5" s="1709"/>
      <c r="I5" s="1709"/>
      <c r="J5" s="1709"/>
      <c r="K5" s="1709"/>
      <c r="L5" s="1710"/>
      <c r="M5" s="1711"/>
      <c r="N5" s="1711"/>
      <c r="O5" s="1709"/>
      <c r="P5" s="1709"/>
      <c r="Q5" s="1709"/>
      <c r="R5" s="1709"/>
      <c r="S5" s="1712"/>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6" customFormat="1">
      <c r="A7" s="1213"/>
      <c r="B7" s="1768" t="s">
        <v>2987</v>
      </c>
      <c r="C7" s="1119"/>
      <c r="D7" s="1113"/>
      <c r="E7" s="1113"/>
      <c r="F7" s="1714"/>
      <c r="G7" s="1714"/>
      <c r="H7" s="1714"/>
      <c r="I7" s="1714"/>
      <c r="J7" s="1714"/>
      <c r="K7" s="1714"/>
      <c r="L7" s="1714"/>
      <c r="M7" s="1715"/>
      <c r="N7" s="1716"/>
      <c r="O7" s="1717"/>
      <c r="P7" s="1718"/>
      <c r="Q7" s="1719"/>
      <c r="R7" s="1720"/>
      <c r="S7" s="172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6" customFormat="1">
      <c r="A9" s="1213"/>
      <c r="B9" s="1768" t="s">
        <v>2988</v>
      </c>
      <c r="C9" s="1119"/>
      <c r="D9" s="1113"/>
      <c r="E9" s="1113"/>
      <c r="F9" s="1714"/>
      <c r="G9" s="1714"/>
      <c r="H9" s="1714"/>
      <c r="I9" s="1714"/>
      <c r="J9" s="1714"/>
      <c r="K9" s="1714"/>
      <c r="L9" s="1722"/>
      <c r="M9" s="1715"/>
      <c r="N9" s="1716"/>
      <c r="O9" s="1717"/>
      <c r="P9" s="1718"/>
      <c r="Q9" s="1719"/>
      <c r="R9" s="1720"/>
      <c r="S9" s="172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6" customFormat="1">
      <c r="A11" s="1213"/>
      <c r="B11" s="1767" t="s">
        <v>2989</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6" customFormat="1">
      <c r="A13" s="1213"/>
      <c r="B13" s="1767" t="s">
        <v>2990</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6" customFormat="1">
      <c r="A15" s="1213"/>
      <c r="B15" s="1767" t="s">
        <v>2991</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2992</v>
      </c>
      <c r="B17" s="2915" t="s">
        <v>2993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3"/>
      <c r="C19" s="163"/>
      <c r="D19" s="2916" t="s">
        <v>2994</v>
      </c>
      <c r="E19" s="1790"/>
      <c r="F19" s="1790"/>
      <c r="G19" s="1790"/>
      <c r="H19" s="1278"/>
      <c r="I19" s="163"/>
      <c r="J19" s="163"/>
      <c r="K19" s="163"/>
      <c r="L19" s="163"/>
      <c r="M19" s="163"/>
      <c r="N19" s="163"/>
      <c r="O19" s="163"/>
      <c r="P19" s="163"/>
      <c r="Q19" s="163"/>
      <c r="R19" s="783"/>
      <c r="S19" s="135"/>
    </row>
    <row r="20" spans="1:45" ht="16.5" thickBot="1">
      <c r="A20" s="710" t="s">
        <v>2995</v>
      </c>
      <c r="B20" s="333" t="e">
        <f ca="1">IF(D20="——",S22,S22-F20)</f>
        <v>#REF!</v>
      </c>
      <c r="C20" s="163"/>
      <c r="D20" s="2917" t="s">
        <v>2996</v>
      </c>
      <c r="E20" s="1791"/>
      <c r="F20" s="1202" t="e">
        <f ca="1">SUMIF(INDIRECT("'"&amp;H20&amp;"'"&amp;"!A:A"),"承租人权益价值",INDIRECT("'"&amp;H20&amp;"'"&amp;"!c:c"))</f>
        <v>#REF!</v>
      </c>
      <c r="G20" s="1202" t="s">
        <v>2997</v>
      </c>
      <c r="H20" s="2918"/>
      <c r="I20" s="163"/>
      <c r="J20" s="163"/>
      <c r="K20" s="163"/>
      <c r="L20" s="163"/>
      <c r="M20" s="163"/>
      <c r="N20" s="163"/>
      <c r="O20" s="163"/>
      <c r="P20" s="163"/>
      <c r="Q20" s="163"/>
      <c r="R20" s="783"/>
      <c r="S20" s="135"/>
    </row>
    <row r="21" spans="1:45" ht="15.75">
      <c r="A21" s="710" t="s">
        <v>2998</v>
      </c>
      <c r="B21" s="333">
        <f>R22</f>
        <v>10000</v>
      </c>
      <c r="C21" s="163"/>
      <c r="D21" s="163"/>
      <c r="E21" s="163"/>
      <c r="F21" s="163"/>
      <c r="G21" s="163"/>
      <c r="H21" s="163"/>
      <c r="I21" s="163"/>
      <c r="J21" s="163"/>
      <c r="K21" s="163"/>
      <c r="L21" s="163"/>
      <c r="M21" s="163"/>
      <c r="N21" s="163"/>
      <c r="O21" s="163"/>
      <c r="P21" s="163"/>
      <c r="Q21" s="163"/>
      <c r="R21" s="783"/>
      <c r="S21" s="135"/>
    </row>
    <row r="22" spans="1:45">
      <c r="A22" s="356" t="s">
        <v>2999</v>
      </c>
      <c r="B22" s="24">
        <f>SUM(B24:B10000)</f>
        <v>100</v>
      </c>
      <c r="C22" s="3202" t="s">
        <v>33</v>
      </c>
      <c r="D22" s="3203"/>
      <c r="E22" s="3203"/>
      <c r="F22" s="3203"/>
      <c r="G22" s="3203"/>
      <c r="H22" s="3203"/>
      <c r="I22" s="3203"/>
      <c r="J22" s="3203"/>
      <c r="K22" s="3203"/>
      <c r="L22" s="3203"/>
      <c r="M22" s="3203"/>
      <c r="N22" s="3203"/>
      <c r="O22" s="3203"/>
      <c r="P22" s="3203"/>
      <c r="Q22" s="3339"/>
      <c r="R22" s="711">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2" t="s">
        <v>3003</v>
      </c>
      <c r="S23" s="11" t="s">
        <v>3004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3005</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60236</v>
      </c>
      <c r="C2" s="2" t="s">
        <v>133</v>
      </c>
      <c r="D2" s="238"/>
      <c r="E2" s="238"/>
      <c r="F2" s="238"/>
      <c r="G2" s="238"/>
    </row>
    <row r="3" spans="1:7" s="239" customFormat="1" ht="18" customHeight="1" thickBot="1">
      <c r="A3" s="242" t="s">
        <v>85</v>
      </c>
      <c r="B3" s="243">
        <f ca="1">ROUND(B2*10000/'数据-汇总表'!E3,0)</f>
        <v>6240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1142</v>
      </c>
    </row>
    <row r="9" spans="1:7" s="253" customFormat="1" ht="13.5" customHeight="1">
      <c r="A9" s="948" t="s">
        <v>800</v>
      </c>
      <c r="B9" s="263" t="s">
        <v>93</v>
      </c>
      <c r="C9" s="264">
        <f>ROUND(D9*E9/10000,0)</f>
        <v>0</v>
      </c>
      <c r="D9" s="1030">
        <f>'数据-汇总表'!E5</f>
        <v>0</v>
      </c>
      <c r="E9" s="264">
        <f>'数据-取费表'!B27</f>
        <v>160</v>
      </c>
      <c r="F9" s="260"/>
      <c r="G9" s="265"/>
    </row>
    <row r="10" spans="1:7" s="253" customFormat="1" ht="13.5" customHeight="1">
      <c r="A10" s="948" t="s">
        <v>801</v>
      </c>
      <c r="B10" s="263" t="s">
        <v>94</v>
      </c>
      <c r="C10" s="264">
        <f>ROUND(D10*E10/10000,0)</f>
        <v>1931</v>
      </c>
      <c r="D10" s="1030">
        <f>'数据-汇总表'!E6</f>
        <v>96535.67</v>
      </c>
      <c r="E10" s="264">
        <f>'数据-取费表'!B28</f>
        <v>200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1931</v>
      </c>
      <c r="D19" s="1034">
        <f>'数据-汇总表'!E3</f>
        <v>96535.67</v>
      </c>
      <c r="E19" s="250">
        <f>'数据-取费表'!B31</f>
        <v>200</v>
      </c>
      <c r="F19" s="270"/>
      <c r="G19" s="1" t="s">
        <v>1074</v>
      </c>
    </row>
    <row r="20" spans="1:7" s="253" customFormat="1" ht="13.5" customHeight="1">
      <c r="A20" s="946" t="s">
        <v>1057</v>
      </c>
      <c r="B20" s="249" t="s">
        <v>104</v>
      </c>
      <c r="C20" s="271">
        <f>ROUND((C5+C19)*F20,0)</f>
        <v>451</v>
      </c>
      <c r="D20" s="271"/>
      <c r="E20" s="271"/>
      <c r="F20" s="272">
        <f>'数据-取费表'!B37</f>
        <v>0.02</v>
      </c>
      <c r="G20" s="1287" t="s">
        <v>1068</v>
      </c>
    </row>
    <row r="21" spans="1:7" s="253" customFormat="1" ht="13.5" customHeight="1">
      <c r="A21" s="946" t="s">
        <v>1059</v>
      </c>
      <c r="B21" s="249" t="s">
        <v>105</v>
      </c>
      <c r="C21" s="274">
        <f>F21</f>
        <v>0.02</v>
      </c>
      <c r="D21" s="275" t="s">
        <v>126</v>
      </c>
      <c r="E21" s="271"/>
      <c r="F21" s="272">
        <f>'数据-取费表'!B38</f>
        <v>0.02</v>
      </c>
      <c r="G21" s="273" t="s">
        <v>106</v>
      </c>
    </row>
    <row r="22" spans="1:7" s="253" customFormat="1" ht="13.5" customHeight="1">
      <c r="A22" s="946" t="s">
        <v>786</v>
      </c>
      <c r="B22" s="249" t="s">
        <v>107</v>
      </c>
      <c r="C22" s="1352">
        <f ca="1">ROUND(SUM(C23:C25),0)</f>
        <v>861</v>
      </c>
      <c r="D22" s="274">
        <f ca="1">C26</f>
        <v>4.0000000000000002E-4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780</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73</v>
      </c>
      <c r="D24" s="277"/>
      <c r="E24" s="277"/>
      <c r="F24" s="278"/>
      <c r="G24" s="279" t="s">
        <v>109</v>
      </c>
    </row>
    <row r="25" spans="1:7" s="253" customFormat="1" ht="24">
      <c r="A25" s="949" t="s">
        <v>793</v>
      </c>
      <c r="B25" s="254" t="s">
        <v>1058</v>
      </c>
      <c r="C25" s="1353">
        <f ca="1">ROUND(IF('数据-取费表'!B22&lt;=1,C20*F22*'数据-取费表'!B23/2,C20*(POWER((1+F22),'数据-取费表'!B23/2)-1)),0)</f>
        <v>8</v>
      </c>
      <c r="D25" s="277"/>
      <c r="E25" s="280"/>
      <c r="F25" s="278"/>
      <c r="G25" s="281" t="s">
        <v>110</v>
      </c>
    </row>
    <row r="26" spans="1:7" s="253" customFormat="1">
      <c r="A26" s="949" t="s">
        <v>795</v>
      </c>
      <c r="B26" s="254" t="s">
        <v>1060</v>
      </c>
      <c r="C26" s="277">
        <f ca="1">ROUND(IF('数据-取费表'!B22&lt;=1,F21*F22*'数据-取费表'!B23/2,F21*(POWER((1+F22),'数据-取费表'!B23/2)-1)),4)</f>
        <v>4.0000000000000002E-4</v>
      </c>
      <c r="D26" s="277"/>
      <c r="E26" s="280"/>
      <c r="F26" s="278"/>
      <c r="G26" s="282"/>
    </row>
    <row r="27" spans="1:7" s="253" customFormat="1" ht="24.75">
      <c r="A27" s="946" t="s">
        <v>787</v>
      </c>
      <c r="B27" s="283" t="s">
        <v>112</v>
      </c>
      <c r="C27" s="284">
        <f>C28</f>
        <v>1380</v>
      </c>
      <c r="D27" s="274">
        <f>C29</f>
        <v>1.1999999999999999E-3</v>
      </c>
      <c r="E27" s="275" t="s">
        <v>126</v>
      </c>
      <c r="F27" s="285">
        <f>'数据-取费表'!Q16</f>
        <v>0.15</v>
      </c>
      <c r="G27" s="286" t="s">
        <v>1069</v>
      </c>
    </row>
    <row r="28" spans="1:7" s="253" customFormat="1" ht="13.5" customHeight="1">
      <c r="A28" s="949" t="s">
        <v>794</v>
      </c>
      <c r="B28" s="287" t="s">
        <v>1062</v>
      </c>
      <c r="C28" s="288">
        <f>ROUND((C5+C19+C20)*F27*'数据-取费表'!B21/'数据-取费表'!B20,0)</f>
        <v>1380</v>
      </c>
      <c r="D28" s="274"/>
      <c r="E28" s="275"/>
      <c r="F28" s="285"/>
      <c r="G28" s="286"/>
    </row>
    <row r="29" spans="1:7" s="253" customFormat="1" ht="13.5" customHeight="1">
      <c r="A29" s="949" t="s">
        <v>792</v>
      </c>
      <c r="B29" s="287" t="s">
        <v>1063</v>
      </c>
      <c r="C29" s="277">
        <f>ROUND(C21*F27*'数据-取费表'!B21/'数据-取费表'!B20,4)</f>
        <v>1.1999999999999999E-3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27249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25574</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23715</v>
      </c>
      <c r="D34" s="256"/>
      <c r="E34" s="259"/>
      <c r="F34" s="296">
        <f>IF('数据-取费表'!B24=0,1,'数据-取费表'!N16)</f>
        <v>0.41</v>
      </c>
      <c r="G34" s="258" t="s">
        <v>116</v>
      </c>
    </row>
    <row r="35" spans="1:7" ht="13.5" customHeight="1">
      <c r="A35" s="949" t="s">
        <v>796</v>
      </c>
      <c r="B35" s="254" t="s">
        <v>60</v>
      </c>
      <c r="C35" s="259">
        <f>ROUND(C34*F35,0)</f>
        <v>711</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9" t="s">
        <v>798</v>
      </c>
      <c r="B37" s="254" t="s">
        <v>118</v>
      </c>
      <c r="C37" s="288">
        <f>ROUND(E37*D37*F34/10000,0)</f>
        <v>792</v>
      </c>
      <c r="D37" s="256">
        <f>'数据-汇总表'!E3</f>
        <v>96535.67</v>
      </c>
      <c r="E37" s="288">
        <f>'数据-取费表'!B35</f>
        <v>200</v>
      </c>
      <c r="F37" s="298"/>
      <c r="G37" s="300" t="s">
        <v>119</v>
      </c>
    </row>
    <row r="38" spans="1:7" ht="13.5" customHeight="1">
      <c r="A38" s="949" t="s">
        <v>799</v>
      </c>
      <c r="B38" s="254" t="s">
        <v>63</v>
      </c>
      <c r="C38" s="259">
        <f>ROUND(C34*F38,0)</f>
        <v>356</v>
      </c>
      <c r="D38" s="259"/>
      <c r="E38" s="259"/>
      <c r="F38" s="298">
        <f>'数据-取费表'!B36</f>
        <v>1.4999999999999999E-2</v>
      </c>
      <c r="G38" s="258" t="s">
        <v>117</v>
      </c>
    </row>
    <row r="39" spans="1:7" s="253" customFormat="1" ht="13.5" customHeight="1">
      <c r="A39" s="946" t="s">
        <v>783</v>
      </c>
      <c r="B39" s="249" t="s">
        <v>104</v>
      </c>
      <c r="C39" s="271">
        <f>ROUND(C33*F20,0)</f>
        <v>511</v>
      </c>
      <c r="D39" s="271"/>
      <c r="E39" s="271"/>
      <c r="F39" s="272"/>
      <c r="G39" s="1287" t="s">
        <v>1071</v>
      </c>
    </row>
    <row r="40" spans="1:7" s="253" customFormat="1" ht="13.5" customHeight="1">
      <c r="A40" s="946" t="s">
        <v>784</v>
      </c>
      <c r="B40" s="249" t="s">
        <v>105</v>
      </c>
      <c r="C40" s="301">
        <f>F21</f>
        <v>0.02</v>
      </c>
      <c r="D40" s="275" t="s">
        <v>129</v>
      </c>
      <c r="E40" s="271"/>
      <c r="F40" s="272"/>
      <c r="G40" s="273" t="s">
        <v>120</v>
      </c>
    </row>
    <row r="41" spans="1:7" s="253" customFormat="1" ht="13.5" customHeight="1">
      <c r="A41" s="946" t="s">
        <v>785</v>
      </c>
      <c r="B41" s="249" t="s">
        <v>107</v>
      </c>
      <c r="C41" s="271">
        <f ca="1">ROUND(SUM(C42:C43),0)</f>
        <v>489</v>
      </c>
      <c r="D41" s="274">
        <f ca="1">C44</f>
        <v>4.0000000000000002E-4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479</v>
      </c>
      <c r="D42" s="277"/>
      <c r="E42" s="277"/>
      <c r="F42" s="278"/>
      <c r="G42" s="3207" t="s">
        <v>121</v>
      </c>
    </row>
    <row r="43" spans="1:7" ht="13.5" customHeight="1">
      <c r="A43" s="949" t="s">
        <v>792</v>
      </c>
      <c r="B43" s="254" t="s">
        <v>1064</v>
      </c>
      <c r="C43" s="277">
        <f ca="1">ROUND(IF('数据-取费表'!B22&lt;=1,C39*F22*'数据-取费表'!B21/2,C39*(POWER((1+F22),'数据-取费表'!B21/2)-1)),0)</f>
        <v>10</v>
      </c>
      <c r="D43" s="277"/>
      <c r="E43" s="277"/>
      <c r="F43" s="278"/>
      <c r="G43" s="3208"/>
    </row>
    <row r="44" spans="1:7" ht="13.5" customHeight="1">
      <c r="A44" s="949" t="s">
        <v>793</v>
      </c>
      <c r="B44" s="254" t="s">
        <v>1066</v>
      </c>
      <c r="C44" s="277">
        <f ca="1">ROUND(IF('数据-取费表'!B22&lt;=1,C40*F22*'数据-取费表'!B21/2,C40*(POWER((1+F22),'数据-取费表'!B21/2)-1)),4)</f>
        <v>4.0000000000000002E-4</v>
      </c>
      <c r="D44" s="277"/>
      <c r="E44" s="277"/>
      <c r="F44" s="278"/>
      <c r="G44" s="3209"/>
    </row>
    <row r="45" spans="1:7" s="253" customFormat="1" ht="13.5" customHeight="1">
      <c r="A45" s="946" t="s">
        <v>786</v>
      </c>
      <c r="B45" s="283" t="s">
        <v>112</v>
      </c>
      <c r="C45" s="284">
        <f>C46</f>
        <v>3913</v>
      </c>
      <c r="D45" s="274">
        <f>C47</f>
        <v>3.0000000000000001E-3</v>
      </c>
      <c r="E45" s="275" t="s">
        <v>129</v>
      </c>
      <c r="F45" s="285"/>
      <c r="G45" s="286" t="s">
        <v>1072</v>
      </c>
    </row>
    <row r="46" spans="1:7" s="253" customFormat="1" ht="13.5" customHeight="1">
      <c r="A46" s="949" t="s">
        <v>794</v>
      </c>
      <c r="B46" s="287" t="s">
        <v>1065</v>
      </c>
      <c r="C46" s="288">
        <f>ROUND((C33+C39)*F27,0)</f>
        <v>3913</v>
      </c>
      <c r="D46" s="302"/>
      <c r="E46" s="275"/>
      <c r="F46" s="285"/>
      <c r="G46" s="286"/>
    </row>
    <row r="47" spans="1:7" s="253" customFormat="1" ht="13.5" customHeight="1">
      <c r="A47" s="949" t="s">
        <v>792</v>
      </c>
      <c r="B47" s="287" t="s">
        <v>1067</v>
      </c>
      <c r="C47" s="277">
        <f>ROUND(C40*F27,4)</f>
        <v>3.0000000000000001E-3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32987</v>
      </c>
      <c r="D49" s="271"/>
      <c r="E49" s="271"/>
      <c r="F49" s="303"/>
      <c r="G49" s="273" t="s">
        <v>1073</v>
      </c>
    </row>
    <row r="50" spans="1:7" s="297" customFormat="1" ht="24">
      <c r="A50" s="946" t="s">
        <v>789</v>
      </c>
      <c r="B50" s="249" t="s">
        <v>124</v>
      </c>
      <c r="C50" s="271"/>
      <c r="D50" s="271"/>
      <c r="E50" s="271"/>
      <c r="F50" s="303">
        <f>IF('数据-取费表'!B24=0,'数据-取费表'!N16,1)</f>
        <v>1</v>
      </c>
      <c r="G50" s="286" t="s">
        <v>125</v>
      </c>
    </row>
    <row r="51" spans="1:7" ht="16.5" customHeight="1">
      <c r="A51" s="946" t="s">
        <v>790</v>
      </c>
      <c r="B51" s="249" t="s">
        <v>132</v>
      </c>
      <c r="C51" s="271">
        <f ca="1">ROUND(C49*F50,0)</f>
        <v>32987</v>
      </c>
      <c r="D51" s="271"/>
      <c r="E51" s="271"/>
      <c r="F51" s="303"/>
      <c r="G51" s="273" t="s">
        <v>64</v>
      </c>
    </row>
    <row r="52" spans="1:7" s="247" customFormat="1" ht="16.5" thickBot="1">
      <c r="A52" s="304" t="s">
        <v>65</v>
      </c>
      <c r="B52" s="305"/>
      <c r="C52" s="306">
        <f ca="1">C31+C51</f>
        <v>60236</v>
      </c>
      <c r="D52" s="305"/>
      <c r="E52" s="305"/>
      <c r="F52" s="305"/>
      <c r="G52" s="307"/>
    </row>
    <row r="55" spans="1:7" ht="15">
      <c r="B55" s="309" t="s">
        <v>66</v>
      </c>
      <c r="C55" s="310"/>
    </row>
    <row r="56" spans="1:7">
      <c r="B56" s="312" t="s">
        <v>67</v>
      </c>
      <c r="C56" s="313">
        <f ca="1">ROUND(C51/C52,3)</f>
        <v>0.54800000000000004</v>
      </c>
    </row>
    <row r="57" spans="1:7">
      <c r="B57" s="312" t="s">
        <v>68</v>
      </c>
      <c r="C57" s="314">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3" t="s">
        <v>156</v>
      </c>
      <c r="B1" s="3343"/>
      <c r="C1" s="3343"/>
      <c r="D1" s="3343"/>
      <c r="E1" s="3343"/>
      <c r="F1" s="334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4" t="s">
        <v>169</v>
      </c>
      <c r="B2" s="3344"/>
      <c r="C2" s="3344"/>
      <c r="D2" s="3344"/>
      <c r="E2" s="3344"/>
      <c r="F2" s="334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3" t="s">
        <v>871</v>
      </c>
      <c r="B1" s="334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43318</v>
      </c>
      <c r="D1" s="1698" t="s">
        <v>1295</v>
      </c>
      <c r="E1" s="1693">
        <f>'数据-取费表'!B22</f>
        <v>2</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1635</v>
      </c>
      <c r="B2" s="3030" t="s">
        <v>1636</v>
      </c>
      <c r="C2" s="3030" t="s">
        <v>1637</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42" t="s">
        <v>1632</v>
      </c>
      <c r="E3" s="1042" t="s">
        <v>1638</v>
      </c>
      <c r="F3" s="1042" t="s">
        <v>1632</v>
      </c>
      <c r="G3" s="1042" t="s">
        <v>1633</v>
      </c>
      <c r="H3" s="1042" t="s">
        <v>1632</v>
      </c>
      <c r="I3" s="1042" t="s">
        <v>1633</v>
      </c>
    </row>
    <row r="4" spans="1:9" ht="60">
      <c r="A4" s="1971" t="str">
        <f>项目基本情况!S2</f>
        <v>北京市房山区西潞街道良乡组团06街区06-23-01、06-23-05地块出让国有建设用地使用权及在建建筑物房地产</v>
      </c>
      <c r="B4" s="1042">
        <f>项目基本情况!C17</f>
        <v>96535.67</v>
      </c>
      <c r="C4" s="1042">
        <f>项目基本情况!C18</f>
        <v>35985.589999999997</v>
      </c>
      <c r="D4" s="1042">
        <f ca="1">结果表!D118</f>
        <v>76276</v>
      </c>
      <c r="E4" s="1042">
        <f ca="1">结果表!E118</f>
        <v>7901</v>
      </c>
      <c r="F4" s="1042">
        <f ca="1">结果表!F118</f>
        <v>25834</v>
      </c>
      <c r="G4" s="1042">
        <f ca="1">结果表!G118</f>
        <v>2676</v>
      </c>
      <c r="H4" s="1042">
        <f ca="1">结果表!H118</f>
        <v>102110</v>
      </c>
      <c r="I4" s="1042">
        <f ca="1">结果表!I118</f>
        <v>10577</v>
      </c>
    </row>
    <row r="5" spans="1:9" ht="30" customHeight="1">
      <c r="A5" s="3024" t="s">
        <v>1634</v>
      </c>
      <c r="B5" s="3024"/>
      <c r="C5" s="3024"/>
      <c r="D5" s="3025" t="str">
        <f ca="1">结果表!D119</f>
        <v>柒亿陆仟贰佰柒拾陆万元整</v>
      </c>
      <c r="E5" s="3025"/>
      <c r="F5" s="3025" t="str">
        <f ca="1">结果表!F119</f>
        <v>贰亿伍仟捌佰叁拾肆万元整</v>
      </c>
      <c r="G5" s="3025"/>
      <c r="H5" s="3025" t="str">
        <f ca="1">结果表!H119</f>
        <v>壹拾亿贰仟壹佰壹拾万元整</v>
      </c>
      <c r="I5" s="3025"/>
    </row>
    <row r="6" spans="1:9" ht="15.75">
      <c r="A6" s="3023" t="str">
        <f>结果表!A120</f>
        <v>估价师知悉的法定优先受偿款</v>
      </c>
      <c r="B6" s="3023"/>
      <c r="C6" s="3023"/>
      <c r="D6" s="3023">
        <f>结果表!D120</f>
        <v>1628</v>
      </c>
      <c r="E6" s="3023"/>
      <c r="F6" s="3023"/>
      <c r="G6" s="3023"/>
      <c r="H6" s="3023"/>
      <c r="I6" s="3023"/>
    </row>
    <row r="7" spans="1:9" ht="15">
      <c r="A7" s="3024" t="s">
        <v>1634</v>
      </c>
      <c r="B7" s="3024"/>
      <c r="C7" s="3024"/>
      <c r="D7" s="3026" t="str">
        <f>结果表!D121</f>
        <v>壹仟陆佰贰拾捌万元整</v>
      </c>
      <c r="E7" s="3027"/>
      <c r="F7" s="3027"/>
      <c r="G7" s="3027"/>
      <c r="H7" s="3027"/>
      <c r="I7" s="3028"/>
    </row>
    <row r="8" spans="1:9" ht="15.75">
      <c r="A8" s="3023" t="str">
        <f>结果表!A122</f>
        <v>房地产抵押价值</v>
      </c>
      <c r="B8" s="3023"/>
      <c r="C8" s="3023"/>
      <c r="D8" s="3023">
        <f ca="1">结果表!D122</f>
        <v>100482</v>
      </c>
      <c r="E8" s="3023"/>
      <c r="F8" s="3023"/>
      <c r="G8" s="3023"/>
      <c r="H8" s="3023"/>
      <c r="I8" s="3023"/>
    </row>
    <row r="9" spans="1:9" ht="15">
      <c r="A9" s="3024" t="s">
        <v>1634</v>
      </c>
      <c r="B9" s="3024"/>
      <c r="C9" s="3024"/>
      <c r="D9" s="3025" t="str">
        <f ca="1">结果表!D123</f>
        <v>壹拾亿零肆佰捌拾贰万元整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1634</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1634</v>
      </c>
      <c r="B13" s="3020"/>
      <c r="C13" s="3020"/>
      <c r="D13" s="3021" t="e">
        <f>结果表!D127</f>
        <v>#VALUE!</v>
      </c>
      <c r="E13" s="3021"/>
      <c r="F13" s="3021"/>
      <c r="G13" s="3021"/>
      <c r="H13" s="3021"/>
      <c r="I13" s="3021"/>
    </row>
    <row r="14" spans="1:9" ht="15" thickTop="1">
      <c r="A14" s="3022" t="s">
        <v>1639</v>
      </c>
      <c r="B14" s="3022"/>
      <c r="C14" s="3022"/>
      <c r="D14" s="3022"/>
      <c r="E14" s="3022"/>
      <c r="F14" s="3022"/>
      <c r="G14" s="3022"/>
      <c r="H14" s="3022"/>
      <c r="I14" s="302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7" t="s">
        <v>1656</v>
      </c>
      <c r="B1" s="3037"/>
      <c r="C1" s="3037"/>
      <c r="D1" s="3037"/>
    </row>
    <row r="2" spans="1:4" ht="18">
      <c r="A2" s="3038" t="s">
        <v>1640</v>
      </c>
      <c r="B2" s="3038"/>
      <c r="C2" s="3038"/>
      <c r="D2" s="3038"/>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038" t="s">
        <v>1646</v>
      </c>
      <c r="B6" s="3038"/>
      <c r="C6" s="3038"/>
      <c r="D6" s="3038"/>
    </row>
    <row r="7" spans="1:4" ht="18.75">
      <c r="A7" s="1975" t="s">
        <v>1641</v>
      </c>
      <c r="B7" s="1977" t="s">
        <v>1647</v>
      </c>
      <c r="C7" s="1975" t="s">
        <v>1643</v>
      </c>
      <c r="D7" s="1975" t="s">
        <v>1644</v>
      </c>
    </row>
    <row r="8" spans="1:4" ht="56.25" customHeight="1">
      <c r="A8" s="1981" t="s">
        <v>869</v>
      </c>
      <c r="B8" s="1981" t="s">
        <v>1</v>
      </c>
      <c r="C8" s="1978"/>
      <c r="D8" s="1979" t="s">
        <v>1645</v>
      </c>
    </row>
    <row r="9" spans="1:4">
      <c r="A9" s="723"/>
      <c r="B9" s="723"/>
      <c r="C9" s="723"/>
      <c r="D9" s="723"/>
    </row>
    <row r="10" spans="1:4" ht="18.75">
      <c r="A10" s="1982" t="s">
        <v>1648</v>
      </c>
      <c r="B10" s="723"/>
      <c r="C10" s="723"/>
      <c r="D10" s="723"/>
    </row>
    <row r="11" spans="1:4" ht="30" customHeight="1">
      <c r="A11" s="3039" t="s">
        <v>1649</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（1）根据估价对象《不动产权证书》复印件、，截至价值时点，估价对象抵押权未见登记。</v>
      </c>
      <c r="B15" s="3031"/>
      <c r="C15" s="3031"/>
      <c r="D15" s="3031"/>
    </row>
    <row r="16" spans="1:4" ht="30" customHeight="1">
      <c r="A16" s="3033" t="s">
        <v>1650</v>
      </c>
      <c r="B16" s="3033"/>
      <c r="C16" s="3033"/>
      <c r="D16" s="3033"/>
    </row>
    <row r="17" spans="1:4" ht="144" customHeight="1">
      <c r="A17" s="3033" t="s">
        <v>1651</v>
      </c>
      <c r="B17" s="3033"/>
      <c r="C17" s="3033"/>
      <c r="D17" s="3033"/>
    </row>
    <row r="18" spans="1:4" ht="15.75" customHeight="1">
      <c r="A18" s="3031" t="str">
        <f>IF(项目基本情况!B8="抵押",结果表!K120,"——")</f>
        <v>故，本次评估估价师知悉的法定优先受偿款为人民币1628万元整。</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1652</v>
      </c>
      <c r="B22" s="3035"/>
      <c r="C22" s="3035"/>
      <c r="D22" s="303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45" t="s">
        <v>1663</v>
      </c>
      <c r="B15" s="3040" t="s">
        <v>136</v>
      </c>
      <c r="C15" s="3041"/>
    </row>
    <row r="16" spans="1:7" ht="13.5">
      <c r="A16" s="3046"/>
      <c r="B16" s="3040" t="s">
        <v>69</v>
      </c>
      <c r="C16" s="3041"/>
    </row>
    <row r="17" spans="1:3" ht="13.5">
      <c r="A17" s="3046"/>
      <c r="B17" s="3043" t="s">
        <v>1664</v>
      </c>
      <c r="C17" s="1998" t="s">
        <v>1663</v>
      </c>
    </row>
    <row r="18" spans="1:3" ht="13.5">
      <c r="A18" s="3046"/>
      <c r="B18" s="3043"/>
      <c r="C18" s="1998" t="s">
        <v>1665</v>
      </c>
    </row>
    <row r="19" spans="1:3" ht="13.5">
      <c r="A19" s="3046"/>
      <c r="B19" s="3043"/>
      <c r="C19" s="1998" t="s">
        <v>1666</v>
      </c>
    </row>
    <row r="20" spans="1:3" ht="13.5">
      <c r="A20" s="3047"/>
      <c r="B20" s="3042" t="s">
        <v>1667</v>
      </c>
      <c r="C20" s="3041"/>
    </row>
    <row r="21" spans="1:3" ht="13.5">
      <c r="A21" s="1999" t="s">
        <v>1668</v>
      </c>
      <c r="B21" s="2000"/>
      <c r="C21" s="2001"/>
    </row>
    <row r="22" spans="1:3" ht="13.5">
      <c r="A22" s="3044" t="s">
        <v>1669</v>
      </c>
      <c r="B22" s="3042" t="s">
        <v>1670</v>
      </c>
      <c r="C22" s="3041"/>
    </row>
    <row r="23" spans="1:3" ht="13.5">
      <c r="A23" s="3044"/>
      <c r="B23" s="3042" t="s">
        <v>1671</v>
      </c>
      <c r="C23" s="3041"/>
    </row>
    <row r="24" spans="1:3" ht="13.5">
      <c r="A24" s="3044"/>
      <c r="B24" s="3042" t="s">
        <v>1672</v>
      </c>
      <c r="C24" s="3041"/>
    </row>
    <row r="25" spans="1:3" ht="13.5">
      <c r="A25" s="3044"/>
      <c r="B25" s="3043" t="s">
        <v>1673</v>
      </c>
      <c r="C25" s="1998" t="s">
        <v>1674</v>
      </c>
    </row>
    <row r="26" spans="1:3" ht="13.5">
      <c r="A26" s="3044"/>
      <c r="B26" s="3043"/>
      <c r="C26" s="1998" t="s">
        <v>1675</v>
      </c>
    </row>
    <row r="27" spans="1:3" ht="13.5">
      <c r="A27" s="3044"/>
      <c r="B27" s="3043"/>
      <c r="C27" s="1998" t="s">
        <v>1676</v>
      </c>
    </row>
    <row r="28" spans="1:3" ht="13.5">
      <c r="A28" s="3044"/>
      <c r="B28" s="3043"/>
      <c r="C28" s="1998" t="s">
        <v>1677</v>
      </c>
    </row>
    <row r="29" spans="1:3" ht="13.5">
      <c r="A29" s="3044"/>
      <c r="B29" s="3043"/>
      <c r="C29" s="1998" t="s">
        <v>1678</v>
      </c>
    </row>
    <row r="30" spans="1:3" ht="13.5">
      <c r="A30" s="3044"/>
      <c r="B30" s="3043"/>
      <c r="C30" s="1998" t="s">
        <v>1679</v>
      </c>
    </row>
    <row r="31" spans="1:3" ht="13.5">
      <c r="A31" s="3044"/>
      <c r="B31" s="3043"/>
      <c r="C31" s="1998" t="s">
        <v>1680</v>
      </c>
    </row>
    <row r="32" spans="1:3" ht="13.5">
      <c r="A32" s="3044"/>
      <c r="B32" s="3043"/>
      <c r="C32" s="1998" t="s">
        <v>1681</v>
      </c>
    </row>
    <row r="33" spans="1:3" ht="13.5">
      <c r="A33" s="3044"/>
      <c r="B33" s="304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43353</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3021</v>
      </c>
      <c r="B12" s="1020">
        <v>1120110054</v>
      </c>
      <c r="C12" s="2938">
        <v>43937</v>
      </c>
      <c r="D12" s="1700" t="s">
        <v>3021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1143</v>
      </c>
      <c r="B15" s="1020">
        <v>1120070085</v>
      </c>
      <c r="C15" s="2343">
        <v>43814</v>
      </c>
      <c r="D15" s="2347" t="s">
        <v>1143</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8">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1327</v>
      </c>
      <c r="B24" s="1701" t="s">
        <v>1327</v>
      </c>
      <c r="C24" s="2344" t="s">
        <v>1327</v>
      </c>
      <c r="D24" s="2347" t="s">
        <v>1327</v>
      </c>
      <c r="E24" s="1701" t="s">
        <v>1327</v>
      </c>
      <c r="F24" s="1701" t="s">
        <v>1327</v>
      </c>
    </row>
    <row r="25" spans="1:7" ht="24" customHeight="1">
      <c r="A25" s="3048" t="s">
        <v>846</v>
      </c>
      <c r="B25" s="3048"/>
      <c r="C25" s="3048"/>
      <c r="D25" s="3048"/>
      <c r="E25" s="3048"/>
      <c r="F25" s="3048"/>
      <c r="G25" s="3048"/>
    </row>
    <row r="26" spans="1:7" s="1023" customFormat="1" ht="24" customHeight="1">
      <c r="A26" s="3049" t="s">
        <v>847</v>
      </c>
      <c r="B26" s="3049"/>
      <c r="C26" s="3050"/>
      <c r="D26" s="3051" t="s">
        <v>848</v>
      </c>
      <c r="E26" s="3049"/>
      <c r="F26" s="304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1378</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问题</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基准地价修正-商业</vt:lpstr>
      <vt:lpstr>基准地价修正-办公</vt:lpstr>
      <vt:lpstr>基准地价（汇总）</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2018-09-10T03:28:43Z</dcterms:modified>
</cp:coreProperties>
</file>