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顺义\"/>
    </mc:Choice>
  </mc:AlternateContent>
  <xr:revisionPtr revIDLastSave="0" documentId="13_ncr:1_{46CA3E40-F7D4-4518-8F16-D5018E14576C}" xr6:coauthVersionLast="45" xr6:coauthVersionMax="47" xr10:uidLastSave="{00000000-0000-0000-0000-000000000000}"/>
  <bookViews>
    <workbookView xWindow="30" yWindow="45" windowWidth="16290" windowHeight="12900" tabRatio="875" firstSheet="10"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权重表" sheetId="69" r:id="rId17"/>
    <sheet name="结果表" sheetId="9" r:id="rId18"/>
    <sheet name="剩余法-待开发" sheetId="12" r:id="rId19"/>
    <sheet name="不动产收益法" sheetId="15" r:id="rId20"/>
    <sheet name="剩余法-现房" sheetId="43" r:id="rId21"/>
    <sheet name="比较法-住宅、综合" sheetId="39" state="hidden" r:id="rId22"/>
    <sheet name="办公租金案例" sheetId="70" r:id="rId23"/>
    <sheet name="基准地价" sheetId="46"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r:id="rId30"/>
    <sheet name="收益还原法" sheetId="44" state="hidden" r:id="rId31"/>
    <sheet name="不动产收益法-酒店模型" sheetId="68" state="hidden" r:id="rId32"/>
    <sheet name="酒店收入计算" sheetId="57" state="hidden" r:id="rId33"/>
    <sheet name="比较法-工业" sheetId="40" state="hidden" r:id="rId34"/>
    <sheet name="成本逼近法" sheetId="11" r:id="rId35"/>
    <sheet name="土地案例" sheetId="71" r:id="rId36"/>
    <sheet name="成本案例比较法" sheetId="72"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 r:id="rId51"/>
  </externalReferences>
  <definedNames>
    <definedName name="_xlnm._FilterDatabase" localSheetId="33" hidden="1">'比较法-工业'!$A$1:$L$45</definedName>
    <definedName name="_xlnm._FilterDatabase" localSheetId="21"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3">'比较法-工业'!$A$1:$K$63,'比较法-工业'!$A$66:$N$123</definedName>
    <definedName name="_xlnm.Print_Area" localSheetId="21">'比较法-住宅、综合'!$A$1:$K$67,'比较法-住宅、综合'!$A$71:$N$134</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19">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18">'剩余法-待开发'!$A$1:$K$36</definedName>
    <definedName name="_xlnm.Print_Area" localSheetId="20">'剩余法-现房'!$A$1:$K$27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 i="69" l="1"/>
  <c r="B29" i="1"/>
  <c r="M27" i="72" l="1"/>
  <c r="O10" i="69" l="1"/>
  <c r="P10" i="69" s="1"/>
  <c r="O11" i="69"/>
  <c r="O12" i="69"/>
  <c r="P12" i="69" s="1"/>
  <c r="O13" i="69"/>
  <c r="O14" i="69"/>
  <c r="O15" i="69"/>
  <c r="P15" i="69" s="1"/>
  <c r="O16" i="69"/>
  <c r="O17" i="69"/>
  <c r="O18" i="69"/>
  <c r="O19" i="69"/>
  <c r="O20" i="69"/>
  <c r="O21" i="69"/>
  <c r="O9" i="69"/>
  <c r="N21" i="69"/>
  <c r="N20" i="69"/>
  <c r="N19" i="69"/>
  <c r="N18" i="69"/>
  <c r="P18" i="69" s="1"/>
  <c r="N17" i="69"/>
  <c r="P17" i="69" s="1"/>
  <c r="P16" i="69"/>
  <c r="N16" i="69"/>
  <c r="N15" i="69"/>
  <c r="N14" i="69"/>
  <c r="P14" i="69" s="1"/>
  <c r="N13" i="69"/>
  <c r="N12" i="69"/>
  <c r="N11" i="69"/>
  <c r="N10" i="69"/>
  <c r="N9" i="69"/>
  <c r="D8" i="11"/>
  <c r="M17" i="72"/>
  <c r="G17" i="72"/>
  <c r="E17" i="72"/>
  <c r="C17" i="72"/>
  <c r="N11" i="72"/>
  <c r="M11" i="72"/>
  <c r="M15" i="72"/>
  <c r="G15" i="72"/>
  <c r="E15" i="72"/>
  <c r="N8" i="72"/>
  <c r="M25" i="72"/>
  <c r="G25" i="72"/>
  <c r="E25" i="72"/>
  <c r="M4" i="72"/>
  <c r="G4" i="72"/>
  <c r="E4" i="72"/>
  <c r="Q39" i="72"/>
  <c r="R39" i="72" s="1"/>
  <c r="S39" i="72" s="1"/>
  <c r="Q38" i="72"/>
  <c r="R38" i="72" s="1"/>
  <c r="S38" i="72" s="1"/>
  <c r="Q37" i="72"/>
  <c r="R37" i="72" s="1"/>
  <c r="S37" i="72" s="1"/>
  <c r="R36" i="72"/>
  <c r="S36" i="72" s="1"/>
  <c r="Q36" i="72"/>
  <c r="Q35" i="72"/>
  <c r="R35" i="72" s="1"/>
  <c r="S35" i="72" s="1"/>
  <c r="Q34" i="72"/>
  <c r="R34" i="72" s="1"/>
  <c r="S34" i="72" s="1"/>
  <c r="Q33" i="72"/>
  <c r="R33" i="72" s="1"/>
  <c r="S33" i="72" s="1"/>
  <c r="Q32" i="72"/>
  <c r="R32" i="72" s="1"/>
  <c r="S32" i="72" s="1"/>
  <c r="Q31" i="72"/>
  <c r="R31" i="72" s="1"/>
  <c r="S31" i="72" s="1"/>
  <c r="R30" i="72"/>
  <c r="S30" i="72" s="1"/>
  <c r="F6" i="72" s="1"/>
  <c r="Q30" i="72"/>
  <c r="Q29" i="72"/>
  <c r="R29" i="72" s="1"/>
  <c r="S29" i="72" s="1"/>
  <c r="Q28" i="72"/>
  <c r="R28" i="72" s="1"/>
  <c r="S28" i="72" s="1"/>
  <c r="Q27" i="72"/>
  <c r="R27" i="72" s="1"/>
  <c r="S27" i="72" s="1"/>
  <c r="Q26" i="72"/>
  <c r="R26" i="72" s="1"/>
  <c r="S26" i="72" s="1"/>
  <c r="H6" i="72" s="1"/>
  <c r="N6" i="72" s="1"/>
  <c r="Q25" i="72"/>
  <c r="R25" i="72" s="1"/>
  <c r="S25" i="72" s="1"/>
  <c r="Q24" i="72"/>
  <c r="R24" i="72" s="1"/>
  <c r="S24" i="72" s="1"/>
  <c r="Q23" i="72"/>
  <c r="R23" i="72" s="1"/>
  <c r="S23" i="72" s="1"/>
  <c r="Q22" i="72"/>
  <c r="R22" i="72" s="1"/>
  <c r="S22" i="72" s="1"/>
  <c r="R21" i="72"/>
  <c r="S21" i="72" s="1"/>
  <c r="Q21" i="72"/>
  <c r="Q20" i="72"/>
  <c r="R20" i="72" s="1"/>
  <c r="S20" i="72" s="1"/>
  <c r="Q19" i="72"/>
  <c r="R19" i="72" s="1"/>
  <c r="S19" i="72" s="1"/>
  <c r="Q18" i="72"/>
  <c r="R18" i="72" s="1"/>
  <c r="S18" i="72" s="1"/>
  <c r="Q17" i="72"/>
  <c r="R17" i="72" s="1"/>
  <c r="S17" i="72" s="1"/>
  <c r="H16" i="72"/>
  <c r="J16" i="72" s="1"/>
  <c r="L16" i="72" s="1"/>
  <c r="N16" i="72" s="1"/>
  <c r="R15" i="72"/>
  <c r="S15" i="72" s="1"/>
  <c r="L15" i="72"/>
  <c r="J15" i="72"/>
  <c r="R14" i="72"/>
  <c r="S14" i="72" s="1"/>
  <c r="H14" i="72"/>
  <c r="J14" i="72" s="1"/>
  <c r="L14" i="72" s="1"/>
  <c r="N14" i="72" s="1"/>
  <c r="R13" i="72"/>
  <c r="S13" i="72" s="1"/>
  <c r="H11" i="72"/>
  <c r="J11" i="72" s="1"/>
  <c r="L11" i="72" s="1"/>
  <c r="H8" i="72"/>
  <c r="J8" i="72" s="1"/>
  <c r="L8" i="72" s="1"/>
  <c r="N7" i="72"/>
  <c r="L7" i="72"/>
  <c r="J7" i="72"/>
  <c r="H7" i="72"/>
  <c r="L6" i="72"/>
  <c r="J6" i="72"/>
  <c r="K5" i="72"/>
  <c r="I5" i="72"/>
  <c r="K4" i="72"/>
  <c r="I4" i="72"/>
  <c r="P20" i="69" l="1"/>
  <c r="P21" i="69"/>
  <c r="P19" i="69"/>
  <c r="P11" i="69"/>
  <c r="P22" i="69" s="1"/>
  <c r="O22" i="69"/>
  <c r="G26" i="72"/>
  <c r="E26" i="72"/>
  <c r="I26" i="72"/>
  <c r="K26" i="72"/>
  <c r="M26" i="72"/>
  <c r="A27" i="72" l="1"/>
  <c r="L28" i="72"/>
  <c r="E8" i="11"/>
  <c r="F19" i="6" l="1"/>
  <c r="H3" i="69"/>
  <c r="F3" i="69"/>
  <c r="C3" i="69"/>
  <c r="I13" i="3"/>
  <c r="AH5" i="59"/>
  <c r="AG5" i="59"/>
  <c r="AE5" i="59"/>
  <c r="AF5" i="59" s="1"/>
  <c r="AD5" i="59"/>
  <c r="Q5" i="59"/>
  <c r="P5" i="59"/>
  <c r="O5" i="59"/>
  <c r="N5" i="59"/>
  <c r="R43" i="68" l="1"/>
  <c r="R40" i="68"/>
  <c r="R41" i="68" s="1"/>
  <c r="R35" i="68" s="1"/>
  <c r="F36" i="68"/>
  <c r="R34" i="68"/>
  <c r="R33" i="68"/>
  <c r="C30" i="68"/>
  <c r="R27" i="68"/>
  <c r="M24" i="68"/>
  <c r="R23" i="68"/>
  <c r="C23" i="68"/>
  <c r="R22" i="68"/>
  <c r="R21" i="68"/>
  <c r="R24" i="68" s="1"/>
  <c r="N19" i="68"/>
  <c r="R18" i="68"/>
  <c r="D18" i="68"/>
  <c r="R17" i="68"/>
  <c r="D17" i="68"/>
  <c r="R16" i="68"/>
  <c r="D16" i="68"/>
  <c r="D15" i="68"/>
  <c r="M14" i="68"/>
  <c r="N14" i="68" s="1"/>
  <c r="D14" i="68"/>
  <c r="R13" i="68"/>
  <c r="R12" i="68"/>
  <c r="D12" i="68"/>
  <c r="R11" i="68"/>
  <c r="R10" i="68"/>
  <c r="D10" i="68"/>
  <c r="R9" i="68"/>
  <c r="D9" i="68"/>
  <c r="R8" i="68"/>
  <c r="R7" i="68"/>
  <c r="R4" i="68"/>
  <c r="R3" i="68"/>
  <c r="R14" i="68" l="1"/>
  <c r="R19" i="68"/>
  <c r="U34" i="68"/>
  <c r="D11" i="68"/>
  <c r="R25" i="68"/>
  <c r="R5" i="68" s="1"/>
  <c r="U5" i="68" s="1"/>
  <c r="D7" i="68"/>
  <c r="C26" i="68" s="1"/>
  <c r="C32" i="68" s="1"/>
  <c r="C38" i="68" s="1"/>
  <c r="C39" i="68" s="1"/>
  <c r="E11" i="68"/>
  <c r="E7" i="68" s="1"/>
  <c r="C27" i="68" s="1"/>
  <c r="D23" i="68"/>
  <c r="C29" i="68"/>
  <c r="F26" i="43"/>
  <c r="F25" i="43"/>
  <c r="F19" i="43"/>
  <c r="E16" i="43"/>
  <c r="F15" i="43"/>
  <c r="F14" i="43"/>
  <c r="D26" i="68" l="1"/>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X3" i="59" s="1"/>
  <c r="AH15" i="59"/>
  <c r="AG15" i="59"/>
  <c r="AE15" i="59"/>
  <c r="AF15" i="59" s="1"/>
  <c r="AD15" i="59"/>
  <c r="AH16" i="59"/>
  <c r="AG16" i="59"/>
  <c r="AE16" i="59"/>
  <c r="AF16" i="59"/>
  <c r="AD16"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s="1"/>
  <c r="AG21" i="59"/>
  <c r="AH21" i="59"/>
  <c r="AD21" i="59"/>
  <c r="Q21" i="59"/>
  <c r="F21" i="59" s="1"/>
  <c r="V21" i="59" s="1"/>
  <c r="P21" i="59"/>
  <c r="O21" i="59"/>
  <c r="C21" i="59" s="1"/>
  <c r="T21" i="59" s="1"/>
  <c r="N21" i="59"/>
  <c r="B21" i="59" s="1"/>
  <c r="N22" i="59"/>
  <c r="Q22" i="59"/>
  <c r="P22" i="59"/>
  <c r="O22" i="59"/>
  <c r="K59" i="15"/>
  <c r="P75" i="15" s="1"/>
  <c r="P62" i="15"/>
  <c r="Q74" i="44"/>
  <c r="Q61" i="44"/>
  <c r="Q60" i="44"/>
  <c r="Q53" i="44"/>
  <c r="J51" i="44"/>
  <c r="J52" i="44" s="1"/>
  <c r="M48" i="44"/>
  <c r="A16" i="55"/>
  <c r="A15" i="55"/>
  <c r="B66" i="63" s="1"/>
  <c r="A14" i="55"/>
  <c r="A11" i="55"/>
  <c r="A10" i="55"/>
  <c r="B61" i="63" s="1"/>
  <c r="A9" i="55"/>
  <c r="B60" i="63" s="1"/>
  <c r="A8" i="55"/>
  <c r="A6" i="54"/>
  <c r="B49" i="63" s="1"/>
  <c r="A8" i="54"/>
  <c r="A7" i="54"/>
  <c r="A27" i="51"/>
  <c r="B20" i="63" s="1"/>
  <c r="Q23" i="59"/>
  <c r="O23" i="59"/>
  <c r="N24" i="59"/>
  <c r="O24" i="59"/>
  <c r="P24" i="59"/>
  <c r="Q24" i="59"/>
  <c r="N23" i="59"/>
  <c r="P23" i="59"/>
  <c r="K75" i="9"/>
  <c r="K6" i="4"/>
  <c r="L76" i="9" s="1"/>
  <c r="O76" i="9"/>
  <c r="B22" i="31"/>
  <c r="E15" i="66"/>
  <c r="F15" i="66"/>
  <c r="E16" i="66"/>
  <c r="F16" i="66"/>
  <c r="E17" i="66"/>
  <c r="F17" i="66"/>
  <c r="E18" i="66"/>
  <c r="F18" i="66"/>
  <c r="E19" i="66"/>
  <c r="F19" i="66"/>
  <c r="E20" i="66"/>
  <c r="F20" i="66"/>
  <c r="E21" i="66"/>
  <c r="F21" i="66"/>
  <c r="E22" i="66"/>
  <c r="F22" i="66"/>
  <c r="E23" i="66"/>
  <c r="F23" i="66"/>
  <c r="B3" i="66"/>
  <c r="E21" i="59"/>
  <c r="E20" i="59" s="1"/>
  <c r="E19" i="59" s="1"/>
  <c r="E18" i="59" s="1"/>
  <c r="E17" i="59" s="1"/>
  <c r="E16" i="59" s="1"/>
  <c r="E15" i="59" s="1"/>
  <c r="E14" i="59" s="1"/>
  <c r="U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Y12" i="46"/>
  <c r="AA9" i="46"/>
  <c r="AB9" i="46"/>
  <c r="AB10" i="46"/>
  <c r="AC9" i="46"/>
  <c r="AC10" i="46" s="1"/>
  <c r="AD9" i="46"/>
  <c r="AD10" i="46" s="1"/>
  <c r="AE9" i="46"/>
  <c r="AF9" i="46"/>
  <c r="AF10" i="46" s="1"/>
  <c r="AG9" i="46"/>
  <c r="AH9" i="46"/>
  <c r="AH10" i="46"/>
  <c r="AI9" i="46"/>
  <c r="AI12" i="46" s="1"/>
  <c r="AJ9" i="46"/>
  <c r="AJ10" i="46"/>
  <c r="Z9" i="46"/>
  <c r="Z10" i="46" s="1"/>
  <c r="AI10" i="46"/>
  <c r="AG10" i="46"/>
  <c r="AE10" i="46"/>
  <c r="AA10" i="46"/>
  <c r="Y10" i="46"/>
  <c r="Z12" i="46"/>
  <c r="AG12" i="46"/>
  <c r="AE12" i="46"/>
  <c r="AA12" i="46"/>
  <c r="B73" i="63"/>
  <c r="A21" i="64"/>
  <c r="B75" i="63" s="1"/>
  <c r="A27" i="64"/>
  <c r="A15" i="64"/>
  <c r="A14" i="64"/>
  <c r="A11" i="64"/>
  <c r="A3" i="64"/>
  <c r="A45" i="9"/>
  <c r="K40" i="9" s="1"/>
  <c r="A44" i="9"/>
  <c r="C57" i="10"/>
  <c r="A28" i="51" s="1"/>
  <c r="C56" i="10"/>
  <c r="A26" i="51" s="1"/>
  <c r="B19" i="63" s="1"/>
  <c r="C55" i="10"/>
  <c r="C54" i="10"/>
  <c r="B44" i="63"/>
  <c r="B40" i="63"/>
  <c r="B30" i="63"/>
  <c r="B27" i="63"/>
  <c r="B25" i="63"/>
  <c r="A11" i="51"/>
  <c r="B10" i="63" s="1"/>
  <c r="A26" i="64"/>
  <c r="K39"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s="1"/>
  <c r="A14" i="51"/>
  <c r="B11" i="63"/>
  <c r="A4" i="55"/>
  <c r="B57" i="63" s="1"/>
  <c r="B41" i="63"/>
  <c r="G5" i="54"/>
  <c r="B34" i="63" s="1"/>
  <c r="E5" i="54"/>
  <c r="B32" i="63"/>
  <c r="R2" i="54"/>
  <c r="B24" i="63" s="1"/>
  <c r="B49" i="50"/>
  <c r="B5" i="63" s="1"/>
  <c r="B40" i="50"/>
  <c r="B3" i="63"/>
  <c r="B67" i="63"/>
  <c r="I19" i="46"/>
  <c r="Q25" i="59"/>
  <c r="P25" i="59"/>
  <c r="O25" i="59"/>
  <c r="N25" i="59"/>
  <c r="B25" i="59" s="1"/>
  <c r="D86" i="59"/>
  <c r="F85" i="59"/>
  <c r="E85" i="59"/>
  <c r="E84" i="59" s="1"/>
  <c r="E83" i="59" s="1"/>
  <c r="C85" i="59"/>
  <c r="C84" i="59" s="1"/>
  <c r="D85" i="59"/>
  <c r="B85" i="59"/>
  <c r="B84" i="59" s="1"/>
  <c r="B83" i="59" s="1"/>
  <c r="F84" i="59"/>
  <c r="F83" i="59" s="1"/>
  <c r="D82" i="59"/>
  <c r="F81" i="59"/>
  <c r="E81" i="59"/>
  <c r="E80" i="59" s="1"/>
  <c r="E79" i="59"/>
  <c r="C81" i="59"/>
  <c r="B81" i="59"/>
  <c r="F80" i="59"/>
  <c r="F79" i="59" s="1"/>
  <c r="B80" i="59"/>
  <c r="B79" i="59" s="1"/>
  <c r="D78" i="59"/>
  <c r="Q77" i="59"/>
  <c r="P77" i="59"/>
  <c r="O77" i="59"/>
  <c r="N77" i="59"/>
  <c r="F77" i="59"/>
  <c r="V77" i="59"/>
  <c r="E77" i="59"/>
  <c r="U77" i="59" s="1"/>
  <c r="C77" i="59"/>
  <c r="D77" i="59" s="1"/>
  <c r="T77" i="59"/>
  <c r="B77" i="59"/>
  <c r="S77" i="59" s="1"/>
  <c r="Q76" i="59"/>
  <c r="P76" i="59"/>
  <c r="O76" i="59"/>
  <c r="N76" i="59"/>
  <c r="F76" i="59"/>
  <c r="F75" i="59"/>
  <c r="Q75" i="59"/>
  <c r="P75" i="59"/>
  <c r="O75" i="59"/>
  <c r="N75" i="59"/>
  <c r="Q74" i="59"/>
  <c r="P74" i="59"/>
  <c r="O74" i="59"/>
  <c r="N74" i="59"/>
  <c r="D74" i="59"/>
  <c r="Q73" i="59"/>
  <c r="P73" i="59"/>
  <c r="O73" i="59"/>
  <c r="N73" i="59"/>
  <c r="F73" i="59"/>
  <c r="V73" i="59" s="1"/>
  <c r="E73" i="59"/>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F68" i="59" s="1"/>
  <c r="F67" i="59" s="1"/>
  <c r="V69" i="59"/>
  <c r="E69" i="59"/>
  <c r="C69" i="59"/>
  <c r="T69" i="59"/>
  <c r="B69" i="59"/>
  <c r="S69" i="59" s="1"/>
  <c r="Q68" i="59"/>
  <c r="P68" i="59"/>
  <c r="O68" i="59"/>
  <c r="N68" i="59"/>
  <c r="B68" i="59"/>
  <c r="B67" i="59" s="1"/>
  <c r="Q67" i="59"/>
  <c r="P67" i="59"/>
  <c r="O67" i="59"/>
  <c r="N67" i="59"/>
  <c r="Q66" i="59"/>
  <c r="P66" i="59"/>
  <c r="O66" i="59"/>
  <c r="N66" i="59"/>
  <c r="D66" i="59"/>
  <c r="F65" i="59"/>
  <c r="V65" i="59" s="1"/>
  <c r="E65" i="59"/>
  <c r="C65" i="59"/>
  <c r="B65" i="59"/>
  <c r="D62" i="59"/>
  <c r="Q61" i="59"/>
  <c r="P61" i="59"/>
  <c r="O61" i="59"/>
  <c r="N61" i="59"/>
  <c r="Q60" i="59"/>
  <c r="P60" i="59"/>
  <c r="O60" i="59"/>
  <c r="N60" i="59"/>
  <c r="Q59" i="59"/>
  <c r="P59" i="59"/>
  <c r="O59" i="59"/>
  <c r="C60" i="59" s="1"/>
  <c r="N59" i="59"/>
  <c r="Q58" i="59"/>
  <c r="F59" i="59" s="1"/>
  <c r="F60" i="59" s="1"/>
  <c r="F61" i="59" s="1"/>
  <c r="V61" i="59" s="1"/>
  <c r="P58" i="59"/>
  <c r="E59" i="59" s="1"/>
  <c r="E60" i="59" s="1"/>
  <c r="E61" i="59" s="1"/>
  <c r="U61" i="59" s="1"/>
  <c r="O58" i="59"/>
  <c r="C59" i="59" s="1"/>
  <c r="D59" i="59" s="1"/>
  <c r="N58" i="59"/>
  <c r="B59" i="59" s="1"/>
  <c r="D58" i="59"/>
  <c r="Q57" i="59"/>
  <c r="P57" i="59"/>
  <c r="O57" i="59"/>
  <c r="N57" i="59"/>
  <c r="Q56" i="59"/>
  <c r="P56" i="59"/>
  <c r="O56" i="59"/>
  <c r="N56" i="59"/>
  <c r="Q55" i="59"/>
  <c r="P55" i="59"/>
  <c r="O55" i="59"/>
  <c r="N55" i="59"/>
  <c r="Q54" i="59"/>
  <c r="F55" i="59" s="1"/>
  <c r="P54" i="59"/>
  <c r="E55" i="59" s="1"/>
  <c r="O54" i="59"/>
  <c r="C55" i="59"/>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D51" i="59" s="1"/>
  <c r="N50" i="59"/>
  <c r="B51" i="59" s="1"/>
  <c r="D50" i="59"/>
  <c r="Q49" i="59"/>
  <c r="P49" i="59"/>
  <c r="O49" i="59"/>
  <c r="N49" i="59"/>
  <c r="Q48" i="59"/>
  <c r="P48" i="59"/>
  <c r="O48" i="59"/>
  <c r="N48" i="59"/>
  <c r="Q47" i="59"/>
  <c r="P47" i="59"/>
  <c r="O47" i="59"/>
  <c r="N47" i="59"/>
  <c r="Q46" i="59"/>
  <c r="F47" i="59" s="1"/>
  <c r="P46" i="59"/>
  <c r="E47" i="59" s="1"/>
  <c r="E48" i="59" s="1"/>
  <c r="E49" i="59" s="1"/>
  <c r="U49" i="59" s="1"/>
  <c r="O46" i="59"/>
  <c r="C47" i="59"/>
  <c r="C48" i="59" s="1"/>
  <c r="N46" i="59"/>
  <c r="B47" i="59"/>
  <c r="B48" i="59" s="1"/>
  <c r="B49" i="59" s="1"/>
  <c r="S49" i="59" s="1"/>
  <c r="D46" i="59"/>
  <c r="T45" i="59"/>
  <c r="Q45" i="59"/>
  <c r="P45" i="59"/>
  <c r="O45" i="59"/>
  <c r="N45" i="59"/>
  <c r="D45" i="59"/>
  <c r="Q44" i="59"/>
  <c r="P44" i="59"/>
  <c r="O44" i="59"/>
  <c r="N44" i="59"/>
  <c r="Q43" i="59"/>
  <c r="P43" i="59"/>
  <c r="O43" i="59"/>
  <c r="C44" i="59" s="1"/>
  <c r="D44" i="59" s="1"/>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O38" i="59"/>
  <c r="C39" i="59" s="1"/>
  <c r="C40" i="59" s="1"/>
  <c r="C41" i="59" s="1"/>
  <c r="T41" i="59" s="1"/>
  <c r="N38" i="59"/>
  <c r="B39" i="59" s="1"/>
  <c r="B40" i="59" s="1"/>
  <c r="B41" i="59" s="1"/>
  <c r="S41" i="59" s="1"/>
  <c r="D38" i="59"/>
  <c r="Q37" i="59"/>
  <c r="P37" i="59"/>
  <c r="O37" i="59"/>
  <c r="N37" i="59"/>
  <c r="Q36" i="59"/>
  <c r="AB36" i="59" s="1"/>
  <c r="P36" i="59"/>
  <c r="AA36" i="59" s="1"/>
  <c r="O36" i="59"/>
  <c r="Y36" i="59" s="1"/>
  <c r="Z36" i="59" s="1"/>
  <c r="N36" i="59"/>
  <c r="X36" i="59" s="1"/>
  <c r="Q35" i="59"/>
  <c r="P35" i="59"/>
  <c r="O35" i="59"/>
  <c r="N35" i="59"/>
  <c r="Q34" i="59"/>
  <c r="AB34" i="59" s="1"/>
  <c r="P34" i="59"/>
  <c r="AA34" i="59" s="1"/>
  <c r="O34" i="59"/>
  <c r="C35" i="59" s="1"/>
  <c r="N34" i="59"/>
  <c r="B35" i="59"/>
  <c r="B36" i="59" s="1"/>
  <c r="D34" i="59"/>
  <c r="Q33" i="59"/>
  <c r="P33" i="59"/>
  <c r="O33" i="59"/>
  <c r="N33" i="59"/>
  <c r="X33" i="59" s="1"/>
  <c r="Q32" i="59"/>
  <c r="P32" i="59"/>
  <c r="O32" i="59"/>
  <c r="N32" i="59"/>
  <c r="Q31" i="59"/>
  <c r="P31" i="59"/>
  <c r="O31" i="59"/>
  <c r="N31" i="59"/>
  <c r="X31" i="59" s="1"/>
  <c r="Q30" i="59"/>
  <c r="F31" i="59" s="1"/>
  <c r="F32" i="59" s="1"/>
  <c r="F33" i="59" s="1"/>
  <c r="V33" i="59" s="1"/>
  <c r="P30" i="59"/>
  <c r="E31" i="59" s="1"/>
  <c r="E32" i="59" s="1"/>
  <c r="E33" i="59" s="1"/>
  <c r="U33" i="59" s="1"/>
  <c r="O30" i="59"/>
  <c r="N30" i="59"/>
  <c r="D30" i="59"/>
  <c r="Q29" i="59"/>
  <c r="AB29" i="59" s="1"/>
  <c r="P29" i="59"/>
  <c r="O29" i="59"/>
  <c r="N29" i="59"/>
  <c r="Q28" i="59"/>
  <c r="P28" i="59"/>
  <c r="O28" i="59"/>
  <c r="N28" i="59"/>
  <c r="Q27" i="59"/>
  <c r="AB27" i="59" s="1"/>
  <c r="P27" i="59"/>
  <c r="O27" i="59"/>
  <c r="N27" i="59"/>
  <c r="Q26" i="59"/>
  <c r="P26" i="59"/>
  <c r="O26" i="59"/>
  <c r="C27" i="59"/>
  <c r="C28" i="59" s="1"/>
  <c r="N26" i="59"/>
  <c r="D26" i="59"/>
  <c r="E27" i="59"/>
  <c r="E28" i="59" s="1"/>
  <c r="E29" i="59"/>
  <c r="U29" i="59" s="1"/>
  <c r="S65" i="59"/>
  <c r="D39" i="59"/>
  <c r="D43" i="59"/>
  <c r="C52" i="59"/>
  <c r="C56" i="59"/>
  <c r="D56" i="59" s="1"/>
  <c r="D55" i="59"/>
  <c r="T65" i="59"/>
  <c r="O65" i="59"/>
  <c r="D65" i="59"/>
  <c r="C64" i="59"/>
  <c r="C63" i="59" s="1"/>
  <c r="U65" i="59"/>
  <c r="C68" i="59"/>
  <c r="D69" i="59"/>
  <c r="D73" i="59"/>
  <c r="C76" i="59"/>
  <c r="E76" i="59"/>
  <c r="E75" i="59" s="1"/>
  <c r="U16" i="4"/>
  <c r="S16" i="4"/>
  <c r="Q16" i="4"/>
  <c r="O16" i="4"/>
  <c r="N16" i="4" s="1"/>
  <c r="M16" i="4"/>
  <c r="K16" i="4"/>
  <c r="D68" i="59"/>
  <c r="C67" i="59"/>
  <c r="D67" i="59" s="1"/>
  <c r="C53" i="59"/>
  <c r="T53" i="59" s="1"/>
  <c r="D52" i="59"/>
  <c r="C29" i="59"/>
  <c r="T29" i="59" s="1"/>
  <c r="D28" i="59"/>
  <c r="L16" i="4"/>
  <c r="D41" i="59"/>
  <c r="O27" i="6"/>
  <c r="N27" i="6"/>
  <c r="P26" i="6"/>
  <c r="L26" i="6"/>
  <c r="P25" i="6"/>
  <c r="L25" i="6"/>
  <c r="P24" i="6"/>
  <c r="L24" i="6"/>
  <c r="P23" i="6"/>
  <c r="L23" i="6"/>
  <c r="P22" i="6"/>
  <c r="L22" i="6"/>
  <c r="P21" i="6"/>
  <c r="L21" i="6"/>
  <c r="P20" i="6"/>
  <c r="P19" i="6"/>
  <c r="Z18" i="36"/>
  <c r="Q18" i="36"/>
  <c r="C18" i="36"/>
  <c r="D66" i="36"/>
  <c r="E66" i="36" s="1"/>
  <c r="F18" i="36"/>
  <c r="AA18" i="36"/>
  <c r="Z18" i="35"/>
  <c r="Q18" i="35"/>
  <c r="F18" i="35"/>
  <c r="AA18" i="35" s="1"/>
  <c r="C18" i="35"/>
  <c r="D68" i="35"/>
  <c r="E68" i="35"/>
  <c r="F68" i="35"/>
  <c r="G68" i="35" s="1"/>
  <c r="Q21" i="37"/>
  <c r="Z21" i="37" s="1"/>
  <c r="F21" i="37"/>
  <c r="AA21" i="37" s="1"/>
  <c r="C21" i="37"/>
  <c r="E77" i="37"/>
  <c r="F77" i="37"/>
  <c r="G77" i="37" s="1"/>
  <c r="D77" i="37"/>
  <c r="Z21" i="34"/>
  <c r="Q21" i="34"/>
  <c r="C21" i="34"/>
  <c r="D84" i="34"/>
  <c r="F21" i="34"/>
  <c r="S21" i="34" s="1"/>
  <c r="AA21" i="34"/>
  <c r="Z21" i="33"/>
  <c r="Q21" i="33"/>
  <c r="C21" i="33"/>
  <c r="D83" i="33"/>
  <c r="E83" i="33" s="1"/>
  <c r="F83" i="33" s="1"/>
  <c r="G83" i="33" s="1"/>
  <c r="Z21" i="21"/>
  <c r="Q21" i="21"/>
  <c r="D83" i="21"/>
  <c r="E83" i="21"/>
  <c r="F21" i="21"/>
  <c r="AA21" i="21" s="1"/>
  <c r="C21" i="21"/>
  <c r="Q27" i="40"/>
  <c r="Z27" i="40" s="1"/>
  <c r="D96" i="40"/>
  <c r="E96" i="40" s="1"/>
  <c r="F96" i="40" s="1"/>
  <c r="F27" i="40"/>
  <c r="AA27" i="40" s="1"/>
  <c r="Q31" i="39"/>
  <c r="Z31" i="39" s="1"/>
  <c r="D105" i="39"/>
  <c r="E105" i="39"/>
  <c r="F105" i="39" s="1"/>
  <c r="F31" i="39"/>
  <c r="AA31" i="39" s="1"/>
  <c r="G20" i="20"/>
  <c r="B85" i="46" s="1"/>
  <c r="C22" i="20"/>
  <c r="B65" i="46"/>
  <c r="S18" i="36"/>
  <c r="S18" i="35"/>
  <c r="S21" i="37"/>
  <c r="S21" i="21"/>
  <c r="C31" i="39"/>
  <c r="B54" i="46"/>
  <c r="B74" i="46"/>
  <c r="H18" i="35"/>
  <c r="J18" i="35"/>
  <c r="H21" i="37"/>
  <c r="J21" i="37"/>
  <c r="E84" i="34"/>
  <c r="F84" i="34"/>
  <c r="G84" i="34" s="1"/>
  <c r="J21" i="34"/>
  <c r="H21" i="34"/>
  <c r="F21" i="33"/>
  <c r="H21" i="33"/>
  <c r="J21" i="33"/>
  <c r="F83" i="21"/>
  <c r="G83" i="21" s="1"/>
  <c r="H21" i="21"/>
  <c r="J21" i="21"/>
  <c r="H27" i="40"/>
  <c r="H31" i="39"/>
  <c r="F23" i="15"/>
  <c r="D22" i="15" s="1"/>
  <c r="G17" i="11"/>
  <c r="F15" i="15"/>
  <c r="F17" i="15"/>
  <c r="F18" i="15"/>
  <c r="F20" i="15"/>
  <c r="F21" i="15"/>
  <c r="F33" i="15"/>
  <c r="F60" i="15" s="1"/>
  <c r="K2" i="4"/>
  <c r="K1" i="4"/>
  <c r="B1" i="4"/>
  <c r="B37" i="50" s="1"/>
  <c r="B2" i="63" s="1"/>
  <c r="C31" i="57"/>
  <c r="C32" i="57"/>
  <c r="I23" i="57"/>
  <c r="D20" i="57"/>
  <c r="I19" i="57"/>
  <c r="I20" i="57" s="1"/>
  <c r="I18" i="57"/>
  <c r="I17" i="57"/>
  <c r="E15" i="57"/>
  <c r="I14" i="57"/>
  <c r="I13" i="57"/>
  <c r="I12" i="57"/>
  <c r="I15" i="57"/>
  <c r="I9" i="57"/>
  <c r="I8" i="57"/>
  <c r="I7" i="57"/>
  <c r="I6" i="57"/>
  <c r="I5" i="57"/>
  <c r="I4" i="57"/>
  <c r="I3" i="57"/>
  <c r="I10" i="57"/>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s="1"/>
  <c r="K84" i="46"/>
  <c r="J84" i="46" s="1"/>
  <c r="M83" i="46"/>
  <c r="N83" i="46" s="1"/>
  <c r="K83" i="46"/>
  <c r="J83" i="46"/>
  <c r="M82" i="46"/>
  <c r="N82" i="46" s="1"/>
  <c r="K82" i="46"/>
  <c r="J82" i="46" s="1"/>
  <c r="D82" i="46"/>
  <c r="M81" i="46"/>
  <c r="N81" i="46" s="1"/>
  <c r="K81" i="46"/>
  <c r="J81" i="46"/>
  <c r="M80" i="46"/>
  <c r="N80" i="46"/>
  <c r="K80" i="46"/>
  <c r="J80" i="46"/>
  <c r="M77" i="46"/>
  <c r="N77" i="46" s="1"/>
  <c r="K77" i="46"/>
  <c r="J77" i="46"/>
  <c r="M76" i="46"/>
  <c r="N76" i="46"/>
  <c r="D76" i="46"/>
  <c r="K76" i="46"/>
  <c r="J76" i="46" s="1"/>
  <c r="M75" i="46"/>
  <c r="N75" i="46"/>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c r="D70" i="46"/>
  <c r="M69" i="46"/>
  <c r="N69" i="46"/>
  <c r="K69" i="46"/>
  <c r="J69" i="46"/>
  <c r="M66" i="46"/>
  <c r="N66" i="46"/>
  <c r="K66" i="46"/>
  <c r="J66" i="46" s="1"/>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c r="D61" i="46"/>
  <c r="M60" i="46"/>
  <c r="N60" i="46"/>
  <c r="K60" i="46"/>
  <c r="J60" i="46"/>
  <c r="D60" i="46"/>
  <c r="M59" i="46"/>
  <c r="N59" i="46"/>
  <c r="K59" i="46"/>
  <c r="J59" i="46" s="1"/>
  <c r="D59" i="46"/>
  <c r="M58" i="46"/>
  <c r="N58" i="46"/>
  <c r="M55" i="46"/>
  <c r="N55" i="46"/>
  <c r="K55" i="46"/>
  <c r="J55" i="46"/>
  <c r="M54" i="46"/>
  <c r="N54" i="46"/>
  <c r="K54" i="46"/>
  <c r="J54" i="46" s="1"/>
  <c r="M53" i="46"/>
  <c r="N53" i="46" s="1"/>
  <c r="K53" i="46"/>
  <c r="J53" i="46"/>
  <c r="D53" i="46"/>
  <c r="M52" i="46"/>
  <c r="N52" i="46"/>
  <c r="K52" i="46"/>
  <c r="J52" i="46"/>
  <c r="D52" i="46"/>
  <c r="M51" i="46"/>
  <c r="N51" i="46"/>
  <c r="K51" i="46"/>
  <c r="J51" i="46" s="1"/>
  <c r="M50" i="46"/>
  <c r="N50" i="46" s="1"/>
  <c r="M49" i="46"/>
  <c r="N49" i="46" s="1"/>
  <c r="K49" i="46"/>
  <c r="J49" i="46"/>
  <c r="D49" i="46"/>
  <c r="M48" i="46"/>
  <c r="N48" i="46"/>
  <c r="K48" i="46"/>
  <c r="J48" i="46"/>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c r="I8" i="31" s="1"/>
  <c r="J8" i="31" s="1"/>
  <c r="K8" i="31" s="1"/>
  <c r="L8" i="31" s="1"/>
  <c r="M8" i="31" s="1"/>
  <c r="N8" i="31" s="1"/>
  <c r="O8" i="31" s="1"/>
  <c r="P8" i="31"/>
  <c r="Q8" i="31" s="1"/>
  <c r="R8" i="31" s="1"/>
  <c r="S8" i="31" s="1"/>
  <c r="D6" i="31"/>
  <c r="E6" i="31" s="1"/>
  <c r="F6" i="3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A109" i="3" s="1"/>
  <c r="BE109" i="3"/>
  <c r="BD109" i="3"/>
  <c r="BC109" i="3"/>
  <c r="BB109" i="3"/>
  <c r="AX109" i="3"/>
  <c r="AW109" i="3"/>
  <c r="AV109" i="3"/>
  <c r="AC109" i="3"/>
  <c r="H109" i="3"/>
  <c r="G109" i="3" s="1"/>
  <c r="BT108" i="3"/>
  <c r="BS108" i="3"/>
  <c r="BR108" i="3"/>
  <c r="BQ108" i="3"/>
  <c r="BP108" i="3"/>
  <c r="BL108" i="3" s="1"/>
  <c r="BO108" i="3"/>
  <c r="BN108" i="3"/>
  <c r="BM108" i="3"/>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A106" i="3" s="1"/>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L102" i="3" s="1"/>
  <c r="BO102" i="3"/>
  <c r="BN102" i="3"/>
  <c r="BM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A100" i="3" s="1"/>
  <c r="BE100" i="3"/>
  <c r="BD100" i="3"/>
  <c r="BC100" i="3"/>
  <c r="BB100" i="3"/>
  <c r="AX100" i="3"/>
  <c r="AW100" i="3"/>
  <c r="AV100" i="3"/>
  <c r="AC100" i="3"/>
  <c r="H100" i="3"/>
  <c r="G100" i="3" s="1"/>
  <c r="BT99" i="3"/>
  <c r="BS99" i="3"/>
  <c r="BR99" i="3"/>
  <c r="BQ99" i="3"/>
  <c r="BP99" i="3"/>
  <c r="BL99" i="3" s="1"/>
  <c r="BO99" i="3"/>
  <c r="BN99" i="3"/>
  <c r="BM99" i="3"/>
  <c r="BK99" i="3"/>
  <c r="BJ99" i="3"/>
  <c r="BI99" i="3"/>
  <c r="BH99" i="3"/>
  <c r="BG99" i="3"/>
  <c r="BF99" i="3"/>
  <c r="BE99" i="3"/>
  <c r="BD99" i="3"/>
  <c r="BC99" i="3"/>
  <c r="BB99" i="3"/>
  <c r="BA99" i="3"/>
  <c r="AX99" i="3"/>
  <c r="AW99" i="3"/>
  <c r="AV99" i="3"/>
  <c r="AC99" i="3"/>
  <c r="H99" i="3"/>
  <c r="G99" i="3" s="1"/>
  <c r="BT98" i="3"/>
  <c r="BS98" i="3"/>
  <c r="BR98" i="3"/>
  <c r="BL98" i="3" s="1"/>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L95" i="3" s="1"/>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A94" i="3" s="1"/>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A90" i="3" s="1"/>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L88" i="3" s="1"/>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A87" i="3" s="1"/>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L79" i="3" s="1"/>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A69" i="3" s="1"/>
  <c r="BD69" i="3"/>
  <c r="BC69" i="3"/>
  <c r="BB69" i="3"/>
  <c r="AX69" i="3"/>
  <c r="AW69" i="3"/>
  <c r="AV69" i="3"/>
  <c r="AC69" i="3"/>
  <c r="H69" i="3"/>
  <c r="G69" i="3" s="1"/>
  <c r="BT68" i="3"/>
  <c r="BS68" i="3"/>
  <c r="BR68" i="3"/>
  <c r="BQ68" i="3"/>
  <c r="BP68" i="3"/>
  <c r="BL68" i="3" s="1"/>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L65" i="3" s="1"/>
  <c r="BO65" i="3"/>
  <c r="BN65" i="3"/>
  <c r="BM65" i="3"/>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L61" i="3" s="1"/>
  <c r="BK61" i="3"/>
  <c r="BJ61" i="3"/>
  <c r="BI61" i="3"/>
  <c r="BH61" i="3"/>
  <c r="BG61" i="3"/>
  <c r="BA61" i="3" s="1"/>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G56" i="3" s="1"/>
  <c r="H56" i="3"/>
  <c r="BT55" i="3"/>
  <c r="BS55" i="3"/>
  <c r="BR55" i="3"/>
  <c r="BQ55" i="3"/>
  <c r="BP55" i="3"/>
  <c r="BO55" i="3"/>
  <c r="BN55" i="3"/>
  <c r="BM55" i="3"/>
  <c r="BL55" i="3" s="1"/>
  <c r="BK55" i="3"/>
  <c r="BJ55" i="3"/>
  <c r="BI55" i="3"/>
  <c r="BH55" i="3"/>
  <c r="BG55" i="3"/>
  <c r="BF55" i="3"/>
  <c r="BE55" i="3"/>
  <c r="BA55" i="3" s="1"/>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AX50" i="3"/>
  <c r="AW50" i="3"/>
  <c r="AV50" i="3"/>
  <c r="AC50" i="3"/>
  <c r="G50" i="3" s="1"/>
  <c r="H50" i="3"/>
  <c r="BT49" i="3"/>
  <c r="BS49" i="3"/>
  <c r="BR49" i="3"/>
  <c r="BQ49" i="3"/>
  <c r="BP49" i="3"/>
  <c r="BO49" i="3"/>
  <c r="BL49" i="3" s="1"/>
  <c r="BN49" i="3"/>
  <c r="BM49" i="3"/>
  <c r="BK49" i="3"/>
  <c r="BJ49" i="3"/>
  <c r="BI49" i="3"/>
  <c r="BH49" i="3"/>
  <c r="BG49" i="3"/>
  <c r="BF49" i="3"/>
  <c r="BE49" i="3"/>
  <c r="BD49" i="3"/>
  <c r="BC49" i="3"/>
  <c r="BB49" i="3"/>
  <c r="BA49" i="3"/>
  <c r="AX49" i="3"/>
  <c r="AW49" i="3"/>
  <c r="AV49" i="3"/>
  <c r="AC49" i="3"/>
  <c r="H49" i="3"/>
  <c r="G49" i="3" s="1"/>
  <c r="BT48" i="3"/>
  <c r="BS48" i="3"/>
  <c r="BR48" i="3"/>
  <c r="BQ48" i="3"/>
  <c r="BP48" i="3"/>
  <c r="BL48" i="3" s="1"/>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L46" i="3" s="1"/>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A44" i="3" s="1"/>
  <c r="AZ44" i="3" s="1"/>
  <c r="BC44" i="3"/>
  <c r="BB44" i="3"/>
  <c r="AX44" i="3"/>
  <c r="AW44" i="3"/>
  <c r="AV44" i="3"/>
  <c r="AC44" i="3"/>
  <c r="G44" i="3" s="1"/>
  <c r="H44" i="3"/>
  <c r="BT43" i="3"/>
  <c r="BS43" i="3"/>
  <c r="BR43" i="3"/>
  <c r="BQ43" i="3"/>
  <c r="BP43" i="3"/>
  <c r="BO43" i="3"/>
  <c r="BL43" i="3" s="1"/>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G40" i="3" s="1"/>
  <c r="H40" i="3"/>
  <c r="BT39" i="3"/>
  <c r="BS39" i="3"/>
  <c r="BR39" i="3"/>
  <c r="BL39" i="3" s="1"/>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A29" i="3" s="1"/>
  <c r="AZ29" i="3" s="1"/>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A203" i="3" s="1"/>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G199" i="3" s="1"/>
  <c r="H199" i="3"/>
  <c r="BT198" i="3"/>
  <c r="BS198" i="3"/>
  <c r="BR198" i="3"/>
  <c r="BQ198" i="3"/>
  <c r="BP198" i="3"/>
  <c r="BO198" i="3"/>
  <c r="BN198" i="3"/>
  <c r="BM198" i="3"/>
  <c r="BK198" i="3"/>
  <c r="BJ198" i="3"/>
  <c r="BI198" i="3"/>
  <c r="BH198" i="3"/>
  <c r="BG198" i="3"/>
  <c r="BA198" i="3" s="1"/>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G197" i="3" s="1"/>
  <c r="H197" i="3"/>
  <c r="BT196" i="3"/>
  <c r="BS196" i="3"/>
  <c r="BR196" i="3"/>
  <c r="BL196" i="3" s="1"/>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A195" i="3" s="1"/>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A190" i="3" s="1"/>
  <c r="AZ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L187" i="3" s="1"/>
  <c r="BK187" i="3"/>
  <c r="BJ187" i="3"/>
  <c r="BI187" i="3"/>
  <c r="BH187" i="3"/>
  <c r="BG187" i="3"/>
  <c r="BA187" i="3" s="1"/>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G183" i="3" s="1"/>
  <c r="H183" i="3"/>
  <c r="BT182" i="3"/>
  <c r="BS182" i="3"/>
  <c r="BR182" i="3"/>
  <c r="BQ182" i="3"/>
  <c r="BP182" i="3"/>
  <c r="BO182" i="3"/>
  <c r="BN182" i="3"/>
  <c r="BM182" i="3"/>
  <c r="BK182" i="3"/>
  <c r="BJ182" i="3"/>
  <c r="BI182" i="3"/>
  <c r="BH182" i="3"/>
  <c r="BG182" i="3"/>
  <c r="BA182" i="3" s="1"/>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L180" i="3" s="1"/>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G177" i="3" s="1"/>
  <c r="H177" i="3"/>
  <c r="BT176" i="3"/>
  <c r="BS176" i="3"/>
  <c r="BR176" i="3"/>
  <c r="BQ176" i="3"/>
  <c r="BP176" i="3"/>
  <c r="BO176" i="3"/>
  <c r="BL176" i="3" s="1"/>
  <c r="BN176" i="3"/>
  <c r="BM176" i="3"/>
  <c r="BK176" i="3"/>
  <c r="BJ176" i="3"/>
  <c r="BI176" i="3"/>
  <c r="BH176" i="3"/>
  <c r="BG176" i="3"/>
  <c r="BA176" i="3" s="1"/>
  <c r="BF176" i="3"/>
  <c r="BE176" i="3"/>
  <c r="BD176" i="3"/>
  <c r="BC176" i="3"/>
  <c r="BB176" i="3"/>
  <c r="AX176" i="3"/>
  <c r="AW176" i="3"/>
  <c r="AV176" i="3"/>
  <c r="AC176" i="3"/>
  <c r="G176" i="3" s="1"/>
  <c r="H176" i="3"/>
  <c r="BT175" i="3"/>
  <c r="BS175" i="3"/>
  <c r="BR175" i="3"/>
  <c r="BL175" i="3" s="1"/>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L165" i="3" s="1"/>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L152" i="3" s="1"/>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AZ149" i="3" s="1"/>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A148" i="3" s="1"/>
  <c r="AZ148" i="3" s="1"/>
  <c r="BB148" i="3"/>
  <c r="AX148" i="3"/>
  <c r="AW148" i="3"/>
  <c r="AV148" i="3"/>
  <c r="AC148" i="3"/>
  <c r="H148" i="3"/>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L117" i="3" s="1"/>
  <c r="BM117" i="3"/>
  <c r="BK117" i="3"/>
  <c r="BJ117" i="3"/>
  <c r="BI117" i="3"/>
  <c r="BH117" i="3"/>
  <c r="BG117" i="3"/>
  <c r="BF117" i="3"/>
  <c r="BE117" i="3"/>
  <c r="BD117" i="3"/>
  <c r="BA117" i="3" s="1"/>
  <c r="AZ117" i="3" s="1"/>
  <c r="BC117" i="3"/>
  <c r="BB117" i="3"/>
  <c r="AX117" i="3"/>
  <c r="AW117" i="3"/>
  <c r="AV117" i="3"/>
  <c r="AC117" i="3"/>
  <c r="G117" i="3" s="1"/>
  <c r="H117" i="3"/>
  <c r="BT116" i="3"/>
  <c r="BS116" i="3"/>
  <c r="BR116" i="3"/>
  <c r="BQ116" i="3"/>
  <c r="BP116" i="3"/>
  <c r="BO116" i="3"/>
  <c r="BL116" i="3" s="1"/>
  <c r="BN116" i="3"/>
  <c r="BM116" i="3"/>
  <c r="BK116" i="3"/>
  <c r="BJ116" i="3"/>
  <c r="BI116" i="3"/>
  <c r="BH116" i="3"/>
  <c r="BG116" i="3"/>
  <c r="BA116" i="3" s="1"/>
  <c r="AZ116" i="3" s="1"/>
  <c r="BF116" i="3"/>
  <c r="BE116" i="3"/>
  <c r="BD116" i="3"/>
  <c r="BC116" i="3"/>
  <c r="BB116" i="3"/>
  <c r="AX116" i="3"/>
  <c r="AW116" i="3"/>
  <c r="AV116" i="3"/>
  <c r="AC116" i="3"/>
  <c r="H116" i="3"/>
  <c r="BT115" i="3"/>
  <c r="BS115" i="3"/>
  <c r="BR115" i="3"/>
  <c r="BQ115" i="3"/>
  <c r="BP115" i="3"/>
  <c r="BO115" i="3"/>
  <c r="BN115" i="3"/>
  <c r="BM115" i="3"/>
  <c r="BK115" i="3"/>
  <c r="BJ115" i="3"/>
  <c r="BI115" i="3"/>
  <c r="BH115" i="3"/>
  <c r="BA115" i="3" s="1"/>
  <c r="BG115" i="3"/>
  <c r="BF115" i="3"/>
  <c r="BE115" i="3"/>
  <c r="BD115" i="3"/>
  <c r="BC115" i="3"/>
  <c r="BB115" i="3"/>
  <c r="AX115" i="3"/>
  <c r="AW115" i="3"/>
  <c r="AV115" i="3"/>
  <c r="AC115" i="3"/>
  <c r="H115" i="3"/>
  <c r="G115" i="3"/>
  <c r="BT114" i="3"/>
  <c r="BS114" i="3"/>
  <c r="BR114" i="3"/>
  <c r="BL114" i="3" s="1"/>
  <c r="BQ114" i="3"/>
  <c r="BP114" i="3"/>
  <c r="BO114" i="3"/>
  <c r="BN114" i="3"/>
  <c r="BM114" i="3"/>
  <c r="BK114" i="3"/>
  <c r="BJ114" i="3"/>
  <c r="BI114" i="3"/>
  <c r="BH114" i="3"/>
  <c r="BG114" i="3"/>
  <c r="BF114" i="3"/>
  <c r="BE114" i="3"/>
  <c r="BD114" i="3"/>
  <c r="BC114" i="3"/>
  <c r="BB114" i="3"/>
  <c r="AX114" i="3"/>
  <c r="AW114" i="3"/>
  <c r="AV114" i="3"/>
  <c r="AC114" i="3"/>
  <c r="H114" i="3"/>
  <c r="G114" i="3"/>
  <c r="BT113" i="3"/>
  <c r="BS113" i="3"/>
  <c r="BL113" i="3" s="1"/>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A293" i="3" s="1"/>
  <c r="BG293" i="3"/>
  <c r="BF293" i="3"/>
  <c r="BE293" i="3"/>
  <c r="BD293" i="3"/>
  <c r="BC293" i="3"/>
  <c r="BB293" i="3"/>
  <c r="AX293" i="3"/>
  <c r="AW293" i="3"/>
  <c r="AV293" i="3"/>
  <c r="AC293" i="3"/>
  <c r="H293" i="3"/>
  <c r="G293" i="3"/>
  <c r="BT292" i="3"/>
  <c r="BS292" i="3"/>
  <c r="BL292" i="3" s="1"/>
  <c r="BR292" i="3"/>
  <c r="BQ292" i="3"/>
  <c r="BP292" i="3"/>
  <c r="BO292" i="3"/>
  <c r="BN292" i="3"/>
  <c r="BM292" i="3"/>
  <c r="BK292" i="3"/>
  <c r="BJ292" i="3"/>
  <c r="BI292" i="3"/>
  <c r="BH292" i="3"/>
  <c r="BG292" i="3"/>
  <c r="BF292" i="3"/>
  <c r="BE292" i="3"/>
  <c r="BD292" i="3"/>
  <c r="BC292" i="3"/>
  <c r="BA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L290" i="3" s="1"/>
  <c r="BM290" i="3"/>
  <c r="BK290" i="3"/>
  <c r="BJ290" i="3"/>
  <c r="BI290" i="3"/>
  <c r="BH290" i="3"/>
  <c r="BG290" i="3"/>
  <c r="BA290" i="3" s="1"/>
  <c r="BF290" i="3"/>
  <c r="BE290" i="3"/>
  <c r="BD290" i="3"/>
  <c r="BC290" i="3"/>
  <c r="BB290" i="3"/>
  <c r="AX290" i="3"/>
  <c r="AW290" i="3"/>
  <c r="AV290" i="3"/>
  <c r="AC290" i="3"/>
  <c r="H290" i="3"/>
  <c r="G290" i="3" s="1"/>
  <c r="BT289" i="3"/>
  <c r="BS289" i="3"/>
  <c r="BR289" i="3"/>
  <c r="BQ289" i="3"/>
  <c r="BL289" i="3" s="1"/>
  <c r="BP289" i="3"/>
  <c r="BO289" i="3"/>
  <c r="BN289" i="3"/>
  <c r="BM289" i="3"/>
  <c r="BK289" i="3"/>
  <c r="BJ289" i="3"/>
  <c r="BI289" i="3"/>
  <c r="BH289" i="3"/>
  <c r="BG289" i="3"/>
  <c r="BF289" i="3"/>
  <c r="BE289" i="3"/>
  <c r="BD289" i="3"/>
  <c r="BC289" i="3"/>
  <c r="BB289" i="3"/>
  <c r="BA289" i="3"/>
  <c r="AX289" i="3"/>
  <c r="AW289" i="3"/>
  <c r="AV289" i="3"/>
  <c r="AC289" i="3"/>
  <c r="H289" i="3"/>
  <c r="G289" i="3"/>
  <c r="BT288" i="3"/>
  <c r="BS288" i="3"/>
  <c r="BL288" i="3" s="1"/>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A281" i="3" s="1"/>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A278" i="3" s="1"/>
  <c r="BC278" i="3"/>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H275" i="3"/>
  <c r="BT274" i="3"/>
  <c r="BS274" i="3"/>
  <c r="BR274" i="3"/>
  <c r="BQ274" i="3"/>
  <c r="BP274" i="3"/>
  <c r="BO274" i="3"/>
  <c r="BN274" i="3"/>
  <c r="BL274" i="3" s="1"/>
  <c r="BM274" i="3"/>
  <c r="BK274" i="3"/>
  <c r="BJ274" i="3"/>
  <c r="BI274" i="3"/>
  <c r="BH274" i="3"/>
  <c r="BG274" i="3"/>
  <c r="BF274" i="3"/>
  <c r="BE274" i="3"/>
  <c r="BD274" i="3"/>
  <c r="BA274" i="3" s="1"/>
  <c r="BC274" i="3"/>
  <c r="BB274" i="3"/>
  <c r="AX274" i="3"/>
  <c r="AW274" i="3"/>
  <c r="AV274" i="3"/>
  <c r="AC274" i="3"/>
  <c r="H274" i="3"/>
  <c r="G274" i="3" s="1"/>
  <c r="BT273" i="3"/>
  <c r="BS273" i="3"/>
  <c r="BR273" i="3"/>
  <c r="BQ273" i="3"/>
  <c r="BP273" i="3"/>
  <c r="BO273" i="3"/>
  <c r="BN273" i="3"/>
  <c r="BL273" i="3" s="1"/>
  <c r="BM273" i="3"/>
  <c r="BK273" i="3"/>
  <c r="BJ273" i="3"/>
  <c r="BI273" i="3"/>
  <c r="BH273" i="3"/>
  <c r="BA273" i="3" s="1"/>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A270" i="3" s="1"/>
  <c r="BG270" i="3"/>
  <c r="BF270" i="3"/>
  <c r="BE270" i="3"/>
  <c r="BD270" i="3"/>
  <c r="BC270" i="3"/>
  <c r="BB270" i="3"/>
  <c r="AX270" i="3"/>
  <c r="AW270" i="3"/>
  <c r="AV270" i="3"/>
  <c r="AC270" i="3"/>
  <c r="H270" i="3"/>
  <c r="G270" i="3"/>
  <c r="BT269" i="3"/>
  <c r="BS269" i="3"/>
  <c r="BR269" i="3"/>
  <c r="BQ269" i="3"/>
  <c r="BP269" i="3"/>
  <c r="BL269" i="3" s="1"/>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G268" i="3" s="1"/>
  <c r="H268" i="3"/>
  <c r="BT267" i="3"/>
  <c r="BS267" i="3"/>
  <c r="BR267" i="3"/>
  <c r="BQ267" i="3"/>
  <c r="BP267" i="3"/>
  <c r="BO267" i="3"/>
  <c r="BN267" i="3"/>
  <c r="BM267" i="3"/>
  <c r="BL267" i="3" s="1"/>
  <c r="BK267" i="3"/>
  <c r="BJ267" i="3"/>
  <c r="BI267" i="3"/>
  <c r="BH267" i="3"/>
  <c r="BG267" i="3"/>
  <c r="BF267" i="3"/>
  <c r="BE267" i="3"/>
  <c r="BA267" i="3" s="1"/>
  <c r="BD267" i="3"/>
  <c r="BC267" i="3"/>
  <c r="BB267" i="3"/>
  <c r="AX267" i="3"/>
  <c r="AW267" i="3"/>
  <c r="AV267" i="3"/>
  <c r="AC267" i="3"/>
  <c r="H267" i="3"/>
  <c r="G267" i="3"/>
  <c r="BT266" i="3"/>
  <c r="BS266" i="3"/>
  <c r="BR266" i="3"/>
  <c r="BQ266" i="3"/>
  <c r="BP266" i="3"/>
  <c r="BL266" i="3" s="1"/>
  <c r="BO266" i="3"/>
  <c r="BN266" i="3"/>
  <c r="BM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G265" i="3" s="1"/>
  <c r="H265" i="3"/>
  <c r="BT264" i="3"/>
  <c r="BS264" i="3"/>
  <c r="BR264" i="3"/>
  <c r="BQ264" i="3"/>
  <c r="BP264" i="3"/>
  <c r="BO264" i="3"/>
  <c r="BN264" i="3"/>
  <c r="BM264" i="3"/>
  <c r="BL264" i="3" s="1"/>
  <c r="BK264" i="3"/>
  <c r="BJ264" i="3"/>
  <c r="BI264" i="3"/>
  <c r="BH264" i="3"/>
  <c r="BG264" i="3"/>
  <c r="BF264" i="3"/>
  <c r="BE264" i="3"/>
  <c r="BA264" i="3" s="1"/>
  <c r="BD264" i="3"/>
  <c r="BC264" i="3"/>
  <c r="BB264" i="3"/>
  <c r="AX264" i="3"/>
  <c r="AW264" i="3"/>
  <c r="AV264" i="3"/>
  <c r="AC264" i="3"/>
  <c r="H264" i="3"/>
  <c r="G264" i="3"/>
  <c r="BT263" i="3"/>
  <c r="BS263" i="3"/>
  <c r="BR263" i="3"/>
  <c r="BQ263" i="3"/>
  <c r="BP263" i="3"/>
  <c r="BL263" i="3" s="1"/>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A261" i="3" s="1"/>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BA260" i="3"/>
  <c r="AX260" i="3"/>
  <c r="AW260" i="3"/>
  <c r="AV260" i="3"/>
  <c r="AC260" i="3"/>
  <c r="H260" i="3"/>
  <c r="G260" i="3"/>
  <c r="BT259" i="3"/>
  <c r="BS259" i="3"/>
  <c r="BL259" i="3" s="1"/>
  <c r="BR259" i="3"/>
  <c r="BQ259" i="3"/>
  <c r="BP259" i="3"/>
  <c r="BO259" i="3"/>
  <c r="BN259" i="3"/>
  <c r="BM259" i="3"/>
  <c r="BK259" i="3"/>
  <c r="BJ259" i="3"/>
  <c r="BI259" i="3"/>
  <c r="BH259" i="3"/>
  <c r="BG259" i="3"/>
  <c r="BF259" i="3"/>
  <c r="BE259" i="3"/>
  <c r="BD259" i="3"/>
  <c r="BC259" i="3"/>
  <c r="BA259" i="3" s="1"/>
  <c r="AZ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A258" i="3" s="1"/>
  <c r="AZ258" i="3" s="1"/>
  <c r="BC258" i="3"/>
  <c r="BB258" i="3"/>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B257" i="3"/>
  <c r="BA257" i="3"/>
  <c r="AX257" i="3"/>
  <c r="AW257" i="3"/>
  <c r="AV257" i="3"/>
  <c r="AC257" i="3"/>
  <c r="H257" i="3"/>
  <c r="G257" i="3"/>
  <c r="BT256" i="3"/>
  <c r="BS256" i="3"/>
  <c r="BL256" i="3" s="1"/>
  <c r="BR256" i="3"/>
  <c r="BQ256" i="3"/>
  <c r="BP256" i="3"/>
  <c r="BO256" i="3"/>
  <c r="BN256" i="3"/>
  <c r="BM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A254" i="3" s="1"/>
  <c r="AZ254" i="3" s="1"/>
  <c r="BG254" i="3"/>
  <c r="BF254" i="3"/>
  <c r="BE254" i="3"/>
  <c r="BD254" i="3"/>
  <c r="BC254" i="3"/>
  <c r="BB254" i="3"/>
  <c r="AX254" i="3"/>
  <c r="AW254" i="3"/>
  <c r="AV254" i="3"/>
  <c r="AC254" i="3"/>
  <c r="H254" i="3"/>
  <c r="G254" i="3" s="1"/>
  <c r="BT253" i="3"/>
  <c r="BS253" i="3"/>
  <c r="BL253" i="3" s="1"/>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A252" i="3" s="1"/>
  <c r="BB252" i="3"/>
  <c r="AX252" i="3"/>
  <c r="AW252" i="3"/>
  <c r="AV252" i="3"/>
  <c r="AC252" i="3"/>
  <c r="G252" i="3" s="1"/>
  <c r="H252" i="3"/>
  <c r="BT251" i="3"/>
  <c r="BS251" i="3"/>
  <c r="BR251" i="3"/>
  <c r="BQ251" i="3"/>
  <c r="BP251" i="3"/>
  <c r="BO251" i="3"/>
  <c r="BN251" i="3"/>
  <c r="BM251" i="3"/>
  <c r="BL251" i="3" s="1"/>
  <c r="BK251" i="3"/>
  <c r="BJ251" i="3"/>
  <c r="BI251" i="3"/>
  <c r="BH251" i="3"/>
  <c r="BG251" i="3"/>
  <c r="BF251" i="3"/>
  <c r="BE251" i="3"/>
  <c r="BA251" i="3" s="1"/>
  <c r="AZ251" i="3" s="1"/>
  <c r="BD251" i="3"/>
  <c r="BC251" i="3"/>
  <c r="BB251" i="3"/>
  <c r="AX251" i="3"/>
  <c r="AW251" i="3"/>
  <c r="AV251" i="3"/>
  <c r="AC251" i="3"/>
  <c r="H251" i="3"/>
  <c r="G251" i="3"/>
  <c r="BT250" i="3"/>
  <c r="BS250" i="3"/>
  <c r="BR250" i="3"/>
  <c r="BQ250" i="3"/>
  <c r="BP250" i="3"/>
  <c r="BL250" i="3" s="1"/>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G249" i="3" s="1"/>
  <c r="H249" i="3"/>
  <c r="BT248" i="3"/>
  <c r="BS248" i="3"/>
  <c r="BR248" i="3"/>
  <c r="BQ248" i="3"/>
  <c r="BP248" i="3"/>
  <c r="BO248" i="3"/>
  <c r="BN248" i="3"/>
  <c r="BM248" i="3"/>
  <c r="BL248" i="3" s="1"/>
  <c r="BK248" i="3"/>
  <c r="BJ248" i="3"/>
  <c r="BI248" i="3"/>
  <c r="BH248" i="3"/>
  <c r="BG248" i="3"/>
  <c r="BF248" i="3"/>
  <c r="BE248" i="3"/>
  <c r="BA248" i="3" s="1"/>
  <c r="AZ248" i="3" s="1"/>
  <c r="BD248" i="3"/>
  <c r="BC248" i="3"/>
  <c r="BB248" i="3"/>
  <c r="AX248" i="3"/>
  <c r="AW248" i="3"/>
  <c r="AV248" i="3"/>
  <c r="AC248" i="3"/>
  <c r="H248" i="3"/>
  <c r="G248" i="3"/>
  <c r="BT247" i="3"/>
  <c r="BS247" i="3"/>
  <c r="BR247" i="3"/>
  <c r="BQ247" i="3"/>
  <c r="BP247" i="3"/>
  <c r="BL247" i="3" s="1"/>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s="1"/>
  <c r="BK245" i="3"/>
  <c r="BJ245" i="3"/>
  <c r="BI245" i="3"/>
  <c r="BH245" i="3"/>
  <c r="BG245" i="3"/>
  <c r="BF245" i="3"/>
  <c r="BE245" i="3"/>
  <c r="BA245" i="3" s="1"/>
  <c r="BD245" i="3"/>
  <c r="BC245" i="3"/>
  <c r="BB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c r="AX244" i="3"/>
  <c r="AW244" i="3"/>
  <c r="AV244" i="3"/>
  <c r="AC244" i="3"/>
  <c r="H244" i="3"/>
  <c r="G244" i="3"/>
  <c r="BT243" i="3"/>
  <c r="BS243" i="3"/>
  <c r="BL243" i="3" s="1"/>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c r="AX241" i="3"/>
  <c r="AW241" i="3"/>
  <c r="AV241" i="3"/>
  <c r="AC241" i="3"/>
  <c r="H241" i="3"/>
  <c r="G241" i="3" s="1"/>
  <c r="BT240" i="3"/>
  <c r="BS240" i="3"/>
  <c r="BL240" i="3" s="1"/>
  <c r="BR240" i="3"/>
  <c r="BQ240" i="3"/>
  <c r="BP240" i="3"/>
  <c r="BO240" i="3"/>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A239" i="3" s="1"/>
  <c r="BC239" i="3"/>
  <c r="BB239" i="3"/>
  <c r="AX239" i="3"/>
  <c r="AW239" i="3"/>
  <c r="AV239" i="3"/>
  <c r="AC239" i="3"/>
  <c r="H239" i="3"/>
  <c r="G239" i="3" s="1"/>
  <c r="BT238" i="3"/>
  <c r="BS238" i="3"/>
  <c r="BR238" i="3"/>
  <c r="BQ238" i="3"/>
  <c r="BP238" i="3"/>
  <c r="BO238" i="3"/>
  <c r="BN238" i="3"/>
  <c r="BL238" i="3" s="1"/>
  <c r="BM238" i="3"/>
  <c r="BK238" i="3"/>
  <c r="BJ238" i="3"/>
  <c r="BI238" i="3"/>
  <c r="BH238" i="3"/>
  <c r="BA238" i="3" s="1"/>
  <c r="BG238" i="3"/>
  <c r="BF238" i="3"/>
  <c r="BE238" i="3"/>
  <c r="BD238" i="3"/>
  <c r="BC238" i="3"/>
  <c r="BB238" i="3"/>
  <c r="AX238" i="3"/>
  <c r="AW238" i="3"/>
  <c r="AV238" i="3"/>
  <c r="AC238" i="3"/>
  <c r="H238" i="3"/>
  <c r="G238" i="3" s="1"/>
  <c r="BT237" i="3"/>
  <c r="BS237" i="3"/>
  <c r="BL237" i="3" s="1"/>
  <c r="BR237" i="3"/>
  <c r="BQ237" i="3"/>
  <c r="BP237" i="3"/>
  <c r="BO237" i="3"/>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B228" i="3"/>
  <c r="BA228" i="3"/>
  <c r="AX228" i="3"/>
  <c r="AW228" i="3"/>
  <c r="AV228" i="3"/>
  <c r="AC228" i="3"/>
  <c r="H228" i="3"/>
  <c r="G228" i="3" s="1"/>
  <c r="BT227" i="3"/>
  <c r="BS227" i="3"/>
  <c r="BL227" i="3" s="1"/>
  <c r="BR227" i="3"/>
  <c r="BQ227" i="3"/>
  <c r="BP227" i="3"/>
  <c r="BO227" i="3"/>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L224" i="3" s="1"/>
  <c r="BR224" i="3"/>
  <c r="BQ224" i="3"/>
  <c r="BP224" i="3"/>
  <c r="BO224" i="3"/>
  <c r="BN224" i="3"/>
  <c r="BM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c r="AZ222" i="3" s="1"/>
  <c r="AX222" i="3"/>
  <c r="AW222" i="3"/>
  <c r="AV222" i="3"/>
  <c r="AC222" i="3"/>
  <c r="H222" i="3"/>
  <c r="G222" i="3" s="1"/>
  <c r="BT221" i="3"/>
  <c r="BS221" i="3"/>
  <c r="BL221" i="3" s="1"/>
  <c r="BR221" i="3"/>
  <c r="BQ221" i="3"/>
  <c r="BP221" i="3"/>
  <c r="BO221" i="3"/>
  <c r="BN221" i="3"/>
  <c r="BM221" i="3"/>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L211" i="3" s="1"/>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A210" i="3" s="1"/>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K206" i="3"/>
  <c r="BJ206" i="3"/>
  <c r="BI206" i="3"/>
  <c r="BH206" i="3"/>
  <c r="BA206" i="3" s="1"/>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A309" i="3" s="1"/>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H476" i="3"/>
  <c r="G476" i="3" s="1"/>
  <c r="BT475" i="3"/>
  <c r="BS475" i="3"/>
  <c r="BR475" i="3"/>
  <c r="BQ475" i="3"/>
  <c r="BP475" i="3"/>
  <c r="BL475" i="3" s="1"/>
  <c r="BO475" i="3"/>
  <c r="BN475" i="3"/>
  <c r="BM475" i="3"/>
  <c r="BK475" i="3"/>
  <c r="BJ475" i="3"/>
  <c r="BI475" i="3"/>
  <c r="BH475" i="3"/>
  <c r="BA475" i="3" s="1"/>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A468" i="3" s="1"/>
  <c r="AZ468" i="3" s="1"/>
  <c r="BD468" i="3"/>
  <c r="BC468" i="3"/>
  <c r="BB468" i="3"/>
  <c r="AX468" i="3"/>
  <c r="AW468" i="3"/>
  <c r="AV468" i="3"/>
  <c r="AC468" i="3"/>
  <c r="H468" i="3"/>
  <c r="G468" i="3"/>
  <c r="BT467" i="3"/>
  <c r="BS467" i="3"/>
  <c r="BR467" i="3"/>
  <c r="BQ467" i="3"/>
  <c r="BP467" i="3"/>
  <c r="BL467" i="3" s="1"/>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L465" i="3" s="1"/>
  <c r="BP465" i="3"/>
  <c r="BO465" i="3"/>
  <c r="BN465" i="3"/>
  <c r="BM465" i="3"/>
  <c r="BK465" i="3"/>
  <c r="BJ465" i="3"/>
  <c r="BI465" i="3"/>
  <c r="BH465" i="3"/>
  <c r="BG465" i="3"/>
  <c r="BF465" i="3"/>
  <c r="BE465" i="3"/>
  <c r="BD465" i="3"/>
  <c r="BC465" i="3"/>
  <c r="BB465" i="3"/>
  <c r="BA465" i="3"/>
  <c r="AZ465" i="3" s="1"/>
  <c r="AX465" i="3"/>
  <c r="AW465" i="3"/>
  <c r="AV465" i="3"/>
  <c r="AC465" i="3"/>
  <c r="H465" i="3"/>
  <c r="BT464" i="3"/>
  <c r="BS464" i="3"/>
  <c r="BL464" i="3" s="1"/>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L460" i="3" s="1"/>
  <c r="BO460" i="3"/>
  <c r="BN460" i="3"/>
  <c r="BM460" i="3"/>
  <c r="BK460" i="3"/>
  <c r="BJ460" i="3"/>
  <c r="BI460" i="3"/>
  <c r="BH460" i="3"/>
  <c r="BA460" i="3" s="1"/>
  <c r="AZ460" i="3" s="1"/>
  <c r="BG460" i="3"/>
  <c r="BF460" i="3"/>
  <c r="BE460" i="3"/>
  <c r="BD460" i="3"/>
  <c r="BC460" i="3"/>
  <c r="BB460" i="3"/>
  <c r="AX460" i="3"/>
  <c r="AW460" i="3"/>
  <c r="AV460" i="3"/>
  <c r="AC460" i="3"/>
  <c r="H460" i="3"/>
  <c r="BT459" i="3"/>
  <c r="BS459" i="3"/>
  <c r="BR459" i="3"/>
  <c r="BL459" i="3" s="1"/>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L455" i="3" s="1"/>
  <c r="BO455" i="3"/>
  <c r="BN455" i="3"/>
  <c r="BM455" i="3"/>
  <c r="BK455" i="3"/>
  <c r="BJ455" i="3"/>
  <c r="BI455" i="3"/>
  <c r="BH455" i="3"/>
  <c r="BA455" i="3" s="1"/>
  <c r="BG455" i="3"/>
  <c r="BF455" i="3"/>
  <c r="BE455" i="3"/>
  <c r="BD455" i="3"/>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A443" i="3" s="1"/>
  <c r="BD443" i="3"/>
  <c r="BC443" i="3"/>
  <c r="BB443" i="3"/>
  <c r="AX443" i="3"/>
  <c r="AW443" i="3"/>
  <c r="AV443" i="3"/>
  <c r="AC443" i="3"/>
  <c r="G443" i="3" s="1"/>
  <c r="H443" i="3"/>
  <c r="BT442" i="3"/>
  <c r="BS442" i="3"/>
  <c r="BR442" i="3"/>
  <c r="BQ442" i="3"/>
  <c r="BP442" i="3"/>
  <c r="BL442" i="3" s="1"/>
  <c r="BO442" i="3"/>
  <c r="BN442" i="3"/>
  <c r="BM442" i="3"/>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G436" i="3" s="1"/>
  <c r="H436" i="3"/>
  <c r="BT435" i="3"/>
  <c r="BS435" i="3"/>
  <c r="BR435" i="3"/>
  <c r="BQ435" i="3"/>
  <c r="BP435" i="3"/>
  <c r="BL435" i="3" s="1"/>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A433" i="3" s="1"/>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G426" i="3" s="1"/>
  <c r="H426" i="3"/>
  <c r="BT425" i="3"/>
  <c r="BS425" i="3"/>
  <c r="BR425" i="3"/>
  <c r="BQ425" i="3"/>
  <c r="BP425" i="3"/>
  <c r="BL425" i="3" s="1"/>
  <c r="BO425" i="3"/>
  <c r="BN425" i="3"/>
  <c r="BM425" i="3"/>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L422" i="3" s="1"/>
  <c r="BO422" i="3"/>
  <c r="BN422" i="3"/>
  <c r="BM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A420" i="3" s="1"/>
  <c r="AZ420" i="3" s="1"/>
  <c r="BD420" i="3"/>
  <c r="BC420" i="3"/>
  <c r="BB420" i="3"/>
  <c r="AX420" i="3"/>
  <c r="AW420" i="3"/>
  <c r="AV420" i="3"/>
  <c r="AC420" i="3"/>
  <c r="H420" i="3"/>
  <c r="G420" i="3" s="1"/>
  <c r="BT419" i="3"/>
  <c r="BS419" i="3"/>
  <c r="BR419" i="3"/>
  <c r="BQ419" i="3"/>
  <c r="BP419" i="3"/>
  <c r="BL419" i="3" s="1"/>
  <c r="BO419" i="3"/>
  <c r="BN419" i="3"/>
  <c r="BM419" i="3"/>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s="1"/>
  <c r="BT416" i="3"/>
  <c r="BS416" i="3"/>
  <c r="BR416" i="3"/>
  <c r="BQ416" i="3"/>
  <c r="BP416" i="3"/>
  <c r="BL416" i="3" s="1"/>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A414" i="3" s="1"/>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A411" i="3" s="1"/>
  <c r="AZ411" i="3" s="1"/>
  <c r="BD411" i="3"/>
  <c r="BC411" i="3"/>
  <c r="BB411" i="3"/>
  <c r="AX411" i="3"/>
  <c r="AW411" i="3"/>
  <c r="AV411" i="3"/>
  <c r="AC411" i="3"/>
  <c r="H411" i="3"/>
  <c r="G411" i="3" s="1"/>
  <c r="BT410" i="3"/>
  <c r="BS410" i="3"/>
  <c r="BR410" i="3"/>
  <c r="BQ410" i="3"/>
  <c r="BP410" i="3"/>
  <c r="BL410" i="3" s="1"/>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A408" i="3" s="1"/>
  <c r="BD408" i="3"/>
  <c r="BC408" i="3"/>
  <c r="BB408" i="3"/>
  <c r="AX408" i="3"/>
  <c r="AW408" i="3"/>
  <c r="AV408" i="3"/>
  <c r="AC408" i="3"/>
  <c r="H408" i="3"/>
  <c r="G408" i="3" s="1"/>
  <c r="BT407" i="3"/>
  <c r="BS407" i="3"/>
  <c r="BR407" i="3"/>
  <c r="BQ407" i="3"/>
  <c r="BP407" i="3"/>
  <c r="BL407" i="3" s="1"/>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A405" i="3" s="1"/>
  <c r="AZ405" i="3" s="1"/>
  <c r="BE405" i="3"/>
  <c r="BD405" i="3"/>
  <c r="BC405" i="3"/>
  <c r="BB405" i="3"/>
  <c r="AX405" i="3"/>
  <c r="AW405" i="3"/>
  <c r="AV405" i="3"/>
  <c r="AC405" i="3"/>
  <c r="H405" i="3"/>
  <c r="G405" i="3" s="1"/>
  <c r="BT404" i="3"/>
  <c r="BS404" i="3"/>
  <c r="BR404" i="3"/>
  <c r="BQ404" i="3"/>
  <c r="BL404" i="3" s="1"/>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A402" i="3" s="1"/>
  <c r="AZ402" i="3" s="1"/>
  <c r="BE402" i="3"/>
  <c r="BD402" i="3"/>
  <c r="BC402" i="3"/>
  <c r="BB402" i="3"/>
  <c r="AX402" i="3"/>
  <c r="AW402" i="3"/>
  <c r="AV402" i="3"/>
  <c r="AC402" i="3"/>
  <c r="H402" i="3"/>
  <c r="G402" i="3" s="1"/>
  <c r="BT401" i="3"/>
  <c r="BS401" i="3"/>
  <c r="BR401" i="3"/>
  <c r="BQ401" i="3"/>
  <c r="BL401" i="3" s="1"/>
  <c r="BP401" i="3"/>
  <c r="BO401" i="3"/>
  <c r="BN401" i="3"/>
  <c r="BM401" i="3"/>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A399" i="3" s="1"/>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A392" i="3" s="1"/>
  <c r="AZ392" i="3" s="1"/>
  <c r="BB392" i="3"/>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c r="C55" i="40" s="1"/>
  <c r="H54" i="40"/>
  <c r="I54" i="40" s="1"/>
  <c r="C54" i="40" s="1"/>
  <c r="H63" i="39"/>
  <c r="I63" i="39" s="1"/>
  <c r="C63" i="39" s="1"/>
  <c r="H59" i="39"/>
  <c r="I59" i="39" s="1"/>
  <c r="C59" i="39" s="1"/>
  <c r="H67" i="39"/>
  <c r="I67" i="39" s="1"/>
  <c r="C67" i="39" s="1"/>
  <c r="H66" i="39"/>
  <c r="I66" i="39"/>
  <c r="C66" i="39"/>
  <c r="H65" i="39"/>
  <c r="I65" i="39" s="1"/>
  <c r="C65" i="39" s="1"/>
  <c r="H64" i="39"/>
  <c r="I64" i="39" s="1"/>
  <c r="C64" i="39" s="1"/>
  <c r="H62" i="39"/>
  <c r="I62" i="39"/>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s="1"/>
  <c r="R31" i="31"/>
  <c r="R32" i="31"/>
  <c r="S32" i="31" s="1"/>
  <c r="R33" i="31"/>
  <c r="R34" i="31"/>
  <c r="S34" i="31"/>
  <c r="R35" i="31"/>
  <c r="R36" i="31"/>
  <c r="S36" i="31"/>
  <c r="R37" i="31"/>
  <c r="R38" i="31"/>
  <c r="S38" i="31" s="1"/>
  <c r="R39" i="31"/>
  <c r="R40" i="31"/>
  <c r="S40" i="31"/>
  <c r="R41" i="31"/>
  <c r="R42" i="31"/>
  <c r="S42" i="31"/>
  <c r="R43" i="31"/>
  <c r="R44" i="31"/>
  <c r="S44" i="31" s="1"/>
  <c r="R45" i="31"/>
  <c r="R46" i="31"/>
  <c r="S46" i="31" s="1"/>
  <c r="R47" i="31"/>
  <c r="R48" i="31"/>
  <c r="S48" i="31" s="1"/>
  <c r="R49" i="31"/>
  <c r="R50" i="31"/>
  <c r="S50" i="31"/>
  <c r="R51" i="31"/>
  <c r="R52" i="31"/>
  <c r="S52" i="31"/>
  <c r="R53" i="31"/>
  <c r="R54" i="31"/>
  <c r="S54" i="31" s="1"/>
  <c r="R55" i="31"/>
  <c r="R56" i="31"/>
  <c r="S56" i="31"/>
  <c r="R57" i="31"/>
  <c r="R58" i="31"/>
  <c r="S58" i="31"/>
  <c r="R59" i="31"/>
  <c r="R60" i="31"/>
  <c r="S60" i="31" s="1"/>
  <c r="R61" i="31"/>
  <c r="R62" i="31"/>
  <c r="S62" i="31" s="1"/>
  <c r="R63" i="31"/>
  <c r="R64" i="31"/>
  <c r="S64" i="31" s="1"/>
  <c r="R65" i="31"/>
  <c r="R66" i="31"/>
  <c r="S66" i="31"/>
  <c r="R67" i="31"/>
  <c r="R68" i="31"/>
  <c r="S68" i="31"/>
  <c r="R69" i="31"/>
  <c r="R70" i="31"/>
  <c r="S70" i="31" s="1"/>
  <c r="R71" i="31"/>
  <c r="R72" i="31"/>
  <c r="S72" i="31"/>
  <c r="R73" i="31"/>
  <c r="R74" i="31"/>
  <c r="S74" i="31"/>
  <c r="R75" i="31"/>
  <c r="R76" i="31"/>
  <c r="S76" i="31" s="1"/>
  <c r="R77" i="31"/>
  <c r="R78" i="31"/>
  <c r="S78" i="31" s="1"/>
  <c r="R79" i="31"/>
  <c r="R80" i="31"/>
  <c r="S80" i="31" s="1"/>
  <c r="R81" i="31"/>
  <c r="R82" i="31"/>
  <c r="S82" i="31"/>
  <c r="R83" i="31"/>
  <c r="R84" i="31"/>
  <c r="S84" i="31"/>
  <c r="R85" i="31"/>
  <c r="R86" i="31"/>
  <c r="S86" i="31" s="1"/>
  <c r="R87" i="31"/>
  <c r="R88" i="31"/>
  <c r="S88" i="31"/>
  <c r="R89" i="31"/>
  <c r="R90" i="31"/>
  <c r="S90" i="31"/>
  <c r="R91" i="31"/>
  <c r="R92" i="31"/>
  <c r="S92" i="31" s="1"/>
  <c r="R93" i="31"/>
  <c r="R94" i="31"/>
  <c r="S94" i="31" s="1"/>
  <c r="R95" i="31"/>
  <c r="R96" i="31"/>
  <c r="S96" i="31" s="1"/>
  <c r="R97" i="31"/>
  <c r="R98" i="31"/>
  <c r="S98" i="31"/>
  <c r="R99" i="31"/>
  <c r="R100" i="31"/>
  <c r="S100" i="31"/>
  <c r="R101" i="31"/>
  <c r="R102" i="31"/>
  <c r="S102" i="31" s="1"/>
  <c r="R103" i="31"/>
  <c r="R104" i="31"/>
  <c r="S104" i="31"/>
  <c r="R105" i="31"/>
  <c r="R106" i="31"/>
  <c r="S106" i="31"/>
  <c r="R107" i="31"/>
  <c r="R108" i="31"/>
  <c r="S108" i="31" s="1"/>
  <c r="R109" i="31"/>
  <c r="R110" i="31"/>
  <c r="S110" i="31" s="1"/>
  <c r="R111" i="31"/>
  <c r="R112" i="31"/>
  <c r="S112" i="31" s="1"/>
  <c r="R113" i="31"/>
  <c r="R114" i="31"/>
  <c r="S114" i="31"/>
  <c r="R115" i="31"/>
  <c r="R116" i="31"/>
  <c r="S116" i="31"/>
  <c r="R117" i="31"/>
  <c r="R118" i="31"/>
  <c r="S118" i="31" s="1"/>
  <c r="R119" i="31"/>
  <c r="R120" i="31"/>
  <c r="S120" i="31"/>
  <c r="R121" i="31"/>
  <c r="R122" i="31"/>
  <c r="S122" i="31"/>
  <c r="R123" i="31"/>
  <c r="R124" i="31"/>
  <c r="S124" i="31" s="1"/>
  <c r="R125" i="31"/>
  <c r="R126" i="31"/>
  <c r="S126" i="31" s="1"/>
  <c r="R127" i="31"/>
  <c r="R128" i="31"/>
  <c r="S128" i="31" s="1"/>
  <c r="R129" i="31"/>
  <c r="R130" i="31"/>
  <c r="S130" i="31"/>
  <c r="R131" i="31"/>
  <c r="R132" i="31"/>
  <c r="S132" i="31"/>
  <c r="R133" i="31"/>
  <c r="R134" i="31"/>
  <c r="S134" i="31" s="1"/>
  <c r="R135" i="31"/>
  <c r="R136" i="31"/>
  <c r="S136" i="31"/>
  <c r="R137" i="31"/>
  <c r="R138" i="31"/>
  <c r="S138" i="31"/>
  <c r="R139" i="31"/>
  <c r="R140" i="31"/>
  <c r="S140" i="31" s="1"/>
  <c r="R141" i="31"/>
  <c r="R142" i="31"/>
  <c r="S142" i="31" s="1"/>
  <c r="R143" i="31"/>
  <c r="R144" i="31"/>
  <c r="S144" i="31" s="1"/>
  <c r="R145" i="31"/>
  <c r="R146" i="31"/>
  <c r="S146" i="31"/>
  <c r="R147" i="31"/>
  <c r="R148" i="31"/>
  <c r="S148" i="31"/>
  <c r="R149" i="31"/>
  <c r="R150" i="31"/>
  <c r="S150" i="31" s="1"/>
  <c r="R151" i="31"/>
  <c r="R152" i="31"/>
  <c r="S152" i="31"/>
  <c r="R153" i="31"/>
  <c r="R154" i="31"/>
  <c r="S154" i="31"/>
  <c r="R155" i="31"/>
  <c r="R156" i="31"/>
  <c r="S156" i="31" s="1"/>
  <c r="R157" i="31"/>
  <c r="R158" i="31"/>
  <c r="S158" i="31" s="1"/>
  <c r="R159" i="31"/>
  <c r="R160" i="31"/>
  <c r="S160" i="31" s="1"/>
  <c r="R161" i="31"/>
  <c r="R162" i="31"/>
  <c r="S162" i="31"/>
  <c r="R163" i="31"/>
  <c r="R164" i="31"/>
  <c r="S164" i="31"/>
  <c r="R165" i="31"/>
  <c r="R166" i="31"/>
  <c r="S166" i="31" s="1"/>
  <c r="R167" i="31"/>
  <c r="R168" i="31"/>
  <c r="S168" i="31"/>
  <c r="R169" i="31"/>
  <c r="R170" i="31"/>
  <c r="S170" i="31"/>
  <c r="R171" i="31"/>
  <c r="R172" i="31"/>
  <c r="S172" i="31" s="1"/>
  <c r="R173" i="31"/>
  <c r="R174" i="31"/>
  <c r="S174" i="31" s="1"/>
  <c r="R175" i="31"/>
  <c r="R176" i="31"/>
  <c r="S176" i="31" s="1"/>
  <c r="R177" i="31"/>
  <c r="R178" i="31"/>
  <c r="S178" i="31"/>
  <c r="R179" i="31"/>
  <c r="R180" i="31"/>
  <c r="S180" i="31"/>
  <c r="R181" i="31"/>
  <c r="R182" i="31"/>
  <c r="S182" i="31" s="1"/>
  <c r="R183" i="31"/>
  <c r="R184" i="31"/>
  <c r="S184" i="31"/>
  <c r="R185" i="31"/>
  <c r="R186" i="31"/>
  <c r="S186" i="31"/>
  <c r="R187" i="31"/>
  <c r="R188" i="31"/>
  <c r="S188" i="31" s="1"/>
  <c r="R189" i="31"/>
  <c r="R190" i="31"/>
  <c r="S190" i="31" s="1"/>
  <c r="R191" i="31"/>
  <c r="R192" i="31"/>
  <c r="S192" i="31" s="1"/>
  <c r="R193" i="31"/>
  <c r="R194" i="31"/>
  <c r="S194" i="31"/>
  <c r="R195" i="31"/>
  <c r="R196" i="31"/>
  <c r="S196" i="31"/>
  <c r="R197" i="31"/>
  <c r="R198" i="31"/>
  <c r="S198" i="31" s="1"/>
  <c r="R199" i="31"/>
  <c r="R200" i="31"/>
  <c r="S200" i="31"/>
  <c r="R201" i="31"/>
  <c r="R202" i="31"/>
  <c r="S202" i="31"/>
  <c r="R203" i="31"/>
  <c r="R204" i="31"/>
  <c r="S204" i="31" s="1"/>
  <c r="R205" i="31"/>
  <c r="R206" i="31"/>
  <c r="S206" i="31" s="1"/>
  <c r="R207" i="31"/>
  <c r="R208" i="31"/>
  <c r="S208" i="31" s="1"/>
  <c r="R209" i="31"/>
  <c r="R210" i="31"/>
  <c r="S210" i="31"/>
  <c r="R211" i="31"/>
  <c r="R212" i="31"/>
  <c r="S212" i="31"/>
  <c r="R213" i="31"/>
  <c r="R214" i="31"/>
  <c r="S214" i="31" s="1"/>
  <c r="R215" i="31"/>
  <c r="R216" i="31"/>
  <c r="S216" i="3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c r="R435" i="31"/>
  <c r="R436" i="31"/>
  <c r="S436" i="31" s="1"/>
  <c r="R437" i="31"/>
  <c r="R438" i="31"/>
  <c r="S438" i="31"/>
  <c r="R439" i="31"/>
  <c r="R440" i="31"/>
  <c r="S440" i="31"/>
  <c r="R441" i="31"/>
  <c r="R442" i="31"/>
  <c r="S442" i="31" s="1"/>
  <c r="R443" i="31"/>
  <c r="R444" i="31"/>
  <c r="S444" i="31" s="1"/>
  <c r="R445" i="31"/>
  <c r="R446" i="31"/>
  <c r="S446" i="31" s="1"/>
  <c r="R447" i="31"/>
  <c r="R448" i="31"/>
  <c r="S448" i="31"/>
  <c r="R449" i="31"/>
  <c r="R450" i="31"/>
  <c r="S450" i="31"/>
  <c r="R451" i="31"/>
  <c r="R452" i="31"/>
  <c r="S452" i="31" s="1"/>
  <c r="R453" i="31"/>
  <c r="R454" i="31"/>
  <c r="S454" i="31"/>
  <c r="R455" i="31"/>
  <c r="R456" i="31"/>
  <c r="S456" i="31"/>
  <c r="R457" i="31"/>
  <c r="R458" i="31"/>
  <c r="S458" i="31" s="1"/>
  <c r="R459" i="31"/>
  <c r="R460" i="31"/>
  <c r="S460" i="31" s="1"/>
  <c r="R461" i="31"/>
  <c r="R462" i="31"/>
  <c r="S462" i="31" s="1"/>
  <c r="R463" i="31"/>
  <c r="R464" i="31"/>
  <c r="S464" i="31"/>
  <c r="R465" i="31"/>
  <c r="R466" i="31"/>
  <c r="S466" i="31"/>
  <c r="R467" i="31"/>
  <c r="R468" i="31"/>
  <c r="S468" i="31" s="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s="1"/>
  <c r="R503" i="31"/>
  <c r="R504" i="31"/>
  <c r="S504" i="31"/>
  <c r="R505" i="31"/>
  <c r="R506" i="31"/>
  <c r="S506" i="31"/>
  <c r="R507" i="31"/>
  <c r="R508" i="31"/>
  <c r="S508" i="31" s="1"/>
  <c r="R509" i="31"/>
  <c r="R510" i="31"/>
  <c r="S510" i="31" s="1"/>
  <c r="R511" i="31"/>
  <c r="R512" i="31"/>
  <c r="S512" i="31" s="1"/>
  <c r="R513" i="31"/>
  <c r="R514" i="31"/>
  <c r="S514" i="31"/>
  <c r="R515" i="31"/>
  <c r="R516" i="31"/>
  <c r="S516" i="31"/>
  <c r="R517" i="31"/>
  <c r="R518" i="31"/>
  <c r="S518" i="31" s="1"/>
  <c r="R519" i="31"/>
  <c r="R520" i="31"/>
  <c r="S520" i="3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F10" i="40"/>
  <c r="AA10" i="40"/>
  <c r="F11" i="40"/>
  <c r="AA11" i="40"/>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s="1"/>
  <c r="H10" i="39"/>
  <c r="AB10" i="39" s="1"/>
  <c r="H11" i="39"/>
  <c r="AB11" i="39"/>
  <c r="H36" i="39"/>
  <c r="AB36" i="39" s="1"/>
  <c r="H40" i="39"/>
  <c r="AB40" i="39" s="1"/>
  <c r="H42" i="39"/>
  <c r="AB42" i="39" s="1"/>
  <c r="J10" i="39"/>
  <c r="AC10" i="39"/>
  <c r="J11" i="39"/>
  <c r="AC11" i="39" s="1"/>
  <c r="J36" i="39"/>
  <c r="AC36" i="39" s="1"/>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L14" i="3" s="1"/>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c r="G50" i="40"/>
  <c r="H50" i="40"/>
  <c r="E50" i="40"/>
  <c r="F50" i="40"/>
  <c r="I55" i="39"/>
  <c r="J55" i="39" s="1"/>
  <c r="G55" i="39"/>
  <c r="H55" i="39"/>
  <c r="E55" i="39"/>
  <c r="F55" i="39" s="1"/>
  <c r="I42" i="36"/>
  <c r="J42" i="36"/>
  <c r="G42" i="36"/>
  <c r="H42" i="36" s="1"/>
  <c r="E42" i="36"/>
  <c r="F42" i="36"/>
  <c r="I44" i="35"/>
  <c r="J44" i="35" s="1"/>
  <c r="G44" i="35"/>
  <c r="H44" i="35"/>
  <c r="E44" i="35"/>
  <c r="F44" i="35" s="1"/>
  <c r="I54" i="33"/>
  <c r="J54" i="33"/>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L20" i="3" s="1"/>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A492" i="3" s="1"/>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s="1"/>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L501" i="3" s="1"/>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A505" i="3" s="1"/>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L508" i="3" s="1"/>
  <c r="BO508" i="3"/>
  <c r="BP508" i="3"/>
  <c r="BR508" i="3"/>
  <c r="BS508" i="3"/>
  <c r="BT508" i="3"/>
  <c r="H509" i="3"/>
  <c r="AC509" i="3"/>
  <c r="G509" i="3"/>
  <c r="BB509" i="3"/>
  <c r="BC509" i="3"/>
  <c r="BD509" i="3"/>
  <c r="BE509" i="3"/>
  <c r="BF509" i="3"/>
  <c r="BG509" i="3"/>
  <c r="BH509" i="3"/>
  <c r="BI509" i="3"/>
  <c r="BA509" i="3" s="1"/>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A520" i="3" s="1"/>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A521" i="3" s="1"/>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L525" i="3" s="1"/>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A544" i="3" s="1"/>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L545" i="3" s="1"/>
  <c r="BR545" i="3"/>
  <c r="BS545" i="3"/>
  <c r="BT545" i="3"/>
  <c r="H546" i="3"/>
  <c r="AC546" i="3"/>
  <c r="BB546" i="3"/>
  <c r="BC546" i="3"/>
  <c r="BD546" i="3"/>
  <c r="BA546" i="3" s="1"/>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A550" i="3" s="1"/>
  <c r="BE550" i="3"/>
  <c r="BF550" i="3"/>
  <c r="BG550" i="3"/>
  <c r="BH550" i="3"/>
  <c r="BI550" i="3"/>
  <c r="BJ550" i="3"/>
  <c r="BK550" i="3"/>
  <c r="BM550" i="3"/>
  <c r="BL550" i="3" s="1"/>
  <c r="BN550" i="3"/>
  <c r="BO550" i="3"/>
  <c r="BP550" i="3"/>
  <c r="BR550" i="3"/>
  <c r="BS550" i="3"/>
  <c r="BT550" i="3"/>
  <c r="H551" i="3"/>
  <c r="AC551" i="3"/>
  <c r="G551" i="3" s="1"/>
  <c r="BB551" i="3"/>
  <c r="BA551" i="3" s="1"/>
  <c r="AZ551" i="3" s="1"/>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L553" i="3" s="1"/>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A555" i="3" s="1"/>
  <c r="BJ555" i="3"/>
  <c r="BK555" i="3"/>
  <c r="BM555" i="3"/>
  <c r="BN555" i="3"/>
  <c r="BO555" i="3"/>
  <c r="BP555" i="3"/>
  <c r="BQ555" i="3"/>
  <c r="BR555" i="3"/>
  <c r="BS555" i="3"/>
  <c r="BT555" i="3"/>
  <c r="H556" i="3"/>
  <c r="AC556" i="3"/>
  <c r="BB556" i="3"/>
  <c r="BC556" i="3"/>
  <c r="BD556" i="3"/>
  <c r="BE556" i="3"/>
  <c r="BA556" i="3" s="1"/>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A558" i="3" s="1"/>
  <c r="AZ558" i="3" s="1"/>
  <c r="BG558" i="3"/>
  <c r="BH558" i="3"/>
  <c r="BI558" i="3"/>
  <c r="BJ558" i="3"/>
  <c r="BK558" i="3"/>
  <c r="BM558" i="3"/>
  <c r="BN558" i="3"/>
  <c r="BO558" i="3"/>
  <c r="BL558" i="3" s="1"/>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A569" i="3" s="1"/>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c r="F83" i="39" s="1"/>
  <c r="G83" i="39"/>
  <c r="H83" i="39" s="1"/>
  <c r="I83" i="39" s="1"/>
  <c r="J83" i="39" s="1"/>
  <c r="K83" i="39" s="1"/>
  <c r="L83" i="39" s="1"/>
  <c r="M83" i="39" s="1"/>
  <c r="D78" i="40"/>
  <c r="F13" i="40"/>
  <c r="S13" i="40"/>
  <c r="B122" i="40"/>
  <c r="F42" i="40"/>
  <c r="AA42" i="40"/>
  <c r="B120" i="40"/>
  <c r="B118" i="40"/>
  <c r="F40" i="40" s="1"/>
  <c r="AA40" i="40"/>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s="1"/>
  <c r="Q39" i="40"/>
  <c r="Z39" i="40" s="1"/>
  <c r="Q38" i="40"/>
  <c r="Z38" i="40"/>
  <c r="Q37" i="40"/>
  <c r="Z37" i="40"/>
  <c r="Q36" i="40"/>
  <c r="Z36" i="40" s="1"/>
  <c r="Q35" i="40"/>
  <c r="Z35" i="40"/>
  <c r="Q34" i="40"/>
  <c r="Z34" i="40" s="1"/>
  <c r="Q33" i="40"/>
  <c r="Z33" i="40"/>
  <c r="Q32" i="40"/>
  <c r="Z32" i="40" s="1"/>
  <c r="Q30" i="40"/>
  <c r="Z30" i="40" s="1"/>
  <c r="Q29" i="40"/>
  <c r="Z29" i="40" s="1"/>
  <c r="Q25" i="40"/>
  <c r="Z25" i="40"/>
  <c r="Q23" i="40"/>
  <c r="Z23" i="40" s="1"/>
  <c r="Q21" i="40"/>
  <c r="Z21" i="40" s="1"/>
  <c r="Q19" i="40"/>
  <c r="Z19" i="40"/>
  <c r="Q17" i="40"/>
  <c r="Z17" i="40"/>
  <c r="Q16" i="40"/>
  <c r="Z16" i="40" s="1"/>
  <c r="Q15" i="40"/>
  <c r="Z15" i="40"/>
  <c r="Q14" i="40"/>
  <c r="Z14" i="40" s="1"/>
  <c r="Q13" i="40"/>
  <c r="Z13" i="40"/>
  <c r="Q12" i="40"/>
  <c r="Z12" i="40" s="1"/>
  <c r="Q11" i="40"/>
  <c r="Z11" i="40" s="1"/>
  <c r="C9" i="40"/>
  <c r="C65" i="40"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c r="H109" i="39" s="1"/>
  <c r="I109" i="39" s="1"/>
  <c r="J109" i="39" s="1"/>
  <c r="K109" i="39" s="1"/>
  <c r="L109" i="39" s="1"/>
  <c r="M109" i="39"/>
  <c r="D107" i="39"/>
  <c r="E107" i="39"/>
  <c r="F107" i="39"/>
  <c r="G107" i="39" s="1"/>
  <c r="H107" i="39" s="1"/>
  <c r="I107" i="39" s="1"/>
  <c r="J107" i="39" s="1"/>
  <c r="K107" i="39" s="1"/>
  <c r="L107" i="39" s="1"/>
  <c r="M107" i="39" s="1"/>
  <c r="D103" i="39"/>
  <c r="D101" i="39"/>
  <c r="E101" i="39"/>
  <c r="F101" i="39" s="1"/>
  <c r="G101" i="39" s="1"/>
  <c r="Q41" i="39"/>
  <c r="Z41" i="39" s="1"/>
  <c r="Q42" i="39"/>
  <c r="Z42" i="39" s="1"/>
  <c r="Q43" i="39"/>
  <c r="Q44" i="39"/>
  <c r="Z44" i="39"/>
  <c r="Q45" i="39"/>
  <c r="Z45" i="39" s="1"/>
  <c r="Q46" i="39"/>
  <c r="Z46" i="39"/>
  <c r="Q47" i="39"/>
  <c r="Z47" i="39" s="1"/>
  <c r="Q40" i="39"/>
  <c r="Z40" i="39" s="1"/>
  <c r="Q38" i="39"/>
  <c r="Z38" i="39" s="1"/>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s="1"/>
  <c r="Q27" i="39"/>
  <c r="Z27" i="39" s="1"/>
  <c r="Q25" i="39"/>
  <c r="Z25" i="39"/>
  <c r="Q23" i="39"/>
  <c r="Z23" i="39"/>
  <c r="Q21" i="39"/>
  <c r="Z21" i="39" s="1"/>
  <c r="Q19" i="39"/>
  <c r="Z19" i="39" s="1"/>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H25" i="37"/>
  <c r="U25" i="37"/>
  <c r="B110" i="37"/>
  <c r="J39" i="37" s="1"/>
  <c r="AC39" i="37" s="1"/>
  <c r="B108" i="37"/>
  <c r="C23" i="37"/>
  <c r="C19" i="37"/>
  <c r="C17" i="37"/>
  <c r="C15" i="37"/>
  <c r="B112" i="37"/>
  <c r="D107" i="37"/>
  <c r="E107" i="37"/>
  <c r="F107" i="37" s="1"/>
  <c r="D105" i="37"/>
  <c r="E105" i="37" s="1"/>
  <c r="H36" i="37"/>
  <c r="D103" i="37"/>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B86" i="37"/>
  <c r="B84" i="37"/>
  <c r="H27" i="37" s="1"/>
  <c r="U27" i="37" s="1"/>
  <c r="B82" i="37"/>
  <c r="F26" i="37" s="1"/>
  <c r="AA26" i="37" s="1"/>
  <c r="D79" i="37"/>
  <c r="E79" i="37"/>
  <c r="D75" i="37"/>
  <c r="E75" i="37" s="1"/>
  <c r="F75" i="37" s="1"/>
  <c r="D73" i="37"/>
  <c r="E73" i="37" s="1"/>
  <c r="F73" i="37" s="1"/>
  <c r="G73" i="37" s="1"/>
  <c r="D71" i="37"/>
  <c r="E71" i="37" s="1"/>
  <c r="F71" i="37" s="1"/>
  <c r="G71" i="37" s="1"/>
  <c r="F15" i="37"/>
  <c r="AA15" i="37" s="1"/>
  <c r="B68" i="37"/>
  <c r="H14" i="37" s="1"/>
  <c r="U14" i="37" s="1"/>
  <c r="B66" i="37"/>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c r="Q39" i="37"/>
  <c r="Z39" i="37"/>
  <c r="Q38" i="37"/>
  <c r="Z38" i="37" s="1"/>
  <c r="Q37" i="37"/>
  <c r="Z37" i="37" s="1"/>
  <c r="Q36" i="37"/>
  <c r="Z36" i="37"/>
  <c r="Q35" i="37"/>
  <c r="Z35" i="37"/>
  <c r="Q34" i="37"/>
  <c r="Z34" i="37" s="1"/>
  <c r="Q33" i="37"/>
  <c r="Z33" i="37"/>
  <c r="Q32" i="37"/>
  <c r="Z32" i="37"/>
  <c r="Q31" i="37"/>
  <c r="Z31" i="37"/>
  <c r="J31" i="37"/>
  <c r="Q30" i="37"/>
  <c r="Z30" i="37"/>
  <c r="J30" i="37"/>
  <c r="W30" i="37" s="1"/>
  <c r="H30" i="37"/>
  <c r="AB30" i="37" s="1"/>
  <c r="F30" i="37"/>
  <c r="Q29" i="37"/>
  <c r="Z29" i="37" s="1"/>
  <c r="H29" i="37"/>
  <c r="U29" i="37"/>
  <c r="Q28" i="37"/>
  <c r="Z28" i="37"/>
  <c r="Q27" i="37"/>
  <c r="Z27" i="37"/>
  <c r="Q26" i="37"/>
  <c r="Z26" i="37" s="1"/>
  <c r="J26" i="37"/>
  <c r="H26" i="37"/>
  <c r="AB26" i="37"/>
  <c r="Q25" i="37"/>
  <c r="Z25" i="37" s="1"/>
  <c r="W25" i="37"/>
  <c r="F25" i="37"/>
  <c r="AA25" i="37"/>
  <c r="Q23" i="37"/>
  <c r="Z23" i="37" s="1"/>
  <c r="Q19" i="37"/>
  <c r="Z19" i="37" s="1"/>
  <c r="Q17" i="37"/>
  <c r="Z17" i="37"/>
  <c r="Q15" i="37"/>
  <c r="Z15" i="37"/>
  <c r="Q14" i="37"/>
  <c r="Z14" i="37" s="1"/>
  <c r="Q13" i="37"/>
  <c r="Z13" i="37"/>
  <c r="Q12" i="37"/>
  <c r="Z12" i="37"/>
  <c r="Q11" i="37"/>
  <c r="Z11" i="37"/>
  <c r="Q10" i="37"/>
  <c r="Z10" i="37" s="1"/>
  <c r="F10" i="37"/>
  <c r="AA10" i="37" s="1"/>
  <c r="Q9" i="37"/>
  <c r="Z9" i="37"/>
  <c r="J8" i="37"/>
  <c r="W8" i="37" s="1"/>
  <c r="H8" i="37"/>
  <c r="AB8" i="37" s="1"/>
  <c r="F8" i="37"/>
  <c r="C7" i="37"/>
  <c r="J31" i="36"/>
  <c r="W31" i="36"/>
  <c r="H31" i="36"/>
  <c r="AB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c r="F83" i="36"/>
  <c r="G83" i="36"/>
  <c r="H83" i="36"/>
  <c r="I83" i="36" s="1"/>
  <c r="J83" i="36" s="1"/>
  <c r="K83" i="36" s="1"/>
  <c r="L83" i="36" s="1"/>
  <c r="M83" i="36" s="1"/>
  <c r="D78" i="36"/>
  <c r="J26" i="36"/>
  <c r="W26" i="36"/>
  <c r="B75" i="36"/>
  <c r="B73" i="36"/>
  <c r="J24" i="36"/>
  <c r="B71" i="36"/>
  <c r="J23" i="36" s="1"/>
  <c r="AC23" i="36" s="1"/>
  <c r="D70" i="36"/>
  <c r="H22" i="36"/>
  <c r="AB22" i="36" s="1"/>
  <c r="D68" i="36"/>
  <c r="E68" i="36"/>
  <c r="D64" i="36"/>
  <c r="E64" i="36" s="1"/>
  <c r="F64" i="36"/>
  <c r="G64" i="36"/>
  <c r="J16" i="36"/>
  <c r="D62" i="36"/>
  <c r="E62" i="36" s="1"/>
  <c r="B59" i="36"/>
  <c r="B57" i="36"/>
  <c r="J12" i="36" s="1"/>
  <c r="B55" i="36"/>
  <c r="F54" i="36"/>
  <c r="G54" i="36"/>
  <c r="H54" i="36"/>
  <c r="I54" i="36" s="1"/>
  <c r="J10" i="36"/>
  <c r="W10" i="36"/>
  <c r="C51" i="36"/>
  <c r="P37" i="36"/>
  <c r="P36" i="36"/>
  <c r="V35" i="36"/>
  <c r="T35" i="36"/>
  <c r="R35" i="36"/>
  <c r="P35" i="36"/>
  <c r="Q34" i="36"/>
  <c r="Z34" i="36" s="1"/>
  <c r="Q33" i="36"/>
  <c r="Z33" i="36"/>
  <c r="Q32" i="36"/>
  <c r="Z32" i="36" s="1"/>
  <c r="Q31" i="36"/>
  <c r="Z31" i="36"/>
  <c r="Q30" i="36"/>
  <c r="Z30" i="36" s="1"/>
  <c r="Q29" i="36"/>
  <c r="Z29" i="36" s="1"/>
  <c r="Q28" i="36"/>
  <c r="Z28" i="36"/>
  <c r="J28" i="36"/>
  <c r="AC28" i="36"/>
  <c r="Q27" i="36"/>
  <c r="Z27" i="36" s="1"/>
  <c r="Q26" i="36"/>
  <c r="Z26" i="36" s="1"/>
  <c r="H26" i="36"/>
  <c r="AB26" i="36" s="1"/>
  <c r="Q25" i="36"/>
  <c r="Z25" i="36"/>
  <c r="Q24" i="36"/>
  <c r="Z24" i="36" s="1"/>
  <c r="Q23" i="36"/>
  <c r="Z23" i="36" s="1"/>
  <c r="H23" i="36"/>
  <c r="AB23" i="36" s="1"/>
  <c r="F23" i="36"/>
  <c r="AA23" i="36" s="1"/>
  <c r="Q22" i="36"/>
  <c r="Z22" i="36" s="1"/>
  <c r="J22" i="36"/>
  <c r="AC22" i="36"/>
  <c r="Q20" i="36"/>
  <c r="Z20" i="36" s="1"/>
  <c r="Q16" i="36"/>
  <c r="Z16" i="36"/>
  <c r="Q14" i="36"/>
  <c r="Z14" i="36"/>
  <c r="Q13" i="36"/>
  <c r="Z13" i="36" s="1"/>
  <c r="Q12" i="36"/>
  <c r="Z12" i="36" s="1"/>
  <c r="H12" i="36"/>
  <c r="U12" i="36"/>
  <c r="Q11" i="36"/>
  <c r="Z11" i="36" s="1"/>
  <c r="Q10" i="36"/>
  <c r="Z10" i="36" s="1"/>
  <c r="F10" i="36"/>
  <c r="AA10" i="36" s="1"/>
  <c r="Q9" i="36"/>
  <c r="Z9" i="36" s="1"/>
  <c r="J9" i="36"/>
  <c r="AC9" i="36" s="1"/>
  <c r="H9" i="36"/>
  <c r="AB9" i="36" s="1"/>
  <c r="F9" i="36"/>
  <c r="AA9" i="36" s="1"/>
  <c r="J8" i="36"/>
  <c r="AC8" i="36" s="1"/>
  <c r="H8" i="36"/>
  <c r="U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B99" i="35"/>
  <c r="B97" i="35"/>
  <c r="B77" i="35"/>
  <c r="B75" i="35"/>
  <c r="B73" i="35"/>
  <c r="B57" i="35"/>
  <c r="B61" i="35"/>
  <c r="B59" i="35"/>
  <c r="F12" i="35" s="1"/>
  <c r="AA12" i="35" s="1"/>
  <c r="B131" i="34"/>
  <c r="B129" i="34"/>
  <c r="B127" i="34"/>
  <c r="H45" i="34" s="1"/>
  <c r="AB45" i="34" s="1"/>
  <c r="B99" i="34"/>
  <c r="B97" i="34"/>
  <c r="B95" i="34"/>
  <c r="B93" i="34"/>
  <c r="B75" i="34"/>
  <c r="B73" i="34"/>
  <c r="B71" i="34"/>
  <c r="B130" i="33"/>
  <c r="J46" i="33" s="1"/>
  <c r="B128" i="33"/>
  <c r="H45" i="33" s="1"/>
  <c r="U45" i="33" s="1"/>
  <c r="B126" i="33"/>
  <c r="B98" i="33"/>
  <c r="F31" i="33"/>
  <c r="AA31" i="33" s="1"/>
  <c r="B96" i="33"/>
  <c r="B94" i="33"/>
  <c r="B74" i="33"/>
  <c r="B72" i="33"/>
  <c r="B70" i="33"/>
  <c r="D96" i="35"/>
  <c r="E96" i="35" s="1"/>
  <c r="F96" i="35" s="1"/>
  <c r="G96" i="35" s="1"/>
  <c r="D94" i="35"/>
  <c r="D84" i="35"/>
  <c r="E84" i="35"/>
  <c r="F84" i="35" s="1"/>
  <c r="G84" i="35" s="1"/>
  <c r="H84" i="35"/>
  <c r="I84" i="35" s="1"/>
  <c r="J84" i="35" s="1"/>
  <c r="K84" i="35" s="1"/>
  <c r="L84" i="35" s="1"/>
  <c r="M84" i="35" s="1"/>
  <c r="D80" i="35"/>
  <c r="D72" i="35"/>
  <c r="D70" i="35"/>
  <c r="E70" i="35" s="1"/>
  <c r="F70" i="35"/>
  <c r="G70" i="35" s="1"/>
  <c r="D66" i="35"/>
  <c r="E66" i="35" s="1"/>
  <c r="F66" i="35" s="1"/>
  <c r="G66" i="35" s="1"/>
  <c r="D64" i="35"/>
  <c r="E64" i="35" s="1"/>
  <c r="F64" i="35" s="1"/>
  <c r="G64" i="35"/>
  <c r="F56" i="35"/>
  <c r="G56" i="35" s="1"/>
  <c r="H56" i="35" s="1"/>
  <c r="I56" i="35" s="1"/>
  <c r="C53" i="35"/>
  <c r="P39" i="35"/>
  <c r="P38" i="35"/>
  <c r="V37" i="35"/>
  <c r="T37" i="35"/>
  <c r="R37" i="35"/>
  <c r="P37" i="35"/>
  <c r="Q36" i="35"/>
  <c r="Z36" i="35"/>
  <c r="Q35" i="35"/>
  <c r="Z35" i="35"/>
  <c r="Q34" i="35"/>
  <c r="Z34" i="35" s="1"/>
  <c r="F34" i="35"/>
  <c r="AA34" i="35"/>
  <c r="Q33" i="35"/>
  <c r="Z33" i="35"/>
  <c r="Q32" i="35"/>
  <c r="Z32" i="35"/>
  <c r="H32" i="35"/>
  <c r="AB32" i="35" s="1"/>
  <c r="F32" i="35"/>
  <c r="AA32" i="35" s="1"/>
  <c r="Q31" i="35"/>
  <c r="Z31" i="35" s="1"/>
  <c r="AB31" i="35"/>
  <c r="AA31" i="35"/>
  <c r="Q30" i="35"/>
  <c r="Z30" i="35" s="1"/>
  <c r="Q29" i="35"/>
  <c r="Z29" i="35"/>
  <c r="Q28" i="35"/>
  <c r="Z28" i="35" s="1"/>
  <c r="J28" i="35"/>
  <c r="H28" i="35"/>
  <c r="F28" i="35"/>
  <c r="AA28" i="35" s="1"/>
  <c r="Q27" i="35"/>
  <c r="Z27" i="35"/>
  <c r="Q26" i="35"/>
  <c r="Z26" i="35" s="1"/>
  <c r="Q25" i="35"/>
  <c r="Z25" i="35" s="1"/>
  <c r="Q24" i="35"/>
  <c r="Z24" i="35" s="1"/>
  <c r="Q23" i="35"/>
  <c r="Z23" i="35" s="1"/>
  <c r="J23" i="35"/>
  <c r="AC23" i="35" s="1"/>
  <c r="Q22" i="35"/>
  <c r="Z22" i="35" s="1"/>
  <c r="Q20" i="35"/>
  <c r="Z20" i="35" s="1"/>
  <c r="Q16" i="35"/>
  <c r="Z16" i="35" s="1"/>
  <c r="Q14" i="35"/>
  <c r="Z14" i="35" s="1"/>
  <c r="Q13" i="35"/>
  <c r="Z13" i="35"/>
  <c r="Q12" i="35"/>
  <c r="Z12" i="35" s="1"/>
  <c r="J12" i="35"/>
  <c r="W12" i="35" s="1"/>
  <c r="Q11" i="35"/>
  <c r="Z11" i="35"/>
  <c r="Q10" i="35"/>
  <c r="Z10" i="35"/>
  <c r="Q9" i="35"/>
  <c r="Z9" i="35" s="1"/>
  <c r="J9" i="35"/>
  <c r="W9" i="35" s="1"/>
  <c r="J8" i="35"/>
  <c r="H8" i="35"/>
  <c r="F8" i="35"/>
  <c r="AA8" i="35" s="1"/>
  <c r="C7" i="35"/>
  <c r="D120" i="34"/>
  <c r="E120" i="34"/>
  <c r="F120" i="34" s="1"/>
  <c r="G120" i="34"/>
  <c r="H120" i="34" s="1"/>
  <c r="I120" i="34" s="1"/>
  <c r="J120" i="34" s="1"/>
  <c r="K120" i="34" s="1"/>
  <c r="L120" i="34" s="1"/>
  <c r="M120" i="34" s="1"/>
  <c r="D90" i="34"/>
  <c r="C15" i="34"/>
  <c r="F67" i="34"/>
  <c r="G67" i="34" s="1"/>
  <c r="H67" i="34" s="1"/>
  <c r="I67" i="34" s="1"/>
  <c r="H10" i="34"/>
  <c r="AB10" i="34"/>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c r="G92" i="34"/>
  <c r="H92" i="34" s="1"/>
  <c r="I92" i="34" s="1"/>
  <c r="J92" i="34" s="1"/>
  <c r="K92" i="34" s="1"/>
  <c r="L92" i="34" s="1"/>
  <c r="M92" i="34" s="1"/>
  <c r="B91" i="34"/>
  <c r="F28" i="34" s="1"/>
  <c r="B89" i="34"/>
  <c r="J27" i="34"/>
  <c r="AC27" i="34" s="1"/>
  <c r="D88" i="34"/>
  <c r="E88" i="34" s="1"/>
  <c r="F88" i="34" s="1"/>
  <c r="G88" i="34"/>
  <c r="H88" i="34" s="1"/>
  <c r="I88" i="34" s="1"/>
  <c r="J88" i="34" s="1"/>
  <c r="K88" i="34" s="1"/>
  <c r="L88" i="34" s="1"/>
  <c r="M88" i="34" s="1"/>
  <c r="D86" i="34"/>
  <c r="E86" i="34"/>
  <c r="D82" i="34"/>
  <c r="E82" i="34" s="1"/>
  <c r="F82" i="34" s="1"/>
  <c r="G82" i="34" s="1"/>
  <c r="D80" i="34"/>
  <c r="D78" i="34"/>
  <c r="D70" i="34"/>
  <c r="E70" i="34"/>
  <c r="F70" i="34"/>
  <c r="G70" i="34" s="1"/>
  <c r="H70" i="34" s="1"/>
  <c r="I70" i="34" s="1"/>
  <c r="J70" i="34" s="1"/>
  <c r="K70" i="34" s="1"/>
  <c r="L70" i="34" s="1"/>
  <c r="M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H44" i="34"/>
  <c r="AB44" i="34"/>
  <c r="Q43" i="34"/>
  <c r="Z43" i="34" s="1"/>
  <c r="F43" i="34"/>
  <c r="AA43" i="34"/>
  <c r="Q42" i="34"/>
  <c r="Z42" i="34"/>
  <c r="Q41" i="34"/>
  <c r="Z41" i="34" s="1"/>
  <c r="Q40" i="34"/>
  <c r="Z40" i="34" s="1"/>
  <c r="F40" i="34"/>
  <c r="S40" i="34"/>
  <c r="Q39" i="34"/>
  <c r="Z39" i="34"/>
  <c r="J39" i="34"/>
  <c r="W39" i="34" s="1"/>
  <c r="H39" i="34"/>
  <c r="U39" i="34" s="1"/>
  <c r="F39" i="34"/>
  <c r="Q38" i="34"/>
  <c r="Z38" i="34"/>
  <c r="Q37" i="34"/>
  <c r="Z37" i="34"/>
  <c r="Q36" i="34"/>
  <c r="Z36" i="34" s="1"/>
  <c r="Q35" i="34"/>
  <c r="Z35" i="34"/>
  <c r="Q34" i="34"/>
  <c r="Z34" i="34"/>
  <c r="J34" i="34"/>
  <c r="H34" i="34"/>
  <c r="AB34" i="34"/>
  <c r="F34" i="34"/>
  <c r="Q33" i="34"/>
  <c r="Z33" i="34"/>
  <c r="Q32" i="34"/>
  <c r="Z32" i="34"/>
  <c r="Q31" i="34"/>
  <c r="Z31" i="34"/>
  <c r="Q30" i="34"/>
  <c r="Z30" i="34" s="1"/>
  <c r="Q29" i="34"/>
  <c r="Z29" i="34"/>
  <c r="Q28" i="34"/>
  <c r="Z28" i="34" s="1"/>
  <c r="Q27" i="34"/>
  <c r="Z27" i="34" s="1"/>
  <c r="Q25" i="34"/>
  <c r="Z25" i="34" s="1"/>
  <c r="Q23" i="34"/>
  <c r="Z23" i="34"/>
  <c r="C23" i="34"/>
  <c r="Q19" i="34"/>
  <c r="Z19" i="34" s="1"/>
  <c r="C19" i="34"/>
  <c r="Q17" i="34"/>
  <c r="Z17" i="34" s="1"/>
  <c r="C17" i="34"/>
  <c r="Q15" i="34"/>
  <c r="Z15" i="34"/>
  <c r="Q14" i="34"/>
  <c r="Z14" i="34"/>
  <c r="Q13" i="34"/>
  <c r="Z13" i="34"/>
  <c r="Q12" i="34"/>
  <c r="Z12" i="34"/>
  <c r="Q11" i="34"/>
  <c r="Z11" i="34"/>
  <c r="Q10" i="34"/>
  <c r="Z10" i="34"/>
  <c r="F10" i="34"/>
  <c r="AA10" i="34" s="1"/>
  <c r="Q9" i="34"/>
  <c r="Z9" i="34"/>
  <c r="J9" i="34"/>
  <c r="AC9" i="34" s="1"/>
  <c r="H9" i="34"/>
  <c r="AB9" i="34"/>
  <c r="F9" i="34"/>
  <c r="AA9" i="34" s="1"/>
  <c r="J8" i="34"/>
  <c r="AC8" i="34" s="1"/>
  <c r="H8" i="34"/>
  <c r="U8" i="34"/>
  <c r="F8" i="34"/>
  <c r="AA8" i="34" s="1"/>
  <c r="C7" i="34"/>
  <c r="C59" i="34" s="1"/>
  <c r="D121" i="33"/>
  <c r="F109" i="33"/>
  <c r="E109" i="33"/>
  <c r="D109" i="33"/>
  <c r="C109" i="33"/>
  <c r="D91" i="33"/>
  <c r="E91" i="33" s="1"/>
  <c r="F91" i="33" s="1"/>
  <c r="G91" i="33" s="1"/>
  <c r="H91" i="33" s="1"/>
  <c r="I91" i="33" s="1"/>
  <c r="J91" i="33" s="1"/>
  <c r="K91" i="33" s="1"/>
  <c r="L91" i="33" s="1"/>
  <c r="M91" i="33"/>
  <c r="B88" i="33"/>
  <c r="C23" i="33"/>
  <c r="C19" i="33"/>
  <c r="C17" i="33"/>
  <c r="C15" i="33"/>
  <c r="C15" i="21"/>
  <c r="D125" i="33"/>
  <c r="E125" i="33" s="1"/>
  <c r="F125" i="33" s="1"/>
  <c r="G125" i="33" s="1"/>
  <c r="D123" i="33"/>
  <c r="D117" i="33"/>
  <c r="E117" i="33" s="1"/>
  <c r="F117" i="33"/>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c r="B92" i="33"/>
  <c r="B90" i="33"/>
  <c r="H27" i="33" s="1"/>
  <c r="U27" i="33" s="1"/>
  <c r="D87" i="33"/>
  <c r="E87" i="33" s="1"/>
  <c r="D85" i="33"/>
  <c r="E85" i="33" s="1"/>
  <c r="D81" i="33"/>
  <c r="E81" i="33"/>
  <c r="F81" i="33" s="1"/>
  <c r="G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P49" i="33"/>
  <c r="P48" i="33"/>
  <c r="V47" i="33"/>
  <c r="T47" i="33"/>
  <c r="R47" i="33"/>
  <c r="P47" i="33"/>
  <c r="Q46" i="33"/>
  <c r="Z46" i="33"/>
  <c r="Q45" i="33"/>
  <c r="Z45" i="33" s="1"/>
  <c r="Q44" i="33"/>
  <c r="Z44" i="33" s="1"/>
  <c r="Q43" i="33"/>
  <c r="Z43" i="33"/>
  <c r="Q42" i="33"/>
  <c r="Z42" i="33" s="1"/>
  <c r="J42" i="33"/>
  <c r="AC42" i="33" s="1"/>
  <c r="W41" i="33"/>
  <c r="Q41" i="33"/>
  <c r="Z41" i="33" s="1"/>
  <c r="Q40" i="33"/>
  <c r="Z40" i="33"/>
  <c r="J40" i="33"/>
  <c r="H40" i="33"/>
  <c r="AA40" i="33"/>
  <c r="Q39" i="33"/>
  <c r="Z39" i="33" s="1"/>
  <c r="J39" i="33"/>
  <c r="AC39" i="33"/>
  <c r="Q38" i="33"/>
  <c r="Z38" i="33" s="1"/>
  <c r="J38" i="33"/>
  <c r="AC38" i="33"/>
  <c r="H38" i="33"/>
  <c r="U38" i="33" s="1"/>
  <c r="F38" i="33"/>
  <c r="AA38" i="33" s="1"/>
  <c r="Q37" i="33"/>
  <c r="Z37" i="33" s="1"/>
  <c r="Q36" i="33"/>
  <c r="Z36" i="33"/>
  <c r="Q35" i="33"/>
  <c r="Z35" i="33"/>
  <c r="H35" i="33"/>
  <c r="AB35" i="33" s="1"/>
  <c r="Q34" i="33"/>
  <c r="Z34" i="33" s="1"/>
  <c r="Q33" i="33"/>
  <c r="Z33" i="33"/>
  <c r="J33" i="33"/>
  <c r="H33" i="33"/>
  <c r="AB33" i="33" s="1"/>
  <c r="F33" i="33"/>
  <c r="AA33" i="33" s="1"/>
  <c r="Q32" i="33"/>
  <c r="Z32" i="33"/>
  <c r="Q31" i="33"/>
  <c r="Z31" i="33"/>
  <c r="Q30" i="33"/>
  <c r="Z30" i="33"/>
  <c r="Q29" i="33"/>
  <c r="Z29" i="33" s="1"/>
  <c r="Q28" i="33"/>
  <c r="Z28" i="33"/>
  <c r="Q27" i="33"/>
  <c r="Z27" i="33"/>
  <c r="Q26" i="33"/>
  <c r="Z26" i="33" s="1"/>
  <c r="Q25" i="33"/>
  <c r="Z25" i="33" s="1"/>
  <c r="Q23" i="33"/>
  <c r="Z23" i="33"/>
  <c r="Q19" i="33"/>
  <c r="Z19" i="33"/>
  <c r="Q17" i="33"/>
  <c r="Z17" i="33" s="1"/>
  <c r="Q15" i="33"/>
  <c r="Z15" i="33" s="1"/>
  <c r="F15" i="33"/>
  <c r="AA15" i="33"/>
  <c r="Q14" i="33"/>
  <c r="Z14" i="33" s="1"/>
  <c r="Q13" i="33"/>
  <c r="Z13" i="33"/>
  <c r="Q12" i="33"/>
  <c r="Z12" i="33" s="1"/>
  <c r="J12" i="33"/>
  <c r="W12" i="33"/>
  <c r="H12" i="33"/>
  <c r="U12" i="33" s="1"/>
  <c r="F12" i="33"/>
  <c r="S12" i="33"/>
  <c r="Q11" i="33"/>
  <c r="Z11" i="33" s="1"/>
  <c r="Q10" i="33"/>
  <c r="Z10" i="33"/>
  <c r="Q9" i="33"/>
  <c r="Z9" i="33" s="1"/>
  <c r="H9" i="33"/>
  <c r="AB9" i="33"/>
  <c r="F9" i="33"/>
  <c r="AA9" i="33"/>
  <c r="J8" i="33"/>
  <c r="W8" i="33" s="1"/>
  <c r="H8" i="33"/>
  <c r="F8" i="33"/>
  <c r="C7" i="33"/>
  <c r="C58" i="33" s="1"/>
  <c r="M102" i="21"/>
  <c r="D102" i="21"/>
  <c r="E102" i="21"/>
  <c r="F102" i="21"/>
  <c r="G102" i="21"/>
  <c r="H102" i="21"/>
  <c r="I102" i="21"/>
  <c r="J102" i="21"/>
  <c r="K102" i="21"/>
  <c r="L102" i="21"/>
  <c r="C102" i="21"/>
  <c r="C63" i="21"/>
  <c r="F9" i="21" s="1"/>
  <c r="S9" i="21" s="1"/>
  <c r="G18" i="20"/>
  <c r="B87" i="46"/>
  <c r="C25" i="40"/>
  <c r="G16" i="20"/>
  <c r="B81" i="46"/>
  <c r="G15" i="20"/>
  <c r="B80" i="46" s="1"/>
  <c r="C24" i="20"/>
  <c r="B72" i="46"/>
  <c r="C21" i="20"/>
  <c r="C29" i="39" s="1"/>
  <c r="B73" i="46"/>
  <c r="C20" i="20"/>
  <c r="B76" i="46"/>
  <c r="C18" i="20"/>
  <c r="B70" i="46" s="1"/>
  <c r="C17" i="20"/>
  <c r="B58" i="46"/>
  <c r="C16" i="20"/>
  <c r="B47" i="46" s="1"/>
  <c r="C15" i="20"/>
  <c r="B69" i="46"/>
  <c r="E54" i="21"/>
  <c r="F54" i="21" s="1"/>
  <c r="I54" i="21"/>
  <c r="J54" i="21"/>
  <c r="G54" i="21"/>
  <c r="H54" i="21"/>
  <c r="D125" i="21"/>
  <c r="E125" i="21"/>
  <c r="F125" i="21" s="1"/>
  <c r="G125" i="21" s="1"/>
  <c r="D123" i="21"/>
  <c r="E123" i="21" s="1"/>
  <c r="F123" i="21" s="1"/>
  <c r="G123" i="21" s="1"/>
  <c r="H123" i="2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c r="J69" i="21" s="1"/>
  <c r="K69" i="21" s="1"/>
  <c r="L69" i="21" s="1"/>
  <c r="M69" i="21" s="1"/>
  <c r="D66" i="21"/>
  <c r="E66" i="21" s="1"/>
  <c r="F66" i="21" s="1"/>
  <c r="G66" i="21" s="1"/>
  <c r="H66" i="21" s="1"/>
  <c r="I66" i="21" s="1"/>
  <c r="D111" i="21"/>
  <c r="E111" i="21"/>
  <c r="F111" i="21"/>
  <c r="C111" i="21"/>
  <c r="D79" i="21"/>
  <c r="E79" i="21"/>
  <c r="F79" i="21" s="1"/>
  <c r="G79" i="21" s="1"/>
  <c r="D85" i="21"/>
  <c r="E85" i="21" s="1"/>
  <c r="D81" i="21"/>
  <c r="E81" i="21" s="1"/>
  <c r="F81" i="21" s="1"/>
  <c r="G81" i="21"/>
  <c r="D77" i="21"/>
  <c r="E77" i="21" s="1"/>
  <c r="B130" i="21"/>
  <c r="J46" i="21" s="1"/>
  <c r="B128" i="21"/>
  <c r="J45" i="21" s="1"/>
  <c r="AC45" i="21" s="1"/>
  <c r="B126" i="21"/>
  <c r="B98" i="21"/>
  <c r="B96" i="21"/>
  <c r="B94" i="21"/>
  <c r="B92" i="21"/>
  <c r="B90" i="21"/>
  <c r="J27" i="21" s="1"/>
  <c r="B74" i="21"/>
  <c r="B72" i="21"/>
  <c r="H13" i="21" s="1"/>
  <c r="U13" i="21" s="1"/>
  <c r="B70" i="21"/>
  <c r="F12" i="21" s="1"/>
  <c r="AA12" i="21" s="1"/>
  <c r="F10" i="21"/>
  <c r="AA10" i="21"/>
  <c r="C7" i="21"/>
  <c r="C58"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S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A570" i="3" s="1"/>
  <c r="AZ570" i="3" s="1"/>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L572" i="3" s="1"/>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F5" i="3"/>
  <c r="G27" i="6"/>
  <c r="F34" i="21"/>
  <c r="AA34" i="21"/>
  <c r="H34" i="21"/>
  <c r="U34" i="21"/>
  <c r="F43" i="21"/>
  <c r="S43" i="21"/>
  <c r="H38" i="21"/>
  <c r="AB38" i="21" s="1"/>
  <c r="H43" i="21"/>
  <c r="AB43" i="21" s="1"/>
  <c r="F32" i="21"/>
  <c r="F38" i="21"/>
  <c r="F36" i="21"/>
  <c r="S36" i="21" s="1"/>
  <c r="F39" i="21"/>
  <c r="AA39" i="21" s="1"/>
  <c r="J40" i="21"/>
  <c r="W40" i="21"/>
  <c r="H35" i="21"/>
  <c r="AB35" i="21" s="1"/>
  <c r="J8" i="21"/>
  <c r="AC8" i="21" s="1"/>
  <c r="J9" i="21"/>
  <c r="AC9" i="21" s="1"/>
  <c r="H8" i="21"/>
  <c r="H9" i="21"/>
  <c r="U9" i="21" s="1"/>
  <c r="H10" i="21"/>
  <c r="U10" i="21"/>
  <c r="H39" i="21"/>
  <c r="AB39" i="21" s="1"/>
  <c r="J34" i="21"/>
  <c r="W34" i="21"/>
  <c r="H36" i="21"/>
  <c r="U36" i="21" s="1"/>
  <c r="F35" i="21"/>
  <c r="AA35" i="21"/>
  <c r="J33" i="21"/>
  <c r="W33" i="21" s="1"/>
  <c r="H33" i="21"/>
  <c r="U33" i="21"/>
  <c r="F33" i="21"/>
  <c r="J10" i="21"/>
  <c r="AC10" i="21" s="1"/>
  <c r="H26" i="21"/>
  <c r="F19" i="21"/>
  <c r="AA19" i="21" s="1"/>
  <c r="H19" i="21"/>
  <c r="AB19" i="21" s="1"/>
  <c r="J19" i="21"/>
  <c r="W19" i="21" s="1"/>
  <c r="J12" i="21"/>
  <c r="H12" i="21"/>
  <c r="U12" i="21" s="1"/>
  <c r="J26" i="21"/>
  <c r="W26" i="21" s="1"/>
  <c r="F26" i="21"/>
  <c r="AA26" i="21"/>
  <c r="AB41" i="21"/>
  <c r="S41" i="21"/>
  <c r="AA41" i="21"/>
  <c r="W41" i="21"/>
  <c r="S10" i="39"/>
  <c r="U30" i="37"/>
  <c r="E103" i="37"/>
  <c r="F103" i="37"/>
  <c r="G103" i="37" s="1"/>
  <c r="W39" i="37"/>
  <c r="F29" i="36"/>
  <c r="AA29" i="36" s="1"/>
  <c r="F16" i="36"/>
  <c r="AA16" i="36" s="1"/>
  <c r="U22" i="36"/>
  <c r="W23" i="36"/>
  <c r="W22" i="36"/>
  <c r="U26" i="36"/>
  <c r="AC31" i="36"/>
  <c r="AC27" i="35"/>
  <c r="U31" i="35"/>
  <c r="S34" i="35"/>
  <c r="S31" i="35"/>
  <c r="W31" i="35"/>
  <c r="F36" i="34"/>
  <c r="S36" i="34"/>
  <c r="W9" i="34"/>
  <c r="H39" i="33"/>
  <c r="AB39" i="33" s="1"/>
  <c r="U9" i="33"/>
  <c r="U33" i="33"/>
  <c r="W38" i="33"/>
  <c r="S40" i="33"/>
  <c r="S33" i="33"/>
  <c r="W8" i="21"/>
  <c r="AB27" i="35"/>
  <c r="S10" i="40"/>
  <c r="W10" i="40"/>
  <c r="S11" i="40"/>
  <c r="U11" i="40"/>
  <c r="S36" i="40"/>
  <c r="U36" i="40"/>
  <c r="S40" i="39"/>
  <c r="S36" i="39"/>
  <c r="F11" i="21"/>
  <c r="S11" i="21" s="1"/>
  <c r="AC40" i="21"/>
  <c r="AC35" i="21"/>
  <c r="C23" i="39"/>
  <c r="U36" i="39"/>
  <c r="S42" i="39"/>
  <c r="H32" i="33"/>
  <c r="AB32" i="33" s="1"/>
  <c r="H11" i="21"/>
  <c r="U11" i="21"/>
  <c r="J11" i="21"/>
  <c r="W11" i="21"/>
  <c r="F100" i="40"/>
  <c r="AA12" i="33"/>
  <c r="J27" i="36"/>
  <c r="W27" i="36"/>
  <c r="J34" i="36"/>
  <c r="W34" i="36"/>
  <c r="J30" i="35"/>
  <c r="W30" i="35" s="1"/>
  <c r="F22" i="35"/>
  <c r="AA22" i="35" s="1"/>
  <c r="H10" i="35"/>
  <c r="U10" i="35"/>
  <c r="U29" i="36"/>
  <c r="E85" i="36"/>
  <c r="F85" i="36" s="1"/>
  <c r="G85" i="36" s="1"/>
  <c r="H85" i="36" s="1"/>
  <c r="I85" i="36" s="1"/>
  <c r="J85" i="36" s="1"/>
  <c r="K85" i="36" s="1"/>
  <c r="L85" i="36" s="1"/>
  <c r="M85" i="36" s="1"/>
  <c r="J29" i="36"/>
  <c r="AC29" i="36" s="1"/>
  <c r="F12" i="36"/>
  <c r="S12" i="36"/>
  <c r="F34" i="36"/>
  <c r="S34" i="36" s="1"/>
  <c r="S10" i="36"/>
  <c r="AB8" i="36"/>
  <c r="H16" i="35"/>
  <c r="U16" i="35" s="1"/>
  <c r="H33" i="35"/>
  <c r="AB33" i="35"/>
  <c r="W8" i="35"/>
  <c r="AC8" i="35"/>
  <c r="F35" i="37"/>
  <c r="E101" i="37"/>
  <c r="F101" i="37"/>
  <c r="G101" i="37" s="1"/>
  <c r="H101" i="37" s="1"/>
  <c r="I101" i="37" s="1"/>
  <c r="J101" i="37" s="1"/>
  <c r="K101" i="37" s="1"/>
  <c r="L101" i="37" s="1"/>
  <c r="M101" i="37" s="1"/>
  <c r="J34" i="37"/>
  <c r="H43" i="34"/>
  <c r="U43" i="34" s="1"/>
  <c r="U42" i="34"/>
  <c r="E114" i="34"/>
  <c r="H36" i="34"/>
  <c r="U36" i="34" s="1"/>
  <c r="F37" i="34"/>
  <c r="AA37" i="34" s="1"/>
  <c r="F33" i="34"/>
  <c r="S33" i="34"/>
  <c r="F19" i="34"/>
  <c r="AA19" i="34" s="1"/>
  <c r="J10" i="34"/>
  <c r="AC10" i="34"/>
  <c r="U9" i="34"/>
  <c r="W8" i="34"/>
  <c r="J28" i="34"/>
  <c r="S38" i="33"/>
  <c r="E113" i="33"/>
  <c r="F36" i="33"/>
  <c r="S36" i="33"/>
  <c r="F19" i="33"/>
  <c r="S19" i="33" s="1"/>
  <c r="J19" i="33"/>
  <c r="S10" i="21"/>
  <c r="G86" i="40"/>
  <c r="AB30" i="36"/>
  <c r="AC34" i="36"/>
  <c r="S22" i="35"/>
  <c r="H29" i="35"/>
  <c r="U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c r="J42" i="21"/>
  <c r="AC42" i="21" s="1"/>
  <c r="J44" i="34"/>
  <c r="AC44" i="34" s="1"/>
  <c r="F44" i="34"/>
  <c r="S44" i="34" s="1"/>
  <c r="J10" i="35"/>
  <c r="W10" i="35"/>
  <c r="AL5" i="3"/>
  <c r="BQ13" i="3"/>
  <c r="J14" i="21"/>
  <c r="AC14" i="21" s="1"/>
  <c r="F14" i="21"/>
  <c r="AA14" i="21" s="1"/>
  <c r="H14" i="21"/>
  <c r="U14" i="21" s="1"/>
  <c r="H30" i="21"/>
  <c r="AB30" i="21" s="1"/>
  <c r="U30" i="21"/>
  <c r="F30" i="21"/>
  <c r="S30" i="21" s="1"/>
  <c r="J30" i="21"/>
  <c r="J44" i="21"/>
  <c r="AC44" i="21"/>
  <c r="H44" i="21"/>
  <c r="F44" i="21"/>
  <c r="AA44" i="21" s="1"/>
  <c r="W46" i="21"/>
  <c r="F46" i="21"/>
  <c r="AA46" i="21" s="1"/>
  <c r="H26" i="33"/>
  <c r="U26" i="33" s="1"/>
  <c r="J28" i="33"/>
  <c r="AC28" i="33" s="1"/>
  <c r="W28" i="33"/>
  <c r="F33" i="35"/>
  <c r="S33" i="35"/>
  <c r="J33" i="35"/>
  <c r="W33" i="35" s="1"/>
  <c r="F30" i="35"/>
  <c r="AA30" i="35" s="1"/>
  <c r="E89" i="35"/>
  <c r="F89" i="35"/>
  <c r="G89" i="35" s="1"/>
  <c r="H89" i="35" s="1"/>
  <c r="I89" i="35" s="1"/>
  <c r="J89" i="35" s="1"/>
  <c r="K89" i="35" s="1"/>
  <c r="L89" i="35" s="1"/>
  <c r="M89" i="35" s="1"/>
  <c r="H10" i="36"/>
  <c r="AB10" i="36" s="1"/>
  <c r="F28" i="36"/>
  <c r="S28" i="36" s="1"/>
  <c r="F27" i="36"/>
  <c r="S27" i="36"/>
  <c r="J13" i="21"/>
  <c r="AC13" i="21" s="1"/>
  <c r="F13" i="21"/>
  <c r="AA13" i="21" s="1"/>
  <c r="W27" i="21"/>
  <c r="F27" i="21"/>
  <c r="AA27" i="21" s="1"/>
  <c r="J29" i="21"/>
  <c r="AC29" i="21" s="1"/>
  <c r="J31" i="21"/>
  <c r="AC31" i="21" s="1"/>
  <c r="H31" i="21"/>
  <c r="F31" i="21"/>
  <c r="S31" i="21"/>
  <c r="W45" i="21"/>
  <c r="F45" i="21"/>
  <c r="H45" i="21"/>
  <c r="U45" i="21" s="1"/>
  <c r="J27" i="33"/>
  <c r="AC27" i="33"/>
  <c r="F13" i="33"/>
  <c r="S13" i="33" s="1"/>
  <c r="J29" i="33"/>
  <c r="W29" i="33" s="1"/>
  <c r="J31" i="33"/>
  <c r="AC31" i="33"/>
  <c r="H31" i="33"/>
  <c r="U31" i="33"/>
  <c r="S31" i="33"/>
  <c r="J45" i="33"/>
  <c r="W45" i="33"/>
  <c r="F45" i="33"/>
  <c r="S45" i="33" s="1"/>
  <c r="F11" i="35"/>
  <c r="S11" i="35" s="1"/>
  <c r="H28" i="36"/>
  <c r="AB28" i="36" s="1"/>
  <c r="H32" i="36"/>
  <c r="AB32" i="36"/>
  <c r="J32" i="36"/>
  <c r="AC32" i="36" s="1"/>
  <c r="J11" i="36"/>
  <c r="W11" i="36"/>
  <c r="H13" i="36"/>
  <c r="AB13" i="36"/>
  <c r="J13" i="36"/>
  <c r="F13" i="36"/>
  <c r="S13" i="36" s="1"/>
  <c r="H89" i="37"/>
  <c r="I89" i="37" s="1"/>
  <c r="J89" i="37" s="1"/>
  <c r="K89" i="37" s="1"/>
  <c r="L89" i="37" s="1"/>
  <c r="M89" i="37" s="1"/>
  <c r="J29" i="37"/>
  <c r="W29" i="37" s="1"/>
  <c r="F29" i="37"/>
  <c r="AA29" i="37" s="1"/>
  <c r="F105" i="37"/>
  <c r="G105" i="37" s="1"/>
  <c r="AB36" i="37"/>
  <c r="J37" i="37"/>
  <c r="AC37" i="37" s="1"/>
  <c r="H37" i="37"/>
  <c r="U37" i="37"/>
  <c r="H40" i="37"/>
  <c r="J40" i="37"/>
  <c r="AC40" i="37" s="1"/>
  <c r="F40" i="37"/>
  <c r="AA40" i="37" s="1"/>
  <c r="F14" i="33"/>
  <c r="AA14" i="33" s="1"/>
  <c r="H30" i="33"/>
  <c r="AB30" i="33" s="1"/>
  <c r="F30" i="33"/>
  <c r="S30" i="33" s="1"/>
  <c r="J30" i="33"/>
  <c r="H44" i="33"/>
  <c r="U44" i="33" s="1"/>
  <c r="J44" i="33"/>
  <c r="AC44" i="33" s="1"/>
  <c r="F44" i="33"/>
  <c r="S44" i="33" s="1"/>
  <c r="AC46" i="33"/>
  <c r="F46" i="33"/>
  <c r="H13" i="34"/>
  <c r="U13" i="34" s="1"/>
  <c r="J13" i="34"/>
  <c r="W13" i="34"/>
  <c r="F13" i="34"/>
  <c r="AA13" i="34" s="1"/>
  <c r="J29" i="34"/>
  <c r="AC29" i="34" s="1"/>
  <c r="F29" i="34"/>
  <c r="S29" i="34" s="1"/>
  <c r="H29" i="34"/>
  <c r="U29" i="34"/>
  <c r="J31" i="34"/>
  <c r="H31" i="34"/>
  <c r="AB31" i="34" s="1"/>
  <c r="F31" i="34"/>
  <c r="S31" i="34" s="1"/>
  <c r="U45" i="34"/>
  <c r="J45" i="34"/>
  <c r="W45" i="34" s="1"/>
  <c r="F45" i="34"/>
  <c r="AA45" i="34" s="1"/>
  <c r="H47" i="34"/>
  <c r="U47" i="34" s="1"/>
  <c r="F47" i="34"/>
  <c r="AA47" i="34"/>
  <c r="J47" i="34"/>
  <c r="AC47" i="34" s="1"/>
  <c r="F13" i="35"/>
  <c r="S13" i="35" s="1"/>
  <c r="J13" i="35"/>
  <c r="AC13" i="35" s="1"/>
  <c r="H13" i="35"/>
  <c r="U13" i="35"/>
  <c r="J25" i="35"/>
  <c r="F25" i="35"/>
  <c r="AA25" i="35" s="1"/>
  <c r="H25" i="35"/>
  <c r="AB25" i="35" s="1"/>
  <c r="J35" i="35"/>
  <c r="AC35" i="35"/>
  <c r="F35" i="35"/>
  <c r="S35" i="35" s="1"/>
  <c r="H35" i="35"/>
  <c r="J25" i="36"/>
  <c r="W25" i="36" s="1"/>
  <c r="F25" i="36"/>
  <c r="AA25" i="36"/>
  <c r="H25" i="36"/>
  <c r="AB25" i="36" s="1"/>
  <c r="H13" i="37"/>
  <c r="AB13" i="37" s="1"/>
  <c r="F13" i="37"/>
  <c r="S13" i="37" s="1"/>
  <c r="J13" i="37"/>
  <c r="AC13" i="37"/>
  <c r="F28" i="37"/>
  <c r="AA28" i="37" s="1"/>
  <c r="J28" i="37"/>
  <c r="H28" i="37"/>
  <c r="U28" i="37" s="1"/>
  <c r="H38" i="37"/>
  <c r="AB38" i="37"/>
  <c r="J38" i="37"/>
  <c r="AC38" i="37" s="1"/>
  <c r="F38" i="37"/>
  <c r="F14" i="37"/>
  <c r="AA14" i="37" s="1"/>
  <c r="F27" i="37"/>
  <c r="AA27" i="37"/>
  <c r="J14" i="37"/>
  <c r="J27" i="37"/>
  <c r="W27" i="37" s="1"/>
  <c r="W35" i="35"/>
  <c r="AB13" i="35"/>
  <c r="W46" i="33"/>
  <c r="U30" i="33"/>
  <c r="J36" i="37"/>
  <c r="AC36" i="37" s="1"/>
  <c r="AB13" i="21"/>
  <c r="S46" i="21"/>
  <c r="AC30" i="21"/>
  <c r="W30" i="21"/>
  <c r="AB14" i="21"/>
  <c r="W14" i="21"/>
  <c r="W42" i="21"/>
  <c r="U36" i="37"/>
  <c r="AB45" i="33"/>
  <c r="AB31" i="33"/>
  <c r="AB27" i="33"/>
  <c r="S19" i="21"/>
  <c r="G529" i="3"/>
  <c r="G521" i="3"/>
  <c r="G517" i="3"/>
  <c r="G513" i="3"/>
  <c r="G508" i="3"/>
  <c r="G499" i="3"/>
  <c r="G493" i="3"/>
  <c r="G485" i="3"/>
  <c r="G17" i="3"/>
  <c r="G565" i="3"/>
  <c r="G561" i="3"/>
  <c r="G557" i="3"/>
  <c r="G539" i="3"/>
  <c r="BL569" i="3"/>
  <c r="AZ569" i="3"/>
  <c r="BL561" i="3"/>
  <c r="BL557" i="3"/>
  <c r="BL527" i="3"/>
  <c r="BL519" i="3"/>
  <c r="BL511" i="3"/>
  <c r="BL491" i="3"/>
  <c r="BL483" i="3"/>
  <c r="G16" i="3"/>
  <c r="BL563" i="3"/>
  <c r="BL559" i="3"/>
  <c r="AZ559" i="3"/>
  <c r="BL555" i="3"/>
  <c r="BL551" i="3"/>
  <c r="BL541" i="3"/>
  <c r="BL533" i="3"/>
  <c r="G518" i="3"/>
  <c r="G514" i="3"/>
  <c r="G510" i="3"/>
  <c r="BL503" i="3"/>
  <c r="BL485" i="3"/>
  <c r="G18" i="3"/>
  <c r="BA565" i="3"/>
  <c r="BA561" i="3"/>
  <c r="AZ561" i="3"/>
  <c r="BA559" i="3"/>
  <c r="BA545" i="3"/>
  <c r="BA543" i="3"/>
  <c r="AZ543" i="3" s="1"/>
  <c r="BA541" i="3"/>
  <c r="AZ541" i="3"/>
  <c r="BA531" i="3"/>
  <c r="BA501" i="3"/>
  <c r="BA493" i="3"/>
  <c r="AZ493" i="3" s="1"/>
  <c r="BA487" i="3"/>
  <c r="BA19" i="3"/>
  <c r="BA566" i="3"/>
  <c r="BA562" i="3"/>
  <c r="BA560" i="3"/>
  <c r="AZ560" i="3" s="1"/>
  <c r="BA554" i="3"/>
  <c r="BA540" i="3"/>
  <c r="BA536" i="3"/>
  <c r="BA532" i="3"/>
  <c r="AZ532" i="3" s="1"/>
  <c r="BA528" i="3"/>
  <c r="BA524" i="3"/>
  <c r="BA516" i="3"/>
  <c r="BA512" i="3"/>
  <c r="BA508" i="3"/>
  <c r="BA488" i="3"/>
  <c r="BA484" i="3"/>
  <c r="BA20" i="3"/>
  <c r="AZ545" i="3"/>
  <c r="G566" i="3"/>
  <c r="G562" i="3"/>
  <c r="G560" i="3"/>
  <c r="G558" i="3"/>
  <c r="G556" i="3"/>
  <c r="G554" i="3"/>
  <c r="G550" i="3"/>
  <c r="G546" i="3"/>
  <c r="BL543" i="3"/>
  <c r="AC542" i="3"/>
  <c r="G542" i="3"/>
  <c r="BQ542" i="3"/>
  <c r="BL542" i="3" s="1"/>
  <c r="AZ542" i="3" s="1"/>
  <c r="BQ568" i="3"/>
  <c r="BQ566" i="3"/>
  <c r="BQ564" i="3"/>
  <c r="BL564" i="3" s="1"/>
  <c r="BQ562" i="3"/>
  <c r="BL562" i="3"/>
  <c r="AZ562" i="3" s="1"/>
  <c r="BQ560" i="3"/>
  <c r="BL560" i="3" s="1"/>
  <c r="BQ558" i="3"/>
  <c r="BQ556" i="3"/>
  <c r="BL556" i="3"/>
  <c r="AZ556" i="3" s="1"/>
  <c r="BQ554" i="3"/>
  <c r="BQ552" i="3"/>
  <c r="BL552" i="3" s="1"/>
  <c r="BQ550" i="3"/>
  <c r="BQ548" i="3"/>
  <c r="BQ546" i="3"/>
  <c r="BL546" i="3" s="1"/>
  <c r="AZ546" i="3" s="1"/>
  <c r="BQ544" i="3"/>
  <c r="BL544" i="3"/>
  <c r="G544" i="3"/>
  <c r="G534" i="3"/>
  <c r="G530" i="3"/>
  <c r="G526" i="3"/>
  <c r="G522" i="3"/>
  <c r="BQ540" i="3"/>
  <c r="BL540" i="3" s="1"/>
  <c r="BQ538" i="3"/>
  <c r="BL538" i="3" s="1"/>
  <c r="BQ536" i="3"/>
  <c r="BQ534" i="3"/>
  <c r="BL534" i="3" s="1"/>
  <c r="BQ532" i="3"/>
  <c r="BL532" i="3"/>
  <c r="BQ530" i="3"/>
  <c r="BQ528" i="3"/>
  <c r="BQ526" i="3"/>
  <c r="BL526" i="3" s="1"/>
  <c r="BQ524" i="3"/>
  <c r="BL524" i="3"/>
  <c r="BQ522" i="3"/>
  <c r="BQ520" i="3"/>
  <c r="BL520" i="3" s="1"/>
  <c r="BQ518" i="3"/>
  <c r="BQ516" i="3"/>
  <c r="BL516" i="3" s="1"/>
  <c r="AZ516" i="3" s="1"/>
  <c r="BQ514" i="3"/>
  <c r="BL514" i="3" s="1"/>
  <c r="BQ512" i="3"/>
  <c r="BQ510" i="3"/>
  <c r="BL510" i="3" s="1"/>
  <c r="BQ508" i="3"/>
  <c r="AC506" i="3"/>
  <c r="G506" i="3"/>
  <c r="BQ506" i="3"/>
  <c r="G502" i="3"/>
  <c r="G498" i="3"/>
  <c r="BQ504" i="3"/>
  <c r="BQ502" i="3"/>
  <c r="BL502" i="3" s="1"/>
  <c r="BQ500" i="3"/>
  <c r="BL500" i="3"/>
  <c r="BQ498" i="3"/>
  <c r="BQ496" i="3"/>
  <c r="AC494" i="3"/>
  <c r="AC5" i="3" s="1"/>
  <c r="BQ494" i="3"/>
  <c r="G488" i="3"/>
  <c r="G484" i="3"/>
  <c r="G20" i="3"/>
  <c r="BQ492" i="3"/>
  <c r="BL492" i="3"/>
  <c r="BQ490" i="3"/>
  <c r="BQ488" i="3"/>
  <c r="BL488" i="3" s="1"/>
  <c r="AZ488" i="3" s="1"/>
  <c r="BQ486" i="3"/>
  <c r="BQ484" i="3"/>
  <c r="BL484" i="3"/>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c r="H17" i="37"/>
  <c r="U17" i="37" s="1"/>
  <c r="F23" i="37"/>
  <c r="S23" i="37" s="1"/>
  <c r="F79" i="37"/>
  <c r="G79" i="37" s="1"/>
  <c r="AB27" i="37"/>
  <c r="F39" i="33"/>
  <c r="S39" i="33" s="1"/>
  <c r="AA39" i="33"/>
  <c r="E123" i="33"/>
  <c r="F42" i="33"/>
  <c r="AA42" i="33"/>
  <c r="H28" i="34"/>
  <c r="AB28" i="34"/>
  <c r="F22" i="36"/>
  <c r="S22" i="36" s="1"/>
  <c r="H35" i="34"/>
  <c r="U35" i="34" s="1"/>
  <c r="F41" i="34"/>
  <c r="S41" i="34"/>
  <c r="H41" i="34"/>
  <c r="U41" i="34"/>
  <c r="J41" i="34"/>
  <c r="F10" i="35"/>
  <c r="AA10" i="35" s="1"/>
  <c r="H23" i="37"/>
  <c r="AB23" i="37" s="1"/>
  <c r="J32" i="37"/>
  <c r="AC32" i="37"/>
  <c r="F36" i="37"/>
  <c r="S36" i="37" s="1"/>
  <c r="F37" i="37"/>
  <c r="AA37" i="37"/>
  <c r="F123" i="33"/>
  <c r="G123" i="33" s="1"/>
  <c r="H123" i="33" s="1"/>
  <c r="I123" i="33" s="1"/>
  <c r="J123" i="33" s="1"/>
  <c r="K123" i="33" s="1"/>
  <c r="L123" i="33" s="1"/>
  <c r="M123" i="33" s="1"/>
  <c r="H42" i="33"/>
  <c r="U42" i="33"/>
  <c r="J43" i="33"/>
  <c r="AC43" i="33" s="1"/>
  <c r="J23" i="37"/>
  <c r="W23" i="37" s="1"/>
  <c r="F17" i="37"/>
  <c r="AA17" i="37" s="1"/>
  <c r="AB43" i="33"/>
  <c r="D3" i="21"/>
  <c r="AC12" i="35"/>
  <c r="W23" i="35"/>
  <c r="AC23" i="37"/>
  <c r="S27" i="37"/>
  <c r="AC8" i="37"/>
  <c r="S25" i="37"/>
  <c r="AC36" i="34"/>
  <c r="AB8" i="34"/>
  <c r="AC37" i="33"/>
  <c r="AA13" i="33"/>
  <c r="AC45" i="33"/>
  <c r="U19" i="21"/>
  <c r="AC33" i="21"/>
  <c r="F43" i="33"/>
  <c r="AA43" i="33"/>
  <c r="AA23" i="37"/>
  <c r="S10" i="35"/>
  <c r="G107" i="37"/>
  <c r="H107" i="37" s="1"/>
  <c r="I107" i="37" s="1"/>
  <c r="J107" i="37" s="1"/>
  <c r="K107" i="37"/>
  <c r="L107" i="37" s="1"/>
  <c r="M107" i="37" s="1"/>
  <c r="AA9" i="21"/>
  <c r="F37" i="21"/>
  <c r="S37" i="21" s="1"/>
  <c r="J37" i="21"/>
  <c r="W37" i="21" s="1"/>
  <c r="H19" i="34"/>
  <c r="AB19" i="34" s="1"/>
  <c r="J10" i="37"/>
  <c r="F36" i="35"/>
  <c r="S36" i="35" s="1"/>
  <c r="J9" i="37"/>
  <c r="W9" i="37" s="1"/>
  <c r="H9" i="37"/>
  <c r="U9" i="37"/>
  <c r="F9" i="37"/>
  <c r="S9" i="37" s="1"/>
  <c r="F11" i="37"/>
  <c r="S11" i="37" s="1"/>
  <c r="J12" i="37"/>
  <c r="AC12" i="37" s="1"/>
  <c r="H12" i="37"/>
  <c r="U12" i="37" s="1"/>
  <c r="F12" i="37"/>
  <c r="AA12" i="37"/>
  <c r="H15" i="37"/>
  <c r="U15" i="37" s="1"/>
  <c r="E94" i="37"/>
  <c r="F31" i="37"/>
  <c r="S31" i="37"/>
  <c r="F94" i="37"/>
  <c r="G94" i="37" s="1"/>
  <c r="H94" i="37" s="1"/>
  <c r="I94" i="37" s="1"/>
  <c r="J94" i="37" s="1"/>
  <c r="K94" i="37" s="1"/>
  <c r="L94" i="37" s="1"/>
  <c r="M94" i="37" s="1"/>
  <c r="H31" i="37"/>
  <c r="AB31" i="37"/>
  <c r="J15" i="37"/>
  <c r="W15" i="37"/>
  <c r="AB10" i="37"/>
  <c r="J11" i="37"/>
  <c r="W11" i="37"/>
  <c r="U31" i="37"/>
  <c r="E90" i="40"/>
  <c r="F90" i="40" s="1"/>
  <c r="F21" i="40"/>
  <c r="S21" i="40" s="1"/>
  <c r="W36" i="40"/>
  <c r="U40" i="39"/>
  <c r="J21" i="40"/>
  <c r="AC21" i="40" s="1"/>
  <c r="G90" i="40"/>
  <c r="S27" i="31"/>
  <c r="G515" i="3"/>
  <c r="G507" i="3"/>
  <c r="G501" i="3"/>
  <c r="BA15" i="3"/>
  <c r="BL17" i="3"/>
  <c r="BL15" i="3"/>
  <c r="BA14" i="3"/>
  <c r="AZ14" i="3" s="1"/>
  <c r="J57" i="39"/>
  <c r="H13" i="40"/>
  <c r="U13" i="40"/>
  <c r="I4" i="4"/>
  <c r="K141" i="21"/>
  <c r="K143" i="21"/>
  <c r="K144" i="21"/>
  <c r="I59" i="40"/>
  <c r="C59" i="40" s="1"/>
  <c r="I60" i="40"/>
  <c r="C60" i="40" s="1"/>
  <c r="G297" i="3"/>
  <c r="BL298" i="3"/>
  <c r="G299" i="3"/>
  <c r="BL300" i="3"/>
  <c r="BA302" i="3"/>
  <c r="AZ302" i="3" s="1"/>
  <c r="BA303" i="3"/>
  <c r="BL303" i="3"/>
  <c r="G304" i="3"/>
  <c r="BA305" i="3"/>
  <c r="AZ305" i="3" s="1"/>
  <c r="G321" i="3"/>
  <c r="BL322" i="3"/>
  <c r="G323" i="3"/>
  <c r="BL324" i="3"/>
  <c r="BA326" i="3"/>
  <c r="AZ326" i="3" s="1"/>
  <c r="BA327" i="3"/>
  <c r="AZ327" i="3" s="1"/>
  <c r="BL327" i="3"/>
  <c r="G328" i="3"/>
  <c r="BA329" i="3"/>
  <c r="AZ329" i="3"/>
  <c r="G337" i="3"/>
  <c r="BL338" i="3"/>
  <c r="AZ338" i="3" s="1"/>
  <c r="G339" i="3"/>
  <c r="BL340" i="3"/>
  <c r="BA342" i="3"/>
  <c r="AZ342" i="3" s="1"/>
  <c r="BA343" i="3"/>
  <c r="BL343" i="3"/>
  <c r="AZ343" i="3" s="1"/>
  <c r="G344" i="3"/>
  <c r="BA345" i="3"/>
  <c r="AZ345" i="3" s="1"/>
  <c r="G353" i="3"/>
  <c r="BL354" i="3"/>
  <c r="G355" i="3"/>
  <c r="BL356" i="3"/>
  <c r="G357" i="3"/>
  <c r="BL358" i="3"/>
  <c r="AZ358" i="3"/>
  <c r="G359" i="3"/>
  <c r="BA360" i="3"/>
  <c r="AZ360" i="3" s="1"/>
  <c r="BA361" i="3"/>
  <c r="BL361" i="3"/>
  <c r="AZ361" i="3" s="1"/>
  <c r="G362" i="3"/>
  <c r="BA363" i="3"/>
  <c r="AZ363" i="3" s="1"/>
  <c r="G371" i="3"/>
  <c r="BL372" i="3"/>
  <c r="AZ372" i="3" s="1"/>
  <c r="G373" i="3"/>
  <c r="BL374" i="3"/>
  <c r="BA376" i="3"/>
  <c r="BA377" i="3"/>
  <c r="AZ377" i="3" s="1"/>
  <c r="BL377" i="3"/>
  <c r="G378" i="3"/>
  <c r="BA379" i="3"/>
  <c r="AZ379" i="3" s="1"/>
  <c r="BA114" i="3"/>
  <c r="AZ114" i="3" s="1"/>
  <c r="BL115" i="3"/>
  <c r="AZ115" i="3"/>
  <c r="G116" i="3"/>
  <c r="BA118" i="3"/>
  <c r="AZ118" i="3" s="1"/>
  <c r="BL119" i="3"/>
  <c r="AZ119" i="3" s="1"/>
  <c r="G120" i="3"/>
  <c r="BA122" i="3"/>
  <c r="AZ122" i="3" s="1"/>
  <c r="BL123" i="3"/>
  <c r="AZ123" i="3" s="1"/>
  <c r="G124" i="3"/>
  <c r="BA126" i="3"/>
  <c r="AZ126" i="3" s="1"/>
  <c r="BL127" i="3"/>
  <c r="G128" i="3"/>
  <c r="BA130" i="3"/>
  <c r="AZ130" i="3" s="1"/>
  <c r="BL131" i="3"/>
  <c r="AZ131" i="3" s="1"/>
  <c r="G132" i="3"/>
  <c r="BA134" i="3"/>
  <c r="AZ134" i="3" s="1"/>
  <c r="BL135" i="3"/>
  <c r="AZ135" i="3" s="1"/>
  <c r="G136" i="3"/>
  <c r="BA138" i="3"/>
  <c r="BL139" i="3"/>
  <c r="AZ139" i="3" s="1"/>
  <c r="G140" i="3"/>
  <c r="BA142" i="3"/>
  <c r="AZ142" i="3"/>
  <c r="BL143" i="3"/>
  <c r="AZ143" i="3" s="1"/>
  <c r="G144" i="3"/>
  <c r="BA146" i="3"/>
  <c r="AZ146" i="3" s="1"/>
  <c r="BL147" i="3"/>
  <c r="AZ147" i="3" s="1"/>
  <c r="G148" i="3"/>
  <c r="BA150" i="3"/>
  <c r="AZ150" i="3" s="1"/>
  <c r="BL151" i="3"/>
  <c r="AZ151" i="3" s="1"/>
  <c r="BA153" i="3"/>
  <c r="AZ153" i="3" s="1"/>
  <c r="BL154" i="3"/>
  <c r="G155" i="3"/>
  <c r="BA157" i="3"/>
  <c r="AZ157" i="3" s="1"/>
  <c r="BL158" i="3"/>
  <c r="G159" i="3"/>
  <c r="BA161" i="3"/>
  <c r="BL162" i="3"/>
  <c r="G163" i="3"/>
  <c r="BA165" i="3"/>
  <c r="AZ165" i="3" s="1"/>
  <c r="BL166" i="3"/>
  <c r="G167" i="3"/>
  <c r="BA169" i="3"/>
  <c r="AZ169" i="3" s="1"/>
  <c r="BL170" i="3"/>
  <c r="G171" i="3"/>
  <c r="BA173" i="3"/>
  <c r="AZ173" i="3"/>
  <c r="BL174" i="3"/>
  <c r="G175" i="3"/>
  <c r="BA178" i="3"/>
  <c r="AZ178" i="3" s="1"/>
  <c r="BL179" i="3"/>
  <c r="G180" i="3"/>
  <c r="AZ23" i="3"/>
  <c r="AZ27" i="3"/>
  <c r="AZ39" i="3"/>
  <c r="AZ43" i="3"/>
  <c r="AZ55" i="3"/>
  <c r="G537" i="3"/>
  <c r="BL181" i="3"/>
  <c r="G182" i="3"/>
  <c r="BA184" i="3"/>
  <c r="AZ184" i="3"/>
  <c r="BL185" i="3"/>
  <c r="AZ185" i="3" s="1"/>
  <c r="G186" i="3"/>
  <c r="BA188" i="3"/>
  <c r="AZ188" i="3" s="1"/>
  <c r="BL189" i="3"/>
  <c r="G190" i="3"/>
  <c r="BA192" i="3"/>
  <c r="BL193" i="3"/>
  <c r="G194" i="3"/>
  <c r="BA196" i="3"/>
  <c r="AZ196" i="3" s="1"/>
  <c r="BL197" i="3"/>
  <c r="G198" i="3"/>
  <c r="BA200" i="3"/>
  <c r="AZ200" i="3"/>
  <c r="BL201" i="3"/>
  <c r="AZ74" i="3"/>
  <c r="AZ201" i="3"/>
  <c r="AZ98" i="3"/>
  <c r="AZ102" i="3"/>
  <c r="AZ106" i="3"/>
  <c r="G491" i="3"/>
  <c r="BA298" i="3"/>
  <c r="AZ298" i="3" s="1"/>
  <c r="BA299" i="3"/>
  <c r="BL299" i="3"/>
  <c r="AZ299" i="3" s="1"/>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s="1"/>
  <c r="BA347" i="3"/>
  <c r="AZ347" i="3" s="1"/>
  <c r="BL347" i="3"/>
  <c r="G348" i="3"/>
  <c r="G351" i="3"/>
  <c r="BL352" i="3"/>
  <c r="BA354" i="3"/>
  <c r="AZ354" i="3" s="1"/>
  <c r="BA355" i="3"/>
  <c r="AZ355" i="3" s="1"/>
  <c r="BL355" i="3"/>
  <c r="G356" i="3"/>
  <c r="BA358" i="3"/>
  <c r="BA359" i="3"/>
  <c r="BL359" i="3"/>
  <c r="AZ359" i="3" s="1"/>
  <c r="G360" i="3"/>
  <c r="G361" i="3"/>
  <c r="BL362" i="3"/>
  <c r="BA364" i="3"/>
  <c r="AZ364" i="3"/>
  <c r="BA365" i="3"/>
  <c r="AZ365" i="3"/>
  <c r="BL365" i="3"/>
  <c r="G366" i="3"/>
  <c r="G369" i="3"/>
  <c r="BL370" i="3"/>
  <c r="BA372" i="3"/>
  <c r="BA373" i="3"/>
  <c r="BL373" i="3"/>
  <c r="AZ373" i="3" s="1"/>
  <c r="G374" i="3"/>
  <c r="G377" i="3"/>
  <c r="BL378" i="3"/>
  <c r="BA380" i="3"/>
  <c r="AZ380" i="3"/>
  <c r="BA381" i="3"/>
  <c r="AZ381" i="3"/>
  <c r="BL381" i="3"/>
  <c r="G382" i="3"/>
  <c r="G385" i="3"/>
  <c r="AZ170" i="3"/>
  <c r="AZ174" i="3"/>
  <c r="AZ179" i="3"/>
  <c r="AZ183" i="3"/>
  <c r="AZ187" i="3"/>
  <c r="AZ191" i="3"/>
  <c r="AZ195" i="3"/>
  <c r="AZ199" i="3"/>
  <c r="AZ203" i="3"/>
  <c r="G523" i="3"/>
  <c r="BL297" i="3"/>
  <c r="G298" i="3"/>
  <c r="BA300" i="3"/>
  <c r="BL301" i="3"/>
  <c r="G302" i="3"/>
  <c r="BA304" i="3"/>
  <c r="AZ304" i="3" s="1"/>
  <c r="BL305" i="3"/>
  <c r="G306" i="3"/>
  <c r="BA308" i="3"/>
  <c r="BL309" i="3"/>
  <c r="AZ309" i="3" s="1"/>
  <c r="G310" i="3"/>
  <c r="BA310" i="3"/>
  <c r="BL311" i="3"/>
  <c r="G312" i="3"/>
  <c r="BA312" i="3"/>
  <c r="BL313" i="3"/>
  <c r="G314" i="3"/>
  <c r="BA314" i="3"/>
  <c r="AZ314" i="3" s="1"/>
  <c r="BL315" i="3"/>
  <c r="G316" i="3"/>
  <c r="BA316" i="3"/>
  <c r="BL317" i="3"/>
  <c r="AZ317" i="3" s="1"/>
  <c r="G318" i="3"/>
  <c r="BA320" i="3"/>
  <c r="AZ320" i="3" s="1"/>
  <c r="BL321" i="3"/>
  <c r="G322" i="3"/>
  <c r="BA324" i="3"/>
  <c r="AZ324" i="3"/>
  <c r="BL325" i="3"/>
  <c r="G326" i="3"/>
  <c r="BA328" i="3"/>
  <c r="BL329" i="3"/>
  <c r="G330" i="3"/>
  <c r="BA332" i="3"/>
  <c r="BL333" i="3"/>
  <c r="G334" i="3"/>
  <c r="BA336" i="3"/>
  <c r="AZ336" i="3" s="1"/>
  <c r="BL337" i="3"/>
  <c r="G338" i="3"/>
  <c r="BA340" i="3"/>
  <c r="AZ340" i="3"/>
  <c r="BL341" i="3"/>
  <c r="G342" i="3"/>
  <c r="BA344" i="3"/>
  <c r="AZ344" i="3" s="1"/>
  <c r="BL345" i="3"/>
  <c r="G346" i="3"/>
  <c r="BA348" i="3"/>
  <c r="BL349" i="3"/>
  <c r="AZ349" i="3" s="1"/>
  <c r="G350" i="3"/>
  <c r="BA352" i="3"/>
  <c r="AZ352" i="3" s="1"/>
  <c r="BL353" i="3"/>
  <c r="G354" i="3"/>
  <c r="BA356" i="3"/>
  <c r="AZ356" i="3"/>
  <c r="BL357" i="3"/>
  <c r="G358" i="3"/>
  <c r="BA362" i="3"/>
  <c r="AZ362" i="3" s="1"/>
  <c r="BL363" i="3"/>
  <c r="G364" i="3"/>
  <c r="BA366" i="3"/>
  <c r="BL367" i="3"/>
  <c r="AZ213" i="3"/>
  <c r="AZ217" i="3"/>
  <c r="AZ221" i="3"/>
  <c r="AZ233" i="3"/>
  <c r="AZ237" i="3"/>
  <c r="AZ241" i="3"/>
  <c r="AZ245" i="3"/>
  <c r="AZ321" i="3"/>
  <c r="AZ337" i="3"/>
  <c r="AZ353" i="3"/>
  <c r="G368" i="3"/>
  <c r="BA370" i="3"/>
  <c r="AZ370" i="3" s="1"/>
  <c r="BL371" i="3"/>
  <c r="AZ371" i="3" s="1"/>
  <c r="G372" i="3"/>
  <c r="BA374" i="3"/>
  <c r="AZ374" i="3"/>
  <c r="BL375" i="3"/>
  <c r="G376" i="3"/>
  <c r="BA378" i="3"/>
  <c r="AZ378" i="3" s="1"/>
  <c r="BL379" i="3"/>
  <c r="G380" i="3"/>
  <c r="BA382" i="3"/>
  <c r="BL383" i="3"/>
  <c r="G384" i="3"/>
  <c r="AZ249" i="3"/>
  <c r="AZ253" i="3"/>
  <c r="AZ257" i="3"/>
  <c r="AZ261" i="3"/>
  <c r="AZ265" i="3"/>
  <c r="AZ383" i="3"/>
  <c r="AZ270" i="3"/>
  <c r="AZ274" i="3"/>
  <c r="AZ278" i="3"/>
  <c r="AZ286" i="3"/>
  <c r="AZ290" i="3"/>
  <c r="AZ295" i="3"/>
  <c r="AZ311" i="3"/>
  <c r="AZ331" i="3"/>
  <c r="AZ339" i="3"/>
  <c r="AZ385" i="3"/>
  <c r="AZ390" i="3"/>
  <c r="AZ394" i="3"/>
  <c r="AZ398" i="3"/>
  <c r="AZ410" i="3"/>
  <c r="AZ414" i="3"/>
  <c r="AZ418" i="3"/>
  <c r="AZ422" i="3"/>
  <c r="AZ426" i="3"/>
  <c r="AZ430" i="3"/>
  <c r="AZ434" i="3"/>
  <c r="AZ438" i="3"/>
  <c r="AZ442" i="3"/>
  <c r="AZ450" i="3"/>
  <c r="AZ455" i="3"/>
  <c r="AZ459" i="3"/>
  <c r="AZ463" i="3"/>
  <c r="AZ475" i="3"/>
  <c r="AZ479" i="3"/>
  <c r="H7" i="48"/>
  <c r="F33" i="46"/>
  <c r="H16" i="48"/>
  <c r="H9" i="48"/>
  <c r="H8" i="48"/>
  <c r="C12" i="46"/>
  <c r="AB16" i="35"/>
  <c r="AA43" i="21"/>
  <c r="U43" i="21"/>
  <c r="AA13" i="40"/>
  <c r="E78" i="40"/>
  <c r="F78" i="40"/>
  <c r="G78" i="40" s="1"/>
  <c r="H78" i="40" s="1"/>
  <c r="I78" i="40" s="1"/>
  <c r="J78" i="40" s="1"/>
  <c r="K78" i="40" s="1"/>
  <c r="L78" i="40" s="1"/>
  <c r="M78" i="40" s="1"/>
  <c r="R16" i="4"/>
  <c r="P16" i="4"/>
  <c r="D3" i="35"/>
  <c r="G4" i="4"/>
  <c r="S37" i="34"/>
  <c r="J16" i="35"/>
  <c r="W16" i="35" s="1"/>
  <c r="U42" i="21"/>
  <c r="AC26" i="36"/>
  <c r="AZ300" i="3"/>
  <c r="AZ322" i="3"/>
  <c r="H13" i="39"/>
  <c r="AB13" i="39" s="1"/>
  <c r="F13" i="39"/>
  <c r="J13" i="39"/>
  <c r="AC13" i="39"/>
  <c r="H11" i="37"/>
  <c r="AB11" i="37" s="1"/>
  <c r="W37" i="37"/>
  <c r="AA30" i="33"/>
  <c r="AA36" i="37"/>
  <c r="S42" i="33"/>
  <c r="U32" i="33"/>
  <c r="AZ508" i="3"/>
  <c r="AC29" i="33"/>
  <c r="AA45" i="33"/>
  <c r="AC11" i="36"/>
  <c r="AC10" i="36"/>
  <c r="S25" i="35"/>
  <c r="AC30" i="33"/>
  <c r="W30" i="33"/>
  <c r="AC29" i="37"/>
  <c r="W32" i="36"/>
  <c r="J33" i="34"/>
  <c r="AC33" i="34" s="1"/>
  <c r="AB36" i="34"/>
  <c r="J40" i="34"/>
  <c r="W40" i="34" s="1"/>
  <c r="F16" i="35"/>
  <c r="AA16" i="35" s="1"/>
  <c r="W42" i="33"/>
  <c r="J35" i="34"/>
  <c r="W35" i="34"/>
  <c r="F107" i="34"/>
  <c r="G107" i="34" s="1"/>
  <c r="H107" i="34" s="1"/>
  <c r="I107" i="34" s="1"/>
  <c r="J107" i="34"/>
  <c r="K107" i="34" s="1"/>
  <c r="L107" i="34" s="1"/>
  <c r="M107" i="34" s="1"/>
  <c r="S30" i="36"/>
  <c r="H16" i="36"/>
  <c r="AB16" i="36" s="1"/>
  <c r="H103" i="37"/>
  <c r="I103" i="37" s="1"/>
  <c r="J103" i="37" s="1"/>
  <c r="K103" i="37" s="1"/>
  <c r="L103" i="37" s="1"/>
  <c r="M103" i="37" s="1"/>
  <c r="H35" i="37"/>
  <c r="AB35" i="37" s="1"/>
  <c r="S26" i="21"/>
  <c r="AB12" i="21"/>
  <c r="H32" i="21"/>
  <c r="U32" i="21"/>
  <c r="AB26" i="21"/>
  <c r="U26" i="21"/>
  <c r="U39" i="21"/>
  <c r="W9" i="21"/>
  <c r="J32" i="21"/>
  <c r="AC32" i="21"/>
  <c r="F17" i="21"/>
  <c r="S17" i="21" s="1"/>
  <c r="H17" i="21"/>
  <c r="AB17" i="21" s="1"/>
  <c r="J17" i="21"/>
  <c r="AC17" i="21" s="1"/>
  <c r="H37" i="21"/>
  <c r="U37" i="21" s="1"/>
  <c r="F40" i="21"/>
  <c r="S40" i="21" s="1"/>
  <c r="H40" i="21"/>
  <c r="AB40" i="21"/>
  <c r="E119" i="21"/>
  <c r="F119" i="21" s="1"/>
  <c r="G119" i="21" s="1"/>
  <c r="H119" i="21"/>
  <c r="I119" i="21" s="1"/>
  <c r="J119" i="21" s="1"/>
  <c r="K119" i="21" s="1"/>
  <c r="L119" i="21" s="1"/>
  <c r="M119" i="21" s="1"/>
  <c r="AA8" i="33"/>
  <c r="S8" i="33"/>
  <c r="AC8" i="33"/>
  <c r="F10" i="33"/>
  <c r="AA10" i="33"/>
  <c r="F11" i="33"/>
  <c r="S11" i="33"/>
  <c r="J15" i="33"/>
  <c r="W15" i="33"/>
  <c r="H19" i="33"/>
  <c r="AB19" i="33" s="1"/>
  <c r="F32" i="33"/>
  <c r="AA32" i="33"/>
  <c r="J32" i="33"/>
  <c r="F35" i="33"/>
  <c r="AA35" i="33" s="1"/>
  <c r="AB39" i="34"/>
  <c r="F11" i="34"/>
  <c r="S11" i="34" s="1"/>
  <c r="E80" i="34"/>
  <c r="F80" i="34" s="1"/>
  <c r="H17" i="34"/>
  <c r="S12" i="35"/>
  <c r="AB28" i="35"/>
  <c r="U28" i="35"/>
  <c r="J13" i="33"/>
  <c r="W13" i="33"/>
  <c r="H13" i="33"/>
  <c r="U13" i="33"/>
  <c r="H29" i="33"/>
  <c r="AB29" i="33" s="1"/>
  <c r="F29" i="33"/>
  <c r="AA29" i="33"/>
  <c r="J12" i="34"/>
  <c r="AC12" i="34" s="1"/>
  <c r="H12" i="34"/>
  <c r="AB12" i="34" s="1"/>
  <c r="F12" i="34"/>
  <c r="S12" i="34" s="1"/>
  <c r="J14" i="34"/>
  <c r="W14" i="34"/>
  <c r="F14" i="34"/>
  <c r="S14" i="34" s="1"/>
  <c r="H14" i="34"/>
  <c r="AB14" i="34"/>
  <c r="H30" i="34"/>
  <c r="AB30" i="34" s="1"/>
  <c r="F30" i="34"/>
  <c r="S30" i="34"/>
  <c r="J30" i="34"/>
  <c r="W30" i="34" s="1"/>
  <c r="H32" i="34"/>
  <c r="AB32" i="34" s="1"/>
  <c r="F32" i="34"/>
  <c r="J32" i="34"/>
  <c r="W32" i="34"/>
  <c r="H46" i="34"/>
  <c r="AB46" i="34"/>
  <c r="F46" i="34"/>
  <c r="AA46" i="34" s="1"/>
  <c r="J46" i="34"/>
  <c r="AC46" i="34" s="1"/>
  <c r="H11" i="35"/>
  <c r="J11" i="35"/>
  <c r="AC11" i="35"/>
  <c r="F96" i="37"/>
  <c r="H32" i="37"/>
  <c r="AB32" i="37" s="1"/>
  <c r="F19" i="39"/>
  <c r="S19" i="39" s="1"/>
  <c r="H19" i="39"/>
  <c r="J19" i="39"/>
  <c r="W19" i="39" s="1"/>
  <c r="F43" i="39"/>
  <c r="H43" i="39"/>
  <c r="U43" i="39"/>
  <c r="J43" i="39"/>
  <c r="W43" i="39" s="1"/>
  <c r="F99" i="37"/>
  <c r="AC27" i="37"/>
  <c r="U25" i="35"/>
  <c r="S45" i="34"/>
  <c r="U31" i="34"/>
  <c r="W40" i="37"/>
  <c r="W27" i="33"/>
  <c r="AA44" i="34"/>
  <c r="AB29" i="35"/>
  <c r="U29" i="35"/>
  <c r="AC19" i="33"/>
  <c r="W19" i="33"/>
  <c r="AB43" i="34"/>
  <c r="S35" i="37"/>
  <c r="AA35" i="37"/>
  <c r="AB10" i="35"/>
  <c r="AA32" i="21"/>
  <c r="S32" i="21"/>
  <c r="U38" i="21"/>
  <c r="AB34" i="21"/>
  <c r="BL571" i="3"/>
  <c r="BA571" i="3"/>
  <c r="AZ571" i="3"/>
  <c r="BL570" i="3"/>
  <c r="BE5" i="3"/>
  <c r="F42" i="21"/>
  <c r="AA42" i="21"/>
  <c r="AB40" i="33"/>
  <c r="U40" i="33"/>
  <c r="AA35" i="34"/>
  <c r="S35" i="34"/>
  <c r="E90" i="34"/>
  <c r="H27" i="34"/>
  <c r="AB27" i="34" s="1"/>
  <c r="AB8" i="35"/>
  <c r="U8"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s="1"/>
  <c r="F26" i="36"/>
  <c r="S26" i="36" s="1"/>
  <c r="U34" i="36"/>
  <c r="AB34" i="36"/>
  <c r="H33" i="36"/>
  <c r="U33" i="36"/>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AA33" i="39" s="1"/>
  <c r="H33" i="39"/>
  <c r="U33" i="39" s="1"/>
  <c r="J33" i="39"/>
  <c r="AC33" i="39" s="1"/>
  <c r="F44" i="39"/>
  <c r="S44" i="39"/>
  <c r="H44" i="39"/>
  <c r="U44" i="39"/>
  <c r="J44" i="39"/>
  <c r="W44" i="39" s="1"/>
  <c r="E128" i="39"/>
  <c r="F128" i="39"/>
  <c r="G128" i="39" s="1"/>
  <c r="H128" i="39"/>
  <c r="I128" i="39" s="1"/>
  <c r="J128" i="39" s="1"/>
  <c r="K128" i="39" s="1"/>
  <c r="L128" i="39" s="1"/>
  <c r="M128" i="39" s="1"/>
  <c r="F46" i="39"/>
  <c r="S46" i="39" s="1"/>
  <c r="H46" i="39"/>
  <c r="U46" i="39" s="1"/>
  <c r="J46" i="39"/>
  <c r="W46" i="39" s="1"/>
  <c r="F29" i="39"/>
  <c r="AA29" i="39" s="1"/>
  <c r="E103" i="39"/>
  <c r="F103" i="39" s="1"/>
  <c r="G103" i="39" s="1"/>
  <c r="H29" i="39"/>
  <c r="U29" i="39"/>
  <c r="F34" i="39"/>
  <c r="AA34" i="39" s="1"/>
  <c r="H34" i="39"/>
  <c r="AB34" i="39"/>
  <c r="J34" i="39"/>
  <c r="AC34" i="39"/>
  <c r="F39" i="39"/>
  <c r="H39" i="39"/>
  <c r="AB39" i="39" s="1"/>
  <c r="J39" i="39"/>
  <c r="AC39" i="39" s="1"/>
  <c r="J29" i="35"/>
  <c r="AC29" i="35"/>
  <c r="F29" i="35"/>
  <c r="S29" i="35"/>
  <c r="W30" i="36"/>
  <c r="AC30" i="36"/>
  <c r="F37" i="39"/>
  <c r="S37" i="39" s="1"/>
  <c r="H37" i="39"/>
  <c r="U37" i="39"/>
  <c r="J37" i="39"/>
  <c r="W37" i="39"/>
  <c r="BL568" i="3"/>
  <c r="BA568" i="3"/>
  <c r="AZ568" i="3"/>
  <c r="BL567" i="3"/>
  <c r="BA567" i="3"/>
  <c r="AZ567" i="3"/>
  <c r="BL566" i="3"/>
  <c r="AZ566" i="3"/>
  <c r="BL565" i="3"/>
  <c r="AZ565" i="3"/>
  <c r="BA564" i="3"/>
  <c r="AZ564" i="3" s="1"/>
  <c r="BA563" i="3"/>
  <c r="AZ563" i="3"/>
  <c r="BL554" i="3"/>
  <c r="AZ554" i="3"/>
  <c r="BA553" i="3"/>
  <c r="AZ553" i="3"/>
  <c r="BA552" i="3"/>
  <c r="AZ552" i="3" s="1"/>
  <c r="BL549" i="3"/>
  <c r="BA549" i="3"/>
  <c r="BL548" i="3"/>
  <c r="BA548" i="3"/>
  <c r="AZ548" i="3" s="1"/>
  <c r="BL547" i="3"/>
  <c r="BA547" i="3"/>
  <c r="BL539" i="3"/>
  <c r="BA539" i="3"/>
  <c r="BA538" i="3"/>
  <c r="AZ538" i="3" s="1"/>
  <c r="BL537" i="3"/>
  <c r="AZ537" i="3" s="1"/>
  <c r="BA537" i="3"/>
  <c r="BL536" i="3"/>
  <c r="AZ536" i="3" s="1"/>
  <c r="BA535" i="3"/>
  <c r="BA534" i="3"/>
  <c r="AZ534" i="3" s="1"/>
  <c r="BA533" i="3"/>
  <c r="AZ533" i="3" s="1"/>
  <c r="BL531" i="3"/>
  <c r="AZ531" i="3" s="1"/>
  <c r="BL530" i="3"/>
  <c r="BA530" i="3"/>
  <c r="BL529" i="3"/>
  <c r="BA529" i="3"/>
  <c r="BL528" i="3"/>
  <c r="AZ528" i="3" s="1"/>
  <c r="BA527" i="3"/>
  <c r="AZ527" i="3"/>
  <c r="BA526" i="3"/>
  <c r="AZ526" i="3" s="1"/>
  <c r="BA525" i="3"/>
  <c r="AZ525" i="3" s="1"/>
  <c r="BL523" i="3"/>
  <c r="AZ523" i="3" s="1"/>
  <c r="BA523" i="3"/>
  <c r="BL522" i="3"/>
  <c r="BA522" i="3"/>
  <c r="BL521" i="3"/>
  <c r="AZ521" i="3" s="1"/>
  <c r="BA519" i="3"/>
  <c r="AZ519" i="3" s="1"/>
  <c r="BL518" i="3"/>
  <c r="BA518" i="3"/>
  <c r="AZ518" i="3" s="1"/>
  <c r="BL517" i="3"/>
  <c r="BA517" i="3"/>
  <c r="AZ517" i="3" s="1"/>
  <c r="BL515" i="3"/>
  <c r="AZ515" i="3" s="1"/>
  <c r="BA515" i="3"/>
  <c r="BA514" i="3"/>
  <c r="AZ514" i="3" s="1"/>
  <c r="BL513" i="3"/>
  <c r="BA513" i="3"/>
  <c r="AZ513" i="3"/>
  <c r="BL512" i="3"/>
  <c r="AZ512" i="3"/>
  <c r="BA511" i="3"/>
  <c r="AZ511" i="3"/>
  <c r="BA510" i="3"/>
  <c r="AZ510" i="3" s="1"/>
  <c r="BL509" i="3"/>
  <c r="AZ509" i="3"/>
  <c r="BL507" i="3"/>
  <c r="BA507" i="3"/>
  <c r="AZ507" i="3" s="1"/>
  <c r="BL506" i="3"/>
  <c r="BA506" i="3"/>
  <c r="BL505" i="3"/>
  <c r="AZ505" i="3"/>
  <c r="BL504" i="3"/>
  <c r="BA504" i="3"/>
  <c r="AZ504" i="3" s="1"/>
  <c r="BA503" i="3"/>
  <c r="AZ503" i="3"/>
  <c r="BA500" i="3"/>
  <c r="AZ500" i="3" s="1"/>
  <c r="BL499" i="3"/>
  <c r="BA499" i="3"/>
  <c r="AZ499" i="3" s="1"/>
  <c r="BL498" i="3"/>
  <c r="AZ498" i="3" s="1"/>
  <c r="BL497" i="3"/>
  <c r="BA497" i="3"/>
  <c r="BL496" i="3"/>
  <c r="BA496" i="3"/>
  <c r="AZ496" i="3"/>
  <c r="BA495" i="3"/>
  <c r="AZ495" i="3"/>
  <c r="BL494" i="3"/>
  <c r="BA494" i="3"/>
  <c r="AZ494" i="3"/>
  <c r="G494" i="3"/>
  <c r="BA491" i="3"/>
  <c r="AZ491" i="3"/>
  <c r="BL490" i="3"/>
  <c r="BA490" i="3"/>
  <c r="AZ490" i="3" s="1"/>
  <c r="BL489" i="3"/>
  <c r="BA489" i="3"/>
  <c r="AZ489" i="3" s="1"/>
  <c r="BL487" i="3"/>
  <c r="AZ487" i="3"/>
  <c r="BL486" i="3"/>
  <c r="BA486" i="3"/>
  <c r="AZ486" i="3" s="1"/>
  <c r="BA485" i="3"/>
  <c r="AZ485" i="3"/>
  <c r="BA483" i="3"/>
  <c r="AZ483" i="3" s="1"/>
  <c r="BA482" i="3"/>
  <c r="AZ482" i="3"/>
  <c r="BL481" i="3"/>
  <c r="BJ5" i="3"/>
  <c r="BA481" i="3"/>
  <c r="AZ481" i="3"/>
  <c r="BB5" i="3"/>
  <c r="BL19" i="3"/>
  <c r="AZ19" i="3" s="1"/>
  <c r="BA18" i="3"/>
  <c r="F36" i="44"/>
  <c r="F114" i="34"/>
  <c r="G114" i="34" s="1"/>
  <c r="H114" i="34"/>
  <c r="I114" i="34"/>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F34" i="33"/>
  <c r="E121" i="33"/>
  <c r="F41" i="33"/>
  <c r="S41" i="33" s="1"/>
  <c r="AC34" i="34"/>
  <c r="W34" i="34"/>
  <c r="AA39" i="34"/>
  <c r="S39" i="34"/>
  <c r="S43" i="34"/>
  <c r="E78" i="34"/>
  <c r="F78" i="34" s="1"/>
  <c r="F15" i="34"/>
  <c r="AA15" i="34" s="1"/>
  <c r="AC28" i="35"/>
  <c r="W28" i="35"/>
  <c r="J20" i="35"/>
  <c r="AC20" i="35" s="1"/>
  <c r="E72" i="35"/>
  <c r="F72" i="35" s="1"/>
  <c r="G72" i="35" s="1"/>
  <c r="H22" i="35"/>
  <c r="AB22" i="35" s="1"/>
  <c r="H23" i="35"/>
  <c r="F23" i="35"/>
  <c r="AA23" i="35" s="1"/>
  <c r="AB36" i="35"/>
  <c r="U36" i="35"/>
  <c r="W12" i="36"/>
  <c r="AC12" i="36"/>
  <c r="U31" i="36"/>
  <c r="S8" i="37"/>
  <c r="AA8" i="37"/>
  <c r="F14" i="39"/>
  <c r="AA14" i="39"/>
  <c r="H14" i="39"/>
  <c r="AB14" i="39"/>
  <c r="J14" i="39"/>
  <c r="W14" i="39" s="1"/>
  <c r="F16" i="39"/>
  <c r="AA16" i="39"/>
  <c r="H16" i="39"/>
  <c r="U16" i="39"/>
  <c r="J16" i="39"/>
  <c r="AC16" i="39"/>
  <c r="F23" i="39"/>
  <c r="S23" i="39" s="1"/>
  <c r="E97" i="39"/>
  <c r="F27" i="39"/>
  <c r="AA27" i="39" s="1"/>
  <c r="H27" i="39"/>
  <c r="AB27" i="39" s="1"/>
  <c r="J27" i="39"/>
  <c r="AC27" i="39" s="1"/>
  <c r="F15" i="40"/>
  <c r="AA15" i="40" s="1"/>
  <c r="J15" i="40"/>
  <c r="W15" i="40" s="1"/>
  <c r="H15" i="40"/>
  <c r="AB15" i="40"/>
  <c r="E92" i="40"/>
  <c r="F92" i="40"/>
  <c r="G92" i="40" s="1"/>
  <c r="H23" i="40"/>
  <c r="U23" i="40" s="1"/>
  <c r="H41" i="40"/>
  <c r="AB41" i="40"/>
  <c r="F41" i="40"/>
  <c r="AA41" i="40"/>
  <c r="J41" i="40"/>
  <c r="W41" i="40" s="1"/>
  <c r="H36" i="33"/>
  <c r="U36" i="33" s="1"/>
  <c r="AB36" i="33"/>
  <c r="H37" i="34"/>
  <c r="F15" i="39"/>
  <c r="AA15" i="39"/>
  <c r="H15" i="39"/>
  <c r="U15" i="39"/>
  <c r="J15" i="39"/>
  <c r="W15" i="39" s="1"/>
  <c r="AC15" i="39"/>
  <c r="H25" i="39"/>
  <c r="AB25" i="39" s="1"/>
  <c r="J25" i="39"/>
  <c r="AC25" i="39"/>
  <c r="F25" i="39"/>
  <c r="AA25" i="39"/>
  <c r="F45" i="39"/>
  <c r="AA45" i="39"/>
  <c r="H45" i="39"/>
  <c r="U45" i="39" s="1"/>
  <c r="J45" i="39"/>
  <c r="AC45" i="39"/>
  <c r="F47" i="39"/>
  <c r="AA47" i="39"/>
  <c r="H47" i="39"/>
  <c r="AB47" i="39"/>
  <c r="J47" i="39"/>
  <c r="AC47" i="39" s="1"/>
  <c r="F41" i="39"/>
  <c r="AA41" i="39"/>
  <c r="H41" i="39"/>
  <c r="AB41" i="39"/>
  <c r="J41" i="39"/>
  <c r="AC41" i="39"/>
  <c r="E94" i="40"/>
  <c r="J25" i="40"/>
  <c r="AC25" i="40" s="1"/>
  <c r="J32" i="40"/>
  <c r="H32" i="40"/>
  <c r="U32" i="40" s="1"/>
  <c r="H33" i="40"/>
  <c r="AB33" i="40"/>
  <c r="F33" i="40"/>
  <c r="J33" i="40"/>
  <c r="AC33" i="40" s="1"/>
  <c r="H35" i="40"/>
  <c r="AB35" i="40" s="1"/>
  <c r="F35" i="40"/>
  <c r="AA35" i="40"/>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J42" i="40"/>
  <c r="AC42" i="40" s="1"/>
  <c r="J40" i="40"/>
  <c r="AC40" i="40" s="1"/>
  <c r="J34" i="40"/>
  <c r="AC34" i="40" s="1"/>
  <c r="H16" i="40"/>
  <c r="U16" i="40" s="1"/>
  <c r="AB16" i="40"/>
  <c r="H14" i="40"/>
  <c r="F32" i="40"/>
  <c r="AA32" i="40" s="1"/>
  <c r="AZ401" i="3"/>
  <c r="AZ428" i="3"/>
  <c r="AZ433" i="3"/>
  <c r="AZ436" i="3"/>
  <c r="AZ441" i="3"/>
  <c r="AZ452" i="3"/>
  <c r="M1" i="46"/>
  <c r="M6" i="46"/>
  <c r="M10" i="46"/>
  <c r="N2" i="46"/>
  <c r="N5" i="46"/>
  <c r="N7" i="46"/>
  <c r="AZ458" i="3"/>
  <c r="AZ207" i="3"/>
  <c r="AZ220" i="3"/>
  <c r="AZ223" i="3"/>
  <c r="AZ228" i="3"/>
  <c r="AZ231" i="3"/>
  <c r="AZ236" i="3"/>
  <c r="AZ239" i="3"/>
  <c r="AZ244" i="3"/>
  <c r="AZ247" i="3"/>
  <c r="AZ252" i="3"/>
  <c r="AZ255" i="3"/>
  <c r="AZ260" i="3"/>
  <c r="AZ263" i="3"/>
  <c r="AZ268" i="3"/>
  <c r="AZ273" i="3"/>
  <c r="AZ276" i="3"/>
  <c r="AZ281" i="3"/>
  <c r="AZ289" i="3"/>
  <c r="AZ292" i="3"/>
  <c r="AZ137" i="3"/>
  <c r="AZ140" i="3"/>
  <c r="AZ152" i="3"/>
  <c r="M7" i="46"/>
  <c r="M11" i="46"/>
  <c r="N3" i="46"/>
  <c r="N6" i="46"/>
  <c r="N10" i="46"/>
  <c r="AZ180" i="3"/>
  <c r="AZ48" i="3"/>
  <c r="AZ71" i="3"/>
  <c r="AZ99" i="3"/>
  <c r="J13" i="40"/>
  <c r="W13" i="40"/>
  <c r="W35" i="40"/>
  <c r="S47" i="39"/>
  <c r="U37" i="34"/>
  <c r="AB37" i="34"/>
  <c r="AC41" i="40"/>
  <c r="U41" i="40"/>
  <c r="J23" i="40"/>
  <c r="AC23" i="40"/>
  <c r="F23" i="40"/>
  <c r="S23" i="40"/>
  <c r="AB16" i="39"/>
  <c r="U23" i="35"/>
  <c r="AB23" i="35"/>
  <c r="H20" i="35"/>
  <c r="U20" i="35" s="1"/>
  <c r="F20" i="35"/>
  <c r="S20" i="35"/>
  <c r="H15" i="34"/>
  <c r="AB15" i="34"/>
  <c r="G78" i="34"/>
  <c r="J15" i="34"/>
  <c r="W15" i="34" s="1"/>
  <c r="H41" i="33"/>
  <c r="U41" i="33" s="1"/>
  <c r="F121" i="33"/>
  <c r="G121" i="33" s="1"/>
  <c r="H121" i="33" s="1"/>
  <c r="I121" i="33" s="1"/>
  <c r="J121" i="33" s="1"/>
  <c r="K121" i="33" s="1"/>
  <c r="L121" i="33" s="1"/>
  <c r="M121" i="33" s="1"/>
  <c r="F30" i="40"/>
  <c r="AA30" i="40" s="1"/>
  <c r="H100" i="40"/>
  <c r="I100" i="40" s="1"/>
  <c r="J100" i="40"/>
  <c r="K100" i="40"/>
  <c r="L100" i="40" s="1"/>
  <c r="M100" i="40" s="1"/>
  <c r="AB38" i="34"/>
  <c r="AZ497" i="3"/>
  <c r="AZ529" i="3"/>
  <c r="AZ530" i="3"/>
  <c r="AZ547" i="3"/>
  <c r="AZ549" i="3"/>
  <c r="AB37" i="39"/>
  <c r="AA29" i="35"/>
  <c r="J29" i="39"/>
  <c r="AC29" i="39" s="1"/>
  <c r="AB21" i="39"/>
  <c r="AB33" i="36"/>
  <c r="AA11" i="36"/>
  <c r="AA14" i="35"/>
  <c r="S14" i="35"/>
  <c r="G99" i="37"/>
  <c r="F33" i="37"/>
  <c r="AA33" i="37" s="1"/>
  <c r="AB19" i="39"/>
  <c r="U19" i="39"/>
  <c r="U46" i="34"/>
  <c r="AC30" i="34"/>
  <c r="AA14" i="34"/>
  <c r="W12" i="34"/>
  <c r="U29" i="33"/>
  <c r="AC13" i="33"/>
  <c r="AA11" i="34"/>
  <c r="H15" i="33"/>
  <c r="U15" i="33"/>
  <c r="AA11" i="33"/>
  <c r="AA40" i="21"/>
  <c r="U17" i="21"/>
  <c r="S13" i="39"/>
  <c r="AA13" i="39"/>
  <c r="W34" i="40"/>
  <c r="AB34" i="40"/>
  <c r="AB42" i="40"/>
  <c r="AC16" i="40"/>
  <c r="H25" i="40"/>
  <c r="AB25" i="40" s="1"/>
  <c r="F94" i="40"/>
  <c r="G94" i="40" s="1"/>
  <c r="U47" i="39"/>
  <c r="J37" i="34"/>
  <c r="J36" i="33"/>
  <c r="W36" i="33" s="1"/>
  <c r="S41" i="40"/>
  <c r="U27" i="39"/>
  <c r="H23" i="39"/>
  <c r="AB23" i="39"/>
  <c r="J23" i="39"/>
  <c r="AC23" i="39"/>
  <c r="F97" i="39"/>
  <c r="G97" i="39"/>
  <c r="S16" i="39"/>
  <c r="S15" i="34"/>
  <c r="AA41" i="33"/>
  <c r="F106" i="33"/>
  <c r="G106" i="33" s="1"/>
  <c r="H106" i="33"/>
  <c r="I106" i="33"/>
  <c r="J106" i="33" s="1"/>
  <c r="K106" i="33" s="1"/>
  <c r="L106" i="33" s="1"/>
  <c r="M106" i="33" s="1"/>
  <c r="J34" i="33"/>
  <c r="U30" i="40"/>
  <c r="AA37" i="39"/>
  <c r="W29" i="35"/>
  <c r="W39" i="39"/>
  <c r="AA39" i="39"/>
  <c r="S39" i="39"/>
  <c r="U34" i="39"/>
  <c r="AB29" i="39"/>
  <c r="AB46" i="39"/>
  <c r="AB44" i="39"/>
  <c r="S33" i="39"/>
  <c r="U11" i="36"/>
  <c r="F80" i="35"/>
  <c r="G80" i="35"/>
  <c r="H80" i="35" s="1"/>
  <c r="I80" i="35"/>
  <c r="J80" i="35" s="1"/>
  <c r="K80" i="35" s="1"/>
  <c r="L80" i="35" s="1"/>
  <c r="M80" i="35" s="1"/>
  <c r="W14" i="35"/>
  <c r="F90" i="34"/>
  <c r="G90" i="34" s="1"/>
  <c r="H90" i="34"/>
  <c r="I90" i="34" s="1"/>
  <c r="J90" i="34" s="1"/>
  <c r="K90" i="34" s="1"/>
  <c r="L90" i="34" s="1"/>
  <c r="M90" i="34" s="1"/>
  <c r="F27" i="34"/>
  <c r="S27" i="34" s="1"/>
  <c r="AC43" i="39"/>
  <c r="AA43" i="39"/>
  <c r="S43" i="39"/>
  <c r="AA19" i="39"/>
  <c r="G96" i="37"/>
  <c r="H96" i="37"/>
  <c r="I96" i="37" s="1"/>
  <c r="J96" i="37"/>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AC11" i="34" s="1"/>
  <c r="S17" i="34"/>
  <c r="AC36" i="33"/>
  <c r="F25" i="40"/>
  <c r="AA25" i="40"/>
  <c r="J11" i="33"/>
  <c r="W11" i="33"/>
  <c r="H33" i="37"/>
  <c r="AB33" i="37" s="1"/>
  <c r="AC15" i="34"/>
  <c r="W23" i="40"/>
  <c r="AP11" i="1"/>
  <c r="B11" i="1"/>
  <c r="E11" i="1" s="1"/>
  <c r="K11" i="1"/>
  <c r="M11" i="1" s="1"/>
  <c r="O11" i="1" s="1"/>
  <c r="P11" i="1" s="1"/>
  <c r="B9" i="1"/>
  <c r="E9" i="1" s="1"/>
  <c r="K9" i="1"/>
  <c r="M9" i="1" s="1"/>
  <c r="B7" i="1"/>
  <c r="E7" i="1"/>
  <c r="K7" i="1"/>
  <c r="M7" i="1" s="1"/>
  <c r="O7" i="1" s="1"/>
  <c r="P7" i="1" s="1"/>
  <c r="F6" i="1"/>
  <c r="AP6" i="1" s="1"/>
  <c r="M22" i="44"/>
  <c r="AC25" i="36"/>
  <c r="S23" i="36"/>
  <c r="S8"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AB37" i="37"/>
  <c r="AA31" i="37"/>
  <c r="S33" i="37"/>
  <c r="U32" i="37"/>
  <c r="AA32" i="37"/>
  <c r="J33" i="37"/>
  <c r="W33" i="37" s="1"/>
  <c r="H99" i="37"/>
  <c r="I99" i="37"/>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S10" i="37"/>
  <c r="W46" i="34"/>
  <c r="AC45" i="34"/>
  <c r="AA40" i="34"/>
  <c r="W33" i="34"/>
  <c r="U30" i="34"/>
  <c r="AB33" i="34"/>
  <c r="AA12" i="34"/>
  <c r="AC35" i="34"/>
  <c r="AA30" i="34"/>
  <c r="AC32" i="34"/>
  <c r="AA33" i="34"/>
  <c r="U44" i="34"/>
  <c r="U34" i="34"/>
  <c r="U28" i="34"/>
  <c r="AA27"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AC35" i="33"/>
  <c r="S29" i="33"/>
  <c r="W31" i="33"/>
  <c r="W43" i="33"/>
  <c r="W39" i="33"/>
  <c r="U35" i="33"/>
  <c r="AB26" i="33"/>
  <c r="H25" i="33"/>
  <c r="AB25" i="33" s="1"/>
  <c r="J25" i="33"/>
  <c r="F87" i="33"/>
  <c r="G87" i="33" s="1"/>
  <c r="H87" i="33"/>
  <c r="I87" i="33" s="1"/>
  <c r="J87" i="33" s="1"/>
  <c r="K87" i="33" s="1"/>
  <c r="L87" i="33" s="1"/>
  <c r="M87" i="33" s="1"/>
  <c r="F25" i="33"/>
  <c r="F85" i="33"/>
  <c r="G85" i="33"/>
  <c r="J23" i="33"/>
  <c r="F23" i="33"/>
  <c r="H23" i="33"/>
  <c r="U23" i="33" s="1"/>
  <c r="U19" i="33"/>
  <c r="F79" i="33"/>
  <c r="G79" i="33" s="1"/>
  <c r="F17" i="33"/>
  <c r="H17" i="33"/>
  <c r="J17" i="33"/>
  <c r="AB15" i="33"/>
  <c r="AC11" i="33"/>
  <c r="S10" i="33"/>
  <c r="S14" i="33"/>
  <c r="AC21" i="33"/>
  <c r="W21" i="33"/>
  <c r="AB10" i="33"/>
  <c r="U25" i="33"/>
  <c r="AB21" i="33"/>
  <c r="U21" i="33"/>
  <c r="AA21" i="33"/>
  <c r="S21" i="33"/>
  <c r="AA44" i="33"/>
  <c r="AA36" i="33"/>
  <c r="S44" i="21"/>
  <c r="W39" i="21"/>
  <c r="AC34" i="21"/>
  <c r="W32" i="21"/>
  <c r="U35" i="21"/>
  <c r="W43" i="21"/>
  <c r="AA37" i="21"/>
  <c r="S42" i="21"/>
  <c r="AB37" i="21"/>
  <c r="AB32" i="21"/>
  <c r="AC46" i="21"/>
  <c r="AC26" i="21"/>
  <c r="F85" i="21"/>
  <c r="G85" i="21"/>
  <c r="J23" i="21"/>
  <c r="W23" i="21"/>
  <c r="F23" i="21"/>
  <c r="AA23" i="21" s="1"/>
  <c r="H23" i="21"/>
  <c r="AA17" i="21"/>
  <c r="W17" i="21"/>
  <c r="F15" i="21"/>
  <c r="S15" i="21"/>
  <c r="F77" i="21"/>
  <c r="G77" i="21"/>
  <c r="J15" i="21"/>
  <c r="AC15" i="21" s="1"/>
  <c r="H15" i="21"/>
  <c r="AC11" i="21"/>
  <c r="AB11" i="21"/>
  <c r="W13" i="21"/>
  <c r="AA11" i="21"/>
  <c r="AC23" i="21"/>
  <c r="AC21" i="21"/>
  <c r="W21" i="21"/>
  <c r="W44" i="21"/>
  <c r="AC19" i="21"/>
  <c r="W10" i="21"/>
  <c r="AC38" i="21"/>
  <c r="AB21" i="21"/>
  <c r="U21" i="21"/>
  <c r="AA30" i="21"/>
  <c r="AA31" i="21"/>
  <c r="W33" i="40"/>
  <c r="U33" i="40"/>
  <c r="S35" i="40"/>
  <c r="U15" i="40"/>
  <c r="S14" i="40"/>
  <c r="S15" i="40"/>
  <c r="AB13" i="40"/>
  <c r="S16" i="40"/>
  <c r="W11" i="40"/>
  <c r="AA21" i="40"/>
  <c r="U21" i="40"/>
  <c r="W25" i="40"/>
  <c r="U25" i="40"/>
  <c r="W42" i="40"/>
  <c r="U35" i="40"/>
  <c r="F37" i="40"/>
  <c r="J37" i="40"/>
  <c r="H37" i="40"/>
  <c r="G113" i="40"/>
  <c r="H113" i="40" s="1"/>
  <c r="I113" i="40" s="1"/>
  <c r="J113" i="40" s="1"/>
  <c r="K113" i="40" s="1"/>
  <c r="L113" i="40" s="1"/>
  <c r="M113" i="40" s="1"/>
  <c r="F39" i="40"/>
  <c r="S38" i="40"/>
  <c r="H39" i="40"/>
  <c r="J39" i="40"/>
  <c r="W38" i="40"/>
  <c r="F29" i="40"/>
  <c r="AA29" i="40" s="1"/>
  <c r="H29" i="40"/>
  <c r="J29" i="40"/>
  <c r="F98" i="40"/>
  <c r="G98" i="40"/>
  <c r="H98" i="40" s="1"/>
  <c r="I98" i="40" s="1"/>
  <c r="J98" i="40" s="1"/>
  <c r="K98" i="40" s="1"/>
  <c r="L98" i="40" s="1"/>
  <c r="M98" i="40" s="1"/>
  <c r="S30" i="40"/>
  <c r="S25" i="40"/>
  <c r="AA23" i="40"/>
  <c r="F88" i="40"/>
  <c r="G88" i="40"/>
  <c r="F19" i="40"/>
  <c r="AA19" i="40" s="1"/>
  <c r="H19" i="40"/>
  <c r="J19" i="40"/>
  <c r="W17" i="40"/>
  <c r="AC17" i="40"/>
  <c r="F17" i="40"/>
  <c r="AA17" i="40"/>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M20" i="15"/>
  <c r="A18" i="64"/>
  <c r="B74" i="63"/>
  <c r="C53" i="10"/>
  <c r="A25" i="64" s="1"/>
  <c r="A18" i="51"/>
  <c r="B14" i="63"/>
  <c r="BA16" i="3"/>
  <c r="BA17" i="3"/>
  <c r="AZ17" i="3"/>
  <c r="F3" i="35"/>
  <c r="K1" i="43"/>
  <c r="K1" i="12"/>
  <c r="G1" i="44"/>
  <c r="I4" i="6"/>
  <c r="G3" i="46" s="1"/>
  <c r="AZ15" i="3"/>
  <c r="BK5" i="3"/>
  <c r="BO5" i="3"/>
  <c r="F29" i="6" s="1"/>
  <c r="BP5" i="3"/>
  <c r="BN5" i="3"/>
  <c r="BL18" i="3"/>
  <c r="AZ18" i="3" s="1"/>
  <c r="BC5" i="3"/>
  <c r="BD5" i="3"/>
  <c r="BR5" i="3"/>
  <c r="BS5" i="3"/>
  <c r="F28" i="6" s="1"/>
  <c r="BQ5" i="3"/>
  <c r="BL16" i="3"/>
  <c r="BM5" i="3"/>
  <c r="BA13" i="3"/>
  <c r="G28" i="12"/>
  <c r="D24" i="44"/>
  <c r="D26" i="44"/>
  <c r="N8" i="46"/>
  <c r="N4" i="46"/>
  <c r="N1" i="46"/>
  <c r="F69" i="46" s="1"/>
  <c r="F47" i="46"/>
  <c r="H52" i="46" s="1"/>
  <c r="M9" i="46"/>
  <c r="M2" i="46"/>
  <c r="N11" i="46"/>
  <c r="N9" i="46"/>
  <c r="M4" i="46"/>
  <c r="M12" i="46"/>
  <c r="M8" i="46"/>
  <c r="M3" i="46"/>
  <c r="M5" i="46"/>
  <c r="C6" i="46" s="1"/>
  <c r="H6" i="48"/>
  <c r="H15" i="48"/>
  <c r="H5" i="48"/>
  <c r="H14" i="48"/>
  <c r="F36" i="46"/>
  <c r="K17" i="46"/>
  <c r="F39" i="46"/>
  <c r="H13" i="48"/>
  <c r="H11" i="48"/>
  <c r="D17" i="46"/>
  <c r="D71" i="46"/>
  <c r="D84" i="46"/>
  <c r="E80" i="46" s="1"/>
  <c r="B78" i="46" s="1"/>
  <c r="D69" i="46"/>
  <c r="E69" i="46"/>
  <c r="B67" i="46"/>
  <c r="E47" i="46"/>
  <c r="E58" i="46"/>
  <c r="B56" i="46"/>
  <c r="A4" i="64"/>
  <c r="A4" i="51"/>
  <c r="B6" i="63" s="1"/>
  <c r="C51" i="10"/>
  <c r="I100" i="46"/>
  <c r="C24" i="46"/>
  <c r="N100" i="46"/>
  <c r="H100" i="46"/>
  <c r="F108" i="46"/>
  <c r="H80" i="46"/>
  <c r="B45" i="46"/>
  <c r="E100" i="46"/>
  <c r="G100" i="46"/>
  <c r="H84" i="46"/>
  <c r="C100" i="46"/>
  <c r="J100" i="46"/>
  <c r="M100" i="46"/>
  <c r="AA12" i="36"/>
  <c r="W11" i="35"/>
  <c r="AA11" i="35"/>
  <c r="S14" i="37"/>
  <c r="U13" i="37"/>
  <c r="S13" i="21"/>
  <c r="C24" i="9"/>
  <c r="C25" i="9"/>
  <c r="L5" i="54"/>
  <c r="B39" i="63"/>
  <c r="K5" i="54"/>
  <c r="B38" i="63" s="1"/>
  <c r="T41" i="4"/>
  <c r="A17" i="64"/>
  <c r="B46" i="50"/>
  <c r="B4" i="63" s="1"/>
  <c r="C46" i="36"/>
  <c r="D46" i="36" s="1"/>
  <c r="E46" i="36" s="1"/>
  <c r="F46" i="36" s="1"/>
  <c r="G46" i="36" s="1"/>
  <c r="H46" i="36" s="1"/>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c r="B12" i="1"/>
  <c r="E12" i="1" s="1"/>
  <c r="S12" i="1"/>
  <c r="K6" i="1"/>
  <c r="M6" i="1" s="1"/>
  <c r="G1" i="15"/>
  <c r="F66" i="36"/>
  <c r="G66" i="36" s="1"/>
  <c r="H18" i="36"/>
  <c r="U16" i="36"/>
  <c r="S25" i="36"/>
  <c r="AA34" i="36"/>
  <c r="U23" i="36"/>
  <c r="AC27" i="36"/>
  <c r="W28" i="36"/>
  <c r="AA32" i="36"/>
  <c r="U13" i="36"/>
  <c r="AA22" i="36"/>
  <c r="U10" i="36"/>
  <c r="AA13" i="36"/>
  <c r="W29" i="36"/>
  <c r="W9" i="36"/>
  <c r="S9" i="36"/>
  <c r="W8" i="36"/>
  <c r="AC30" i="35"/>
  <c r="W32" i="35"/>
  <c r="AA33" i="35"/>
  <c r="U32" i="35"/>
  <c r="W22" i="35"/>
  <c r="S32" i="35"/>
  <c r="W35" i="37"/>
  <c r="AC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2" i="33"/>
  <c r="S15" i="33"/>
  <c r="S9" i="33"/>
  <c r="S39" i="21"/>
  <c r="AB25" i="21"/>
  <c r="AB45" i="21"/>
  <c r="W25" i="21"/>
  <c r="AA25" i="21"/>
  <c r="AC37" i="21"/>
  <c r="W31" i="21"/>
  <c r="S27" i="21"/>
  <c r="AA15" i="21"/>
  <c r="AC27" i="21"/>
  <c r="W29" i="21"/>
  <c r="G96" i="40"/>
  <c r="J27" i="40"/>
  <c r="AC27" i="40" s="1"/>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AB23" i="33"/>
  <c r="W23" i="33"/>
  <c r="AC23" i="33"/>
  <c r="S23" i="33"/>
  <c r="AA23" i="33"/>
  <c r="W17" i="33"/>
  <c r="AC17" i="33"/>
  <c r="AA17" i="33"/>
  <c r="S17" i="33"/>
  <c r="U17" i="33"/>
  <c r="AB17" i="33"/>
  <c r="U23" i="21"/>
  <c r="AB23" i="21"/>
  <c r="U15" i="21"/>
  <c r="AB15" i="21"/>
  <c r="AB39" i="40"/>
  <c r="U39" i="40"/>
  <c r="AC39" i="40"/>
  <c r="W39" i="40"/>
  <c r="AA39" i="40"/>
  <c r="S39" i="40"/>
  <c r="U37" i="40"/>
  <c r="AB37" i="40"/>
  <c r="AA37" i="40"/>
  <c r="S37" i="40"/>
  <c r="AC29" i="40"/>
  <c r="W29" i="40"/>
  <c r="S29" i="40"/>
  <c r="W19" i="40"/>
  <c r="AC19" i="40"/>
  <c r="W27" i="40"/>
  <c r="W31" i="39"/>
  <c r="AC31" i="39"/>
  <c r="B20" i="31"/>
  <c r="R22" i="31"/>
  <c r="B21" i="31"/>
  <c r="A17" i="51"/>
  <c r="B13" i="63"/>
  <c r="E5" i="6"/>
  <c r="D12" i="11" s="1"/>
  <c r="C12" i="11" s="1"/>
  <c r="AT6" i="3"/>
  <c r="G29" i="6"/>
  <c r="A9" i="64"/>
  <c r="A9" i="51"/>
  <c r="B9" i="63" s="1"/>
  <c r="A3" i="55"/>
  <c r="B56" i="63" s="1"/>
  <c r="E4" i="4"/>
  <c r="C4" i="4"/>
  <c r="J18" i="36"/>
  <c r="W18" i="36" s="1"/>
  <c r="AE8" i="1"/>
  <c r="AE7" i="1"/>
  <c r="AG6" i="1"/>
  <c r="L20" i="6"/>
  <c r="B21" i="55"/>
  <c r="B72" i="63" s="1"/>
  <c r="B20" i="55"/>
  <c r="B70" i="63" s="1"/>
  <c r="S7" i="1"/>
  <c r="S8" i="1"/>
  <c r="S9" i="1"/>
  <c r="R9" i="1"/>
  <c r="R7" i="1"/>
  <c r="R8" i="1"/>
  <c r="C45" i="9"/>
  <c r="H14" i="66"/>
  <c r="B7" i="66"/>
  <c r="C44" i="9"/>
  <c r="O40" i="9"/>
  <c r="K31" i="9"/>
  <c r="K32" i="9" s="1"/>
  <c r="R7" i="54"/>
  <c r="B52" i="63"/>
  <c r="K29" i="9"/>
  <c r="K30" i="9"/>
  <c r="N76" i="9"/>
  <c r="C46" i="9"/>
  <c r="K33" i="9"/>
  <c r="O41" i="9"/>
  <c r="R8" i="54" s="1"/>
  <c r="B54" i="63" s="1"/>
  <c r="I14" i="66"/>
  <c r="B8" i="66" s="1"/>
  <c r="J17" i="46"/>
  <c r="C17" i="46"/>
  <c r="F34" i="46"/>
  <c r="F38" i="46"/>
  <c r="F37" i="46"/>
  <c r="H113" i="46"/>
  <c r="D20" i="59"/>
  <c r="C19" i="59"/>
  <c r="D19" i="59" s="1"/>
  <c r="U17" i="59"/>
  <c r="F20" i="59"/>
  <c r="F19" i="59" s="1"/>
  <c r="F18" i="59" s="1"/>
  <c r="F17" i="59" s="1"/>
  <c r="H1" i="65"/>
  <c r="X7" i="46"/>
  <c r="E17" i="46"/>
  <c r="N17" i="46"/>
  <c r="O17" i="46"/>
  <c r="M17" i="46"/>
  <c r="L17" i="46"/>
  <c r="P13" i="1"/>
  <c r="P12" i="1"/>
  <c r="F35" i="46"/>
  <c r="I17" i="46"/>
  <c r="D100" i="46"/>
  <c r="AF12" i="46"/>
  <c r="K100" i="46"/>
  <c r="AB12" i="46"/>
  <c r="AJ12" i="46"/>
  <c r="E10" i="46"/>
  <c r="E9" i="46"/>
  <c r="E11" i="46"/>
  <c r="E8" i="46"/>
  <c r="AD12" i="46"/>
  <c r="AH12" i="46"/>
  <c r="C18" i="59"/>
  <c r="E14" i="67"/>
  <c r="I4" i="65"/>
  <c r="C19" i="9"/>
  <c r="D19" i="9"/>
  <c r="F46" i="44"/>
  <c r="F38" i="44"/>
  <c r="J4" i="65"/>
  <c r="B9" i="67"/>
  <c r="B11" i="67"/>
  <c r="N5" i="65"/>
  <c r="F9" i="44"/>
  <c r="F39" i="44"/>
  <c r="B10" i="67"/>
  <c r="I5" i="65"/>
  <c r="J3" i="65"/>
  <c r="M26" i="44"/>
  <c r="F43" i="44"/>
  <c r="E10" i="67"/>
  <c r="E13" i="67"/>
  <c r="B13" i="67"/>
  <c r="N3" i="65"/>
  <c r="F15" i="44"/>
  <c r="J17" i="44"/>
  <c r="I6" i="65"/>
  <c r="M8" i="44"/>
  <c r="M8" i="15"/>
  <c r="E9" i="67"/>
  <c r="M31" i="44"/>
  <c r="F18" i="44"/>
  <c r="F9" i="67"/>
  <c r="D21" i="9"/>
  <c r="M23" i="15"/>
  <c r="B14" i="67"/>
  <c r="L48" i="44"/>
  <c r="M28" i="44"/>
  <c r="D20" i="9"/>
  <c r="F28" i="44"/>
  <c r="M25" i="44"/>
  <c r="F12" i="67"/>
  <c r="M29" i="44"/>
  <c r="J5" i="65"/>
  <c r="M24" i="44"/>
  <c r="F10" i="44"/>
  <c r="F40" i="44"/>
  <c r="F8" i="44"/>
  <c r="I3" i="65"/>
  <c r="L49" i="44"/>
  <c r="F13" i="67"/>
  <c r="F36" i="15"/>
  <c r="F8" i="67"/>
  <c r="B12" i="67"/>
  <c r="F14" i="67"/>
  <c r="M11" i="44"/>
  <c r="F10" i="67"/>
  <c r="F45" i="44"/>
  <c r="N7" i="65"/>
  <c r="L48" i="15"/>
  <c r="C21" i="9"/>
  <c r="N6" i="65"/>
  <c r="E11" i="67"/>
  <c r="J7" i="65"/>
  <c r="B8" i="67"/>
  <c r="I7" i="65"/>
  <c r="F11" i="67"/>
  <c r="F11" i="44"/>
  <c r="E8" i="67"/>
  <c r="N4" i="65"/>
  <c r="E12" i="67"/>
  <c r="M10" i="44"/>
  <c r="J6" i="65"/>
  <c r="F13" i="15"/>
  <c r="M30" i="44"/>
  <c r="C20" i="9"/>
  <c r="F58" i="46" l="1"/>
  <c r="H64" i="46" s="1"/>
  <c r="G27" i="12"/>
  <c r="G26" i="12"/>
  <c r="H54" i="46"/>
  <c r="H48" i="46"/>
  <c r="H55" i="46"/>
  <c r="H53" i="46"/>
  <c r="H50" i="46"/>
  <c r="H49" i="46"/>
  <c r="H47" i="46"/>
  <c r="H51" i="46"/>
  <c r="U29" i="40"/>
  <c r="AB29" i="40"/>
  <c r="W25" i="33"/>
  <c r="AC25" i="33"/>
  <c r="F30" i="6"/>
  <c r="AC37" i="40"/>
  <c r="W37" i="40"/>
  <c r="C17" i="59"/>
  <c r="C16" i="59" s="1"/>
  <c r="D18" i="59"/>
  <c r="G14" i="66"/>
  <c r="B6" i="66" s="1"/>
  <c r="O39" i="9"/>
  <c r="R6" i="54" s="1"/>
  <c r="B50" i="63" s="1"/>
  <c r="K34" i="9"/>
  <c r="C7" i="46"/>
  <c r="N69" i="9"/>
  <c r="AB19" i="40"/>
  <c r="U19" i="40"/>
  <c r="AB32" i="40"/>
  <c r="AZ506" i="3"/>
  <c r="AZ522" i="3"/>
  <c r="AZ539" i="3"/>
  <c r="AZ308" i="3"/>
  <c r="AZ303" i="3"/>
  <c r="AC34" i="33"/>
  <c r="W34" i="33"/>
  <c r="AB23" i="40"/>
  <c r="AA33" i="40"/>
  <c r="S33" i="40"/>
  <c r="AA34" i="33"/>
  <c r="S34" i="33"/>
  <c r="AZ16" i="3"/>
  <c r="W15" i="21"/>
  <c r="AC14" i="40"/>
  <c r="AB34" i="33"/>
  <c r="U34" i="33"/>
  <c r="AA32" i="34"/>
  <c r="S32" i="34"/>
  <c r="AB17" i="34"/>
  <c r="U17" i="34"/>
  <c r="E29" i="6"/>
  <c r="K15" i="1" s="1"/>
  <c r="U33" i="37"/>
  <c r="AB17" i="39"/>
  <c r="W40" i="40"/>
  <c r="U14" i="40"/>
  <c r="AB14" i="40"/>
  <c r="AA23" i="39"/>
  <c r="AC14" i="39"/>
  <c r="AC34" i="37"/>
  <c r="W34" i="37"/>
  <c r="AB20" i="35"/>
  <c r="W37" i="34"/>
  <c r="AC37" i="34"/>
  <c r="AZ484" i="3"/>
  <c r="AC18" i="36"/>
  <c r="S19" i="40"/>
  <c r="S23" i="21"/>
  <c r="AA20" i="36"/>
  <c r="W27" i="39"/>
  <c r="AC32" i="40"/>
  <c r="W32" i="40"/>
  <c r="W10" i="37"/>
  <c r="AC10" i="37"/>
  <c r="AA46" i="33"/>
  <c r="S46" i="33"/>
  <c r="W10" i="33"/>
  <c r="W11" i="34"/>
  <c r="W33" i="39"/>
  <c r="U39" i="39"/>
  <c r="AC15" i="40"/>
  <c r="W47" i="39"/>
  <c r="U25" i="39"/>
  <c r="AZ192" i="3"/>
  <c r="W41" i="34"/>
  <c r="AC41" i="34"/>
  <c r="AC28" i="37"/>
  <c r="W28" i="37"/>
  <c r="AC25" i="35"/>
  <c r="W25" i="35"/>
  <c r="AC32" i="33"/>
  <c r="W32" i="33"/>
  <c r="AZ332" i="3"/>
  <c r="S38" i="37"/>
  <c r="AA38" i="37"/>
  <c r="AA45" i="21"/>
  <c r="S45" i="21"/>
  <c r="AB36" i="21"/>
  <c r="F28" i="33"/>
  <c r="H28" i="33"/>
  <c r="S34" i="37"/>
  <c r="AA34" i="37"/>
  <c r="AZ544" i="3"/>
  <c r="U23" i="37"/>
  <c r="AA38" i="21"/>
  <c r="S38" i="21"/>
  <c r="F28" i="21"/>
  <c r="H28" i="21"/>
  <c r="AC33" i="33"/>
  <c r="W33" i="33"/>
  <c r="J24" i="35"/>
  <c r="H24" i="35"/>
  <c r="F24" i="35"/>
  <c r="BA557" i="3"/>
  <c r="AZ557" i="3" s="1"/>
  <c r="AZ555" i="3"/>
  <c r="AZ550" i="3"/>
  <c r="AA26" i="36"/>
  <c r="S17" i="39"/>
  <c r="W27" i="34"/>
  <c r="AB12" i="37"/>
  <c r="S12" i="21"/>
  <c r="AZ540" i="3"/>
  <c r="U40" i="37"/>
  <c r="AB40" i="37"/>
  <c r="AA33" i="21"/>
  <c r="S33" i="21"/>
  <c r="F29" i="21"/>
  <c r="H29" i="21"/>
  <c r="AA34" i="34"/>
  <c r="S34" i="34"/>
  <c r="AC39" i="34"/>
  <c r="H14" i="33"/>
  <c r="J14" i="33"/>
  <c r="W44" i="33"/>
  <c r="AC31" i="34"/>
  <c r="W31" i="34"/>
  <c r="W33" i="36"/>
  <c r="AC33" i="36"/>
  <c r="AB17" i="37"/>
  <c r="AA36" i="35"/>
  <c r="W9" i="33"/>
  <c r="AC14" i="37"/>
  <c r="W14" i="37"/>
  <c r="H46" i="33"/>
  <c r="AB31" i="21"/>
  <c r="U31" i="21"/>
  <c r="H39" i="37"/>
  <c r="BA572" i="3"/>
  <c r="AZ572" i="3" s="1"/>
  <c r="AC40" i="33"/>
  <c r="W40" i="33"/>
  <c r="W24" i="36"/>
  <c r="AC24" i="36"/>
  <c r="S14" i="21"/>
  <c r="AB15" i="37"/>
  <c r="AZ328" i="3"/>
  <c r="AZ20" i="3"/>
  <c r="AZ524" i="3"/>
  <c r="AC28" i="34"/>
  <c r="W28" i="34"/>
  <c r="F39" i="37"/>
  <c r="F26" i="33"/>
  <c r="J26" i="33"/>
  <c r="H24" i="36"/>
  <c r="F24" i="36"/>
  <c r="AZ492" i="3"/>
  <c r="AB44" i="33"/>
  <c r="AB35" i="35"/>
  <c r="U35" i="35"/>
  <c r="AC13" i="36"/>
  <c r="W13" i="36"/>
  <c r="U28" i="36"/>
  <c r="AB44" i="21"/>
  <c r="U44" i="21"/>
  <c r="J28" i="21"/>
  <c r="AB9" i="21"/>
  <c r="S28" i="34"/>
  <c r="AA28" i="34"/>
  <c r="BL535" i="3"/>
  <c r="AZ535" i="3" s="1"/>
  <c r="AZ520" i="3"/>
  <c r="BA502" i="3"/>
  <c r="AZ502" i="3" s="1"/>
  <c r="AA36" i="21"/>
  <c r="H27" i="21"/>
  <c r="H46" i="21"/>
  <c r="E8" i="6"/>
  <c r="BT5" i="3"/>
  <c r="G28" i="6" s="1"/>
  <c r="BI5" i="3"/>
  <c r="H9" i="35"/>
  <c r="F9" i="35"/>
  <c r="BH5" i="3"/>
  <c r="AA8" i="21"/>
  <c r="AB38" i="33"/>
  <c r="BG5" i="3"/>
  <c r="H5" i="3"/>
  <c r="BF5" i="3"/>
  <c r="E15" i="6" s="1"/>
  <c r="F27" i="33"/>
  <c r="G553" i="3"/>
  <c r="G511" i="3"/>
  <c r="H12" i="35"/>
  <c r="J34" i="35"/>
  <c r="H34" i="35"/>
  <c r="G490" i="3"/>
  <c r="J36" i="35"/>
  <c r="AZ400" i="3"/>
  <c r="AZ413" i="3"/>
  <c r="AZ451" i="3"/>
  <c r="AZ206" i="3"/>
  <c r="AZ412" i="3"/>
  <c r="AZ417" i="3"/>
  <c r="AZ429" i="3"/>
  <c r="AZ445" i="3"/>
  <c r="AZ440" i="3"/>
  <c r="AZ419" i="3"/>
  <c r="AZ435" i="3"/>
  <c r="AZ443" i="3"/>
  <c r="G516" i="3"/>
  <c r="G487" i="3"/>
  <c r="AZ404" i="3"/>
  <c r="AZ416" i="3"/>
  <c r="AZ389" i="3"/>
  <c r="AZ408" i="3"/>
  <c r="AZ432" i="3"/>
  <c r="BA444" i="3"/>
  <c r="AZ444" i="3" s="1"/>
  <c r="BL456" i="3"/>
  <c r="AZ456" i="3" s="1"/>
  <c r="G457" i="3"/>
  <c r="BA469" i="3"/>
  <c r="AZ469" i="3" s="1"/>
  <c r="BA470" i="3"/>
  <c r="AZ470" i="3" s="1"/>
  <c r="BL476" i="3"/>
  <c r="AZ476" i="3" s="1"/>
  <c r="BA480" i="3"/>
  <c r="AZ480" i="3" s="1"/>
  <c r="BA297" i="3"/>
  <c r="AZ297" i="3" s="1"/>
  <c r="BL308" i="3"/>
  <c r="G317" i="3"/>
  <c r="G329" i="3"/>
  <c r="BA335" i="3"/>
  <c r="AZ335" i="3" s="1"/>
  <c r="G349" i="3"/>
  <c r="BL366" i="3"/>
  <c r="AZ366" i="3" s="1"/>
  <c r="BL384" i="3"/>
  <c r="BL206" i="3"/>
  <c r="BL209" i="3"/>
  <c r="AZ209" i="3" s="1"/>
  <c r="AZ227" i="3"/>
  <c r="BL229" i="3"/>
  <c r="BL232" i="3"/>
  <c r="AZ243" i="3"/>
  <c r="BA464" i="3"/>
  <c r="AZ464" i="3" s="1"/>
  <c r="BA471" i="3"/>
  <c r="AZ471" i="3" s="1"/>
  <c r="G478" i="3"/>
  <c r="BA313" i="3"/>
  <c r="AZ313" i="3" s="1"/>
  <c r="BL316" i="3"/>
  <c r="AZ316" i="3" s="1"/>
  <c r="BA325" i="3"/>
  <c r="AZ325" i="3" s="1"/>
  <c r="BA333" i="3"/>
  <c r="AZ333" i="3" s="1"/>
  <c r="BA334" i="3"/>
  <c r="AZ334" i="3" s="1"/>
  <c r="BL348" i="3"/>
  <c r="AZ348" i="3" s="1"/>
  <c r="BL382" i="3"/>
  <c r="AZ382" i="3" s="1"/>
  <c r="BA214" i="3"/>
  <c r="AZ214" i="3" s="1"/>
  <c r="BA218" i="3"/>
  <c r="AZ218" i="3" s="1"/>
  <c r="BA229" i="3"/>
  <c r="BA232" i="3"/>
  <c r="AZ232" i="3" s="1"/>
  <c r="AZ238" i="3"/>
  <c r="G453" i="3"/>
  <c r="BA369" i="3"/>
  <c r="AZ211" i="3"/>
  <c r="AZ256" i="3"/>
  <c r="AZ267" i="3"/>
  <c r="G465" i="3"/>
  <c r="BA467" i="3"/>
  <c r="AZ467" i="3" s="1"/>
  <c r="BL472" i="3"/>
  <c r="AZ472" i="3" s="1"/>
  <c r="G473" i="3"/>
  <c r="BA301" i="3"/>
  <c r="AZ301" i="3" s="1"/>
  <c r="BL312" i="3"/>
  <c r="AZ312" i="3" s="1"/>
  <c r="BA319" i="3"/>
  <c r="AZ319" i="3" s="1"/>
  <c r="G333" i="3"/>
  <c r="G345" i="3"/>
  <c r="BA351" i="3"/>
  <c r="AZ351" i="3" s="1"/>
  <c r="BA386" i="3"/>
  <c r="AZ386" i="3" s="1"/>
  <c r="BA387" i="3"/>
  <c r="AZ387" i="3" s="1"/>
  <c r="BA388" i="3"/>
  <c r="BA205" i="3"/>
  <c r="AZ205" i="3" s="1"/>
  <c r="BA208" i="3"/>
  <c r="AZ208" i="3" s="1"/>
  <c r="BL215" i="3"/>
  <c r="AZ215" i="3" s="1"/>
  <c r="AZ264" i="3"/>
  <c r="AZ113" i="3"/>
  <c r="BL449" i="3"/>
  <c r="AZ449" i="3" s="1"/>
  <c r="G450" i="3"/>
  <c r="G460" i="3"/>
  <c r="BA461" i="3"/>
  <c r="AZ461" i="3" s="1"/>
  <c r="BL474" i="3"/>
  <c r="AZ474" i="3" s="1"/>
  <c r="BA318" i="3"/>
  <c r="AZ318" i="3" s="1"/>
  <c r="BL332" i="3"/>
  <c r="BA341" i="3"/>
  <c r="AZ341" i="3" s="1"/>
  <c r="BA350" i="3"/>
  <c r="AZ350" i="3" s="1"/>
  <c r="BA367" i="3"/>
  <c r="AZ367" i="3" s="1"/>
  <c r="BL369" i="3"/>
  <c r="BA384" i="3"/>
  <c r="BL388" i="3"/>
  <c r="AZ210" i="3"/>
  <c r="BL212" i="3"/>
  <c r="AZ212" i="3" s="1"/>
  <c r="BL225" i="3"/>
  <c r="AZ225" i="3" s="1"/>
  <c r="BA230" i="3"/>
  <c r="AZ230" i="3" s="1"/>
  <c r="AZ234" i="3"/>
  <c r="AZ235" i="3"/>
  <c r="BA447" i="3"/>
  <c r="AZ447" i="3" s="1"/>
  <c r="BA457" i="3"/>
  <c r="AZ457" i="3" s="1"/>
  <c r="BL466" i="3"/>
  <c r="AZ466" i="3" s="1"/>
  <c r="BA477" i="3"/>
  <c r="AZ477" i="3" s="1"/>
  <c r="BL310" i="3"/>
  <c r="AZ310" i="3" s="1"/>
  <c r="BA375" i="3"/>
  <c r="AZ375" i="3" s="1"/>
  <c r="AZ250" i="3"/>
  <c r="A30" i="64"/>
  <c r="A30" i="51"/>
  <c r="B22" i="63" s="1"/>
  <c r="BL446" i="3"/>
  <c r="AZ446" i="3" s="1"/>
  <c r="BA315" i="3"/>
  <c r="AZ315" i="3" s="1"/>
  <c r="BL319" i="3"/>
  <c r="BA357" i="3"/>
  <c r="AZ357" i="3" s="1"/>
  <c r="BL376" i="3"/>
  <c r="AZ376" i="3" s="1"/>
  <c r="AZ269" i="3"/>
  <c r="BA127" i="3"/>
  <c r="AZ127" i="3" s="1"/>
  <c r="BA189" i="3"/>
  <c r="AZ189" i="3" s="1"/>
  <c r="BA31" i="3"/>
  <c r="AZ31" i="3" s="1"/>
  <c r="BA50" i="3"/>
  <c r="AZ50" i="3" s="1"/>
  <c r="AZ62" i="3"/>
  <c r="BA91" i="3"/>
  <c r="AB3" i="59"/>
  <c r="G275" i="3"/>
  <c r="BA288" i="3"/>
  <c r="AZ288" i="3" s="1"/>
  <c r="BA124" i="3"/>
  <c r="AZ124" i="3" s="1"/>
  <c r="BA125" i="3"/>
  <c r="AZ125" i="3" s="1"/>
  <c r="BA144" i="3"/>
  <c r="AZ144" i="3" s="1"/>
  <c r="BA145" i="3"/>
  <c r="AZ145" i="3" s="1"/>
  <c r="BA154" i="3"/>
  <c r="AZ154" i="3" s="1"/>
  <c r="BL156" i="3"/>
  <c r="BL160" i="3"/>
  <c r="AZ160" i="3" s="1"/>
  <c r="AZ175" i="3"/>
  <c r="BL192" i="3"/>
  <c r="BA22" i="3"/>
  <c r="AZ22" i="3" s="1"/>
  <c r="AZ26" i="3"/>
  <c r="BA28" i="3"/>
  <c r="AZ28" i="3" s="1"/>
  <c r="BL36" i="3"/>
  <c r="AZ36" i="3" s="1"/>
  <c r="AZ45" i="3"/>
  <c r="BL53" i="3"/>
  <c r="AZ53" i="3" s="1"/>
  <c r="BL77" i="3"/>
  <c r="BL287" i="3"/>
  <c r="AZ287" i="3" s="1"/>
  <c r="AZ186" i="3"/>
  <c r="AZ80" i="3"/>
  <c r="B20" i="59"/>
  <c r="B19" i="59" s="1"/>
  <c r="B18" i="59" s="1"/>
  <c r="B17" i="59" s="1"/>
  <c r="S21" i="59"/>
  <c r="AZ77" i="3"/>
  <c r="BL284" i="3"/>
  <c r="AZ284" i="3" s="1"/>
  <c r="BL296" i="3"/>
  <c r="AZ296" i="3" s="1"/>
  <c r="BA163" i="3"/>
  <c r="BA166" i="3"/>
  <c r="AZ166" i="3" s="1"/>
  <c r="BA197" i="3"/>
  <c r="AZ197" i="3" s="1"/>
  <c r="BL42" i="3"/>
  <c r="AZ42" i="3" s="1"/>
  <c r="BA282" i="3"/>
  <c r="AZ282" i="3" s="1"/>
  <c r="BA294" i="3"/>
  <c r="AZ294" i="3" s="1"/>
  <c r="BL121" i="3"/>
  <c r="AZ121" i="3" s="1"/>
  <c r="BL136" i="3"/>
  <c r="AZ136" i="3" s="1"/>
  <c r="BL138" i="3"/>
  <c r="AZ138" i="3" s="1"/>
  <c r="BL167" i="3"/>
  <c r="AZ167" i="3" s="1"/>
  <c r="AZ176" i="3"/>
  <c r="BA181" i="3"/>
  <c r="AZ181" i="3" s="1"/>
  <c r="BA194" i="3"/>
  <c r="AZ194" i="3" s="1"/>
  <c r="BL198" i="3"/>
  <c r="AZ198" i="3" s="1"/>
  <c r="BL202" i="3"/>
  <c r="AZ202" i="3" s="1"/>
  <c r="BL24" i="3"/>
  <c r="AZ24" i="3" s="1"/>
  <c r="BA35" i="3"/>
  <c r="AZ35" i="3" s="1"/>
  <c r="BA38" i="3"/>
  <c r="AZ38" i="3" s="1"/>
  <c r="BL40" i="3"/>
  <c r="AZ40" i="3" s="1"/>
  <c r="BL47" i="3"/>
  <c r="AZ47" i="3" s="1"/>
  <c r="BA52" i="3"/>
  <c r="AZ52" i="3" s="1"/>
  <c r="BL141" i="3"/>
  <c r="AZ141" i="3" s="1"/>
  <c r="BA158" i="3"/>
  <c r="AZ158" i="3" s="1"/>
  <c r="BA162" i="3"/>
  <c r="AZ162" i="3" s="1"/>
  <c r="BL163" i="3"/>
  <c r="BL164" i="3"/>
  <c r="AZ164" i="3" s="1"/>
  <c r="BL171" i="3"/>
  <c r="AZ171" i="3" s="1"/>
  <c r="BL172" i="3"/>
  <c r="AZ172" i="3" s="1"/>
  <c r="BL182" i="3"/>
  <c r="AZ182" i="3" s="1"/>
  <c r="BL186" i="3"/>
  <c r="BA32" i="3"/>
  <c r="AZ32" i="3" s="1"/>
  <c r="AZ33" i="3"/>
  <c r="AZ37" i="3"/>
  <c r="AZ49" i="3"/>
  <c r="AZ61" i="3"/>
  <c r="AZ65" i="3"/>
  <c r="AZ68" i="3"/>
  <c r="AZ88" i="3"/>
  <c r="BL293" i="3"/>
  <c r="AZ293" i="3" s="1"/>
  <c r="AZ155" i="3"/>
  <c r="BA156" i="3"/>
  <c r="AZ156" i="3" s="1"/>
  <c r="BL161" i="3"/>
  <c r="AZ161" i="3" s="1"/>
  <c r="BA177" i="3"/>
  <c r="AZ177" i="3" s="1"/>
  <c r="BA193" i="3"/>
  <c r="AZ193" i="3" s="1"/>
  <c r="BA34" i="3"/>
  <c r="AZ34" i="3" s="1"/>
  <c r="BA103" i="3"/>
  <c r="BA60" i="3"/>
  <c r="AZ60" i="3" s="1"/>
  <c r="G67" i="3"/>
  <c r="G76" i="3"/>
  <c r="BA78" i="3"/>
  <c r="BL84" i="3"/>
  <c r="AZ84" i="3" s="1"/>
  <c r="BL96" i="3"/>
  <c r="AZ96" i="3" s="1"/>
  <c r="D76" i="59"/>
  <c r="C75" i="59"/>
  <c r="D75" i="59" s="1"/>
  <c r="D81" i="59"/>
  <c r="C80" i="59"/>
  <c r="D84" i="59"/>
  <c r="C83" i="59"/>
  <c r="D83" i="59" s="1"/>
  <c r="N4" i="63"/>
  <c r="B21" i="63"/>
  <c r="BL59" i="3"/>
  <c r="AZ59" i="3" s="1"/>
  <c r="BL66" i="3"/>
  <c r="BL75" i="3"/>
  <c r="AZ75" i="3" s="1"/>
  <c r="BA79" i="3"/>
  <c r="AZ79" i="3" s="1"/>
  <c r="BL87" i="3"/>
  <c r="AZ87" i="3" s="1"/>
  <c r="AZ101" i="3"/>
  <c r="G8" i="1"/>
  <c r="C36" i="59"/>
  <c r="D35" i="59"/>
  <c r="C49" i="59"/>
  <c r="D48" i="59"/>
  <c r="E64" i="59"/>
  <c r="P65" i="59"/>
  <c r="BL54" i="3"/>
  <c r="AZ54" i="3" s="1"/>
  <c r="BA70" i="3"/>
  <c r="AZ70" i="3" s="1"/>
  <c r="BA81" i="3"/>
  <c r="AZ81" i="3" s="1"/>
  <c r="BA92" i="3"/>
  <c r="AZ92" i="3" s="1"/>
  <c r="BA110" i="3"/>
  <c r="AZ110" i="3" s="1"/>
  <c r="I21" i="57"/>
  <c r="D1" i="57"/>
  <c r="E10" i="57" s="1"/>
  <c r="BA51" i="3"/>
  <c r="AZ51" i="3" s="1"/>
  <c r="G61" i="3"/>
  <c r="BL69" i="3"/>
  <c r="AZ69" i="3" s="1"/>
  <c r="BL78" i="3"/>
  <c r="BL80" i="3"/>
  <c r="BA82" i="3"/>
  <c r="AZ82" i="3" s="1"/>
  <c r="BL89" i="3"/>
  <c r="AZ89" i="3" s="1"/>
  <c r="BL100" i="3"/>
  <c r="AZ100" i="3" s="1"/>
  <c r="BA104" i="3"/>
  <c r="AZ104" i="3" s="1"/>
  <c r="BL109" i="3"/>
  <c r="AZ109" i="3" s="1"/>
  <c r="C61" i="59"/>
  <c r="D60" i="59"/>
  <c r="B76" i="59"/>
  <c r="B75" i="59" s="1"/>
  <c r="AC12" i="46"/>
  <c r="BA57" i="3"/>
  <c r="AZ57" i="3" s="1"/>
  <c r="BA63" i="3"/>
  <c r="AZ63" i="3" s="1"/>
  <c r="BA64" i="3"/>
  <c r="AZ64" i="3" s="1"/>
  <c r="BA72" i="3"/>
  <c r="AZ72" i="3" s="1"/>
  <c r="BA73" i="3"/>
  <c r="AZ73" i="3" s="1"/>
  <c r="G82" i="3"/>
  <c r="BL90" i="3"/>
  <c r="AZ90" i="3" s="1"/>
  <c r="BL91" i="3"/>
  <c r="BA95" i="3"/>
  <c r="AZ95" i="3" s="1"/>
  <c r="BA112" i="3"/>
  <c r="AZ112" i="3" s="1"/>
  <c r="X26" i="59"/>
  <c r="B27" i="59"/>
  <c r="B28" i="59" s="1"/>
  <c r="B29" i="59" s="1"/>
  <c r="S29" i="59" s="1"/>
  <c r="U69" i="59"/>
  <c r="E68" i="59"/>
  <c r="E67" i="59" s="1"/>
  <c r="U73" i="59"/>
  <c r="E72" i="59"/>
  <c r="E71" i="59" s="1"/>
  <c r="S25" i="59"/>
  <c r="B24" i="59"/>
  <c r="B23" i="59" s="1"/>
  <c r="BL56" i="3"/>
  <c r="AZ56" i="3" s="1"/>
  <c r="BL81" i="3"/>
  <c r="BA86" i="3"/>
  <c r="AZ86" i="3" s="1"/>
  <c r="BL103" i="3"/>
  <c r="O62" i="59"/>
  <c r="O63" i="59"/>
  <c r="G38" i="3"/>
  <c r="BA46" i="3"/>
  <c r="AZ46" i="3" s="1"/>
  <c r="G52" i="3"/>
  <c r="G64" i="3"/>
  <c r="BA66" i="3"/>
  <c r="AZ66" i="3" s="1"/>
  <c r="BA67" i="3"/>
  <c r="AZ67" i="3" s="1"/>
  <c r="G73" i="3"/>
  <c r="BA76" i="3"/>
  <c r="AZ76" i="3" s="1"/>
  <c r="BA85" i="3"/>
  <c r="AZ85" i="3" s="1"/>
  <c r="BL93" i="3"/>
  <c r="AZ93" i="3" s="1"/>
  <c r="BL94" i="3"/>
  <c r="AZ94" i="3" s="1"/>
  <c r="BA97" i="3"/>
  <c r="AZ97" i="3" s="1"/>
  <c r="BA107" i="3"/>
  <c r="AZ107" i="3" s="1"/>
  <c r="P27" i="6"/>
  <c r="D63" i="59"/>
  <c r="Y31" i="59"/>
  <c r="Z31" i="59" s="1"/>
  <c r="C27" i="40"/>
  <c r="C57" i="59"/>
  <c r="Y28" i="59"/>
  <c r="Z28" i="59" s="1"/>
  <c r="X30" i="59"/>
  <c r="AA31" i="59"/>
  <c r="AA33" i="59"/>
  <c r="E40" i="59"/>
  <c r="E41" i="59" s="1"/>
  <c r="U41" i="59" s="1"/>
  <c r="B60" i="59"/>
  <c r="B61" i="59" s="1"/>
  <c r="S61" i="59" s="1"/>
  <c r="S31" i="39"/>
  <c r="D64" i="59"/>
  <c r="C72" i="59"/>
  <c r="D47" i="59"/>
  <c r="D27" i="59"/>
  <c r="Y30" i="59"/>
  <c r="Z30" i="59" s="1"/>
  <c r="X35" i="59"/>
  <c r="X5" i="59"/>
  <c r="E56" i="59"/>
  <c r="E57" i="59" s="1"/>
  <c r="U57" i="59" s="1"/>
  <c r="A28" i="64"/>
  <c r="S27" i="40"/>
  <c r="D53" i="59"/>
  <c r="D29" i="59"/>
  <c r="D40" i="59"/>
  <c r="O64" i="59"/>
  <c r="AB28" i="59"/>
  <c r="X32" i="59"/>
  <c r="Y35" i="59"/>
  <c r="Z35" i="59" s="1"/>
  <c r="Y5" i="59"/>
  <c r="Z5" i="59" s="1"/>
  <c r="B52" i="59"/>
  <c r="B53" i="59" s="1"/>
  <c r="S53" i="59" s="1"/>
  <c r="F56" i="59"/>
  <c r="F57" i="59" s="1"/>
  <c r="V57" i="59" s="1"/>
  <c r="B37" i="59"/>
  <c r="S37" i="59" s="1"/>
  <c r="AA35" i="59"/>
  <c r="AA5" i="59"/>
  <c r="Y27" i="59"/>
  <c r="Z27" i="59" s="1"/>
  <c r="Y29" i="59"/>
  <c r="Z29" i="59" s="1"/>
  <c r="AA32" i="59"/>
  <c r="X34" i="59"/>
  <c r="AB35" i="59"/>
  <c r="AB5" i="59"/>
  <c r="F48" i="59"/>
  <c r="F49" i="59" s="1"/>
  <c r="V49" i="59" s="1"/>
  <c r="K76" i="9"/>
  <c r="D23" i="15"/>
  <c r="Q65" i="59"/>
  <c r="AA27" i="59"/>
  <c r="AB30" i="59"/>
  <c r="F16" i="59"/>
  <c r="F15" i="59" s="1"/>
  <c r="F14" i="59" s="1"/>
  <c r="F13" i="59" s="1"/>
  <c r="V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E58" i="39"/>
  <c r="F27" i="6"/>
  <c r="F31" i="6" s="1"/>
  <c r="E53" i="40"/>
  <c r="AP7" i="1"/>
  <c r="AP16" i="1" s="1"/>
  <c r="G9" i="1"/>
  <c r="G10" i="1"/>
  <c r="K17" i="4"/>
  <c r="A22" i="51" s="1"/>
  <c r="B16" i="63" s="1"/>
  <c r="Q16" i="1"/>
  <c r="D70" i="39"/>
  <c r="C72" i="39"/>
  <c r="C67" i="40"/>
  <c r="D65" i="40"/>
  <c r="G17" i="46"/>
  <c r="C16" i="46" s="1"/>
  <c r="D5" i="46" s="1"/>
  <c r="Y11" i="46"/>
  <c r="Y13" i="46" s="1"/>
  <c r="G22" i="46"/>
  <c r="F101" i="46"/>
  <c r="F104" i="46" s="1"/>
  <c r="M101" i="46"/>
  <c r="M107" i="46" s="1"/>
  <c r="AC11" i="46"/>
  <c r="AC13" i="46" s="1"/>
  <c r="AJ11" i="46"/>
  <c r="AJ13" i="46" s="1"/>
  <c r="C101" i="46"/>
  <c r="C105" i="46" s="1"/>
  <c r="J101" i="46"/>
  <c r="J104" i="46" s="1"/>
  <c r="N104" i="45"/>
  <c r="F22" i="46"/>
  <c r="D22" i="46" s="1"/>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BL13" i="3"/>
  <c r="L19" i="6"/>
  <c r="L27" i="6" s="1"/>
  <c r="H12" i="48"/>
  <c r="G6" i="1"/>
  <c r="I20" i="46"/>
  <c r="L48" i="35"/>
  <c r="M48" i="35" s="1"/>
  <c r="N48" i="35" s="1"/>
  <c r="O48" i="35" s="1"/>
  <c r="I46" i="36"/>
  <c r="J46" i="36" s="1"/>
  <c r="K46" i="36" s="1"/>
  <c r="L46" i="36" s="1"/>
  <c r="M46" i="36" s="1"/>
  <c r="N46" i="36" s="1"/>
  <c r="O46" i="36" s="1"/>
  <c r="F7" i="36"/>
  <c r="J7" i="36"/>
  <c r="L52" i="37"/>
  <c r="M52" i="37" s="1"/>
  <c r="N52" i="37" s="1"/>
  <c r="O52" i="37" s="1"/>
  <c r="D58" i="33"/>
  <c r="D58" i="21"/>
  <c r="D59" i="34"/>
  <c r="A25" i="51"/>
  <c r="B18" i="63" s="1"/>
  <c r="C95" i="9"/>
  <c r="C92" i="9" s="1"/>
  <c r="H71" i="46"/>
  <c r="H75" i="46"/>
  <c r="H72" i="46"/>
  <c r="H77" i="46"/>
  <c r="H70" i="46"/>
  <c r="H73" i="46"/>
  <c r="H74" i="46"/>
  <c r="H69" i="46"/>
  <c r="H76" i="46"/>
  <c r="O9" i="1"/>
  <c r="P9" i="1" s="1"/>
  <c r="M104" i="46"/>
  <c r="O8" i="1"/>
  <c r="P8" i="1" s="1"/>
  <c r="O6" i="1"/>
  <c r="AZ13" i="3"/>
  <c r="E14" i="6"/>
  <c r="E13" i="6"/>
  <c r="E10" i="6"/>
  <c r="M105" i="46"/>
  <c r="K77" i="9"/>
  <c r="K79" i="9" s="1"/>
  <c r="K81" i="9" s="1"/>
  <c r="E12" i="52"/>
  <c r="B15" i="52"/>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L44" i="9"/>
  <c r="G20" i="9"/>
  <c r="E20" i="46"/>
  <c r="G21" i="9"/>
  <c r="L43" i="9"/>
  <c r="G19" i="9"/>
  <c r="D22" i="9"/>
  <c r="Q73" i="44"/>
  <c r="C29" i="44"/>
  <c r="C8" i="44"/>
  <c r="J1" i="65"/>
  <c r="I1" i="65"/>
  <c r="M9" i="44"/>
  <c r="J8" i="44" s="1"/>
  <c r="L60" i="44"/>
  <c r="L59" i="44"/>
  <c r="J53" i="15"/>
  <c r="J57" i="15"/>
  <c r="J55" i="15" s="1"/>
  <c r="J58" i="15" s="1"/>
  <c r="Q51" i="15" s="1"/>
  <c r="I54" i="15"/>
  <c r="L56" i="15"/>
  <c r="I55" i="44"/>
  <c r="J54" i="44"/>
  <c r="L57" i="44"/>
  <c r="J58" i="44"/>
  <c r="J56" i="44" s="1"/>
  <c r="J59" i="44" s="1"/>
  <c r="Q52" i="44" s="1"/>
  <c r="J60" i="44"/>
  <c r="J61" i="44"/>
  <c r="Q50" i="44" s="1"/>
  <c r="F63" i="15"/>
  <c r="C4" i="65"/>
  <c r="B39" i="1" s="1"/>
  <c r="C15" i="43"/>
  <c r="F21" i="43"/>
  <c r="D21" i="12"/>
  <c r="M24" i="15"/>
  <c r="L47" i="15"/>
  <c r="M27" i="15"/>
  <c r="F26" i="15"/>
  <c r="F7" i="15"/>
  <c r="M9" i="15"/>
  <c r="F38" i="15"/>
  <c r="F43" i="15"/>
  <c r="M22" i="15"/>
  <c r="F9" i="15"/>
  <c r="C18" i="44"/>
  <c r="E2" i="65"/>
  <c r="F8" i="15"/>
  <c r="F42" i="15"/>
  <c r="F6" i="15"/>
  <c r="F37" i="15"/>
  <c r="F40" i="15"/>
  <c r="M29" i="15"/>
  <c r="J36" i="15"/>
  <c r="J15" i="15"/>
  <c r="M26" i="15"/>
  <c r="M6" i="15"/>
  <c r="M28" i="15"/>
  <c r="F16" i="15"/>
  <c r="E3" i="65"/>
  <c r="C21" i="12" l="1"/>
  <c r="H65" i="46"/>
  <c r="H59" i="46"/>
  <c r="H66" i="46"/>
  <c r="H58" i="46"/>
  <c r="H63" i="46"/>
  <c r="H61" i="46"/>
  <c r="H62" i="46"/>
  <c r="H60" i="46"/>
  <c r="M103" i="46"/>
  <c r="M109" i="46"/>
  <c r="M106" i="46"/>
  <c r="M102" i="46"/>
  <c r="J105" i="46"/>
  <c r="C102" i="46"/>
  <c r="J109" i="46"/>
  <c r="C5" i="46"/>
  <c r="F7" i="35"/>
  <c r="AA7" i="35" s="1"/>
  <c r="R38" i="35" s="1"/>
  <c r="H7" i="35"/>
  <c r="U7" i="35" s="1"/>
  <c r="J7" i="35"/>
  <c r="AC7" i="35" s="1"/>
  <c r="V38" i="35" s="1"/>
  <c r="I38" i="35" s="1"/>
  <c r="F64" i="15"/>
  <c r="F65" i="15"/>
  <c r="F67" i="15"/>
  <c r="C6" i="15"/>
  <c r="F31" i="15"/>
  <c r="Q72" i="15"/>
  <c r="F49" i="15"/>
  <c r="M7" i="15"/>
  <c r="M17" i="15" s="1"/>
  <c r="C27" i="15"/>
  <c r="L58" i="15"/>
  <c r="Q61" i="15" s="1"/>
  <c r="L59" i="15"/>
  <c r="Q62" i="15" s="1"/>
  <c r="F50" i="15"/>
  <c r="F70" i="15"/>
  <c r="G30" i="6"/>
  <c r="G31" i="6" s="1"/>
  <c r="E28" i="6"/>
  <c r="C71" i="59"/>
  <c r="D71" i="59" s="1"/>
  <c r="D72" i="59"/>
  <c r="AC36" i="35"/>
  <c r="W36" i="35"/>
  <c r="AC26" i="33"/>
  <c r="W26" i="33"/>
  <c r="AC14" i="33"/>
  <c r="W14" i="33"/>
  <c r="BA5" i="3"/>
  <c r="E27" i="6" s="1"/>
  <c r="D57" i="59"/>
  <c r="T57" i="59"/>
  <c r="P64" i="59"/>
  <c r="E63" i="59"/>
  <c r="D80" i="59"/>
  <c r="C79" i="59"/>
  <c r="D79" i="59" s="1"/>
  <c r="AZ229" i="3"/>
  <c r="AA26" i="33"/>
  <c r="S26" i="33"/>
  <c r="G5" i="3"/>
  <c r="B3" i="3" s="1"/>
  <c r="E460" i="3" s="1"/>
  <c r="U14" i="33"/>
  <c r="AB14" i="33"/>
  <c r="AB28" i="21"/>
  <c r="U28" i="21"/>
  <c r="U28" i="33"/>
  <c r="AB28" i="33"/>
  <c r="M87" i="9"/>
  <c r="N87" i="9" s="1"/>
  <c r="M86" i="9"/>
  <c r="N86" i="9" s="1"/>
  <c r="M85" i="9"/>
  <c r="N85" i="9" s="1"/>
  <c r="M84" i="9"/>
  <c r="N84" i="9" s="1"/>
  <c r="M83" i="9"/>
  <c r="N83" i="9" s="1"/>
  <c r="N89" i="9" s="1"/>
  <c r="O89" i="9" s="1"/>
  <c r="M88" i="9"/>
  <c r="N88" i="9" s="1"/>
  <c r="D17" i="59"/>
  <c r="AZ384" i="3"/>
  <c r="AB34" i="35"/>
  <c r="U34" i="35"/>
  <c r="S39" i="37"/>
  <c r="AA39" i="37"/>
  <c r="AB46" i="33"/>
  <c r="U46" i="33"/>
  <c r="S28" i="21"/>
  <c r="AA28" i="21"/>
  <c r="AA28" i="33"/>
  <c r="S28" i="33"/>
  <c r="BL5" i="3"/>
  <c r="T17" i="59"/>
  <c r="T49" i="59"/>
  <c r="D49" i="59"/>
  <c r="AZ103" i="3"/>
  <c r="AZ91" i="3"/>
  <c r="AZ388" i="3"/>
  <c r="AZ369" i="3"/>
  <c r="AC34" i="35"/>
  <c r="W34" i="35"/>
  <c r="AB46" i="21"/>
  <c r="U46" i="21"/>
  <c r="E450" i="3"/>
  <c r="AB12" i="35"/>
  <c r="U12" i="35"/>
  <c r="AB27" i="21"/>
  <c r="U27" i="21"/>
  <c r="AC28" i="21"/>
  <c r="W28" i="21"/>
  <c r="AA24" i="35"/>
  <c r="S24" i="35"/>
  <c r="F105" i="46"/>
  <c r="C37" i="59"/>
  <c r="D36" i="59"/>
  <c r="U29" i="21"/>
  <c r="AB29" i="21"/>
  <c r="AB24" i="35"/>
  <c r="U24" i="35"/>
  <c r="M20" i="44"/>
  <c r="H7" i="36"/>
  <c r="U7" i="36" s="1"/>
  <c r="E11" i="6"/>
  <c r="T61" i="59"/>
  <c r="D61" i="59"/>
  <c r="AA9" i="35"/>
  <c r="S9" i="35"/>
  <c r="AA24" i="36"/>
  <c r="S24" i="36"/>
  <c r="S29" i="21"/>
  <c r="AA29" i="21"/>
  <c r="W24" i="35"/>
  <c r="AC24" i="35"/>
  <c r="AZ78" i="3"/>
  <c r="AZ163" i="3"/>
  <c r="AZ5" i="3" s="1"/>
  <c r="AA27" i="33"/>
  <c r="S27" i="33"/>
  <c r="AB9" i="35"/>
  <c r="U9" i="35"/>
  <c r="U24" i="36"/>
  <c r="AB24" i="36"/>
  <c r="AB39" i="37"/>
  <c r="U39" i="37"/>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C34" i="44" s="1"/>
  <c r="F72" i="9"/>
  <c r="F70" i="9"/>
  <c r="F30" i="44"/>
  <c r="C30" i="44" s="1"/>
  <c r="F24" i="43"/>
  <c r="D86" i="9"/>
  <c r="F71" i="9"/>
  <c r="F29" i="12"/>
  <c r="G16" i="1"/>
  <c r="H12" i="39" s="1"/>
  <c r="AB12" i="39" s="1"/>
  <c r="I109" i="46"/>
  <c r="I106" i="46"/>
  <c r="B40" i="1"/>
  <c r="F20" i="43" s="1"/>
  <c r="C107" i="46"/>
  <c r="F7" i="37"/>
  <c r="S7" i="37" s="1"/>
  <c r="D67" i="40"/>
  <c r="E65" i="40"/>
  <c r="E70" i="39"/>
  <c r="D72" i="39"/>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C23" i="46" s="1"/>
  <c r="C21" i="46" s="1"/>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U7" i="37" s="1"/>
  <c r="AB7" i="36"/>
  <c r="T36" i="36" s="1"/>
  <c r="G36" i="36" s="1"/>
  <c r="S7" i="36"/>
  <c r="AA7" i="36"/>
  <c r="R36" i="36" s="1"/>
  <c r="S7" i="35"/>
  <c r="E59" i="34"/>
  <c r="E58" i="21"/>
  <c r="E58" i="33"/>
  <c r="W7" i="36"/>
  <c r="AC7" i="36"/>
  <c r="V36" i="36" s="1"/>
  <c r="I36" i="36" s="1"/>
  <c r="E60" i="40"/>
  <c r="E65" i="39"/>
  <c r="P6" i="1"/>
  <c r="E61" i="40"/>
  <c r="E66" i="39"/>
  <c r="M19" i="44"/>
  <c r="C19" i="46"/>
  <c r="F17" i="11"/>
  <c r="L47" i="44"/>
  <c r="C32" i="9"/>
  <c r="N43" i="9"/>
  <c r="M13" i="44"/>
  <c r="J12" i="44" s="1"/>
  <c r="J7" i="44" s="1"/>
  <c r="F11" i="15"/>
  <c r="M11" i="15"/>
  <c r="J10" i="15" s="1"/>
  <c r="F13" i="44"/>
  <c r="C12" i="44" s="1"/>
  <c r="C7" i="44" s="1"/>
  <c r="Q75" i="44"/>
  <c r="Q62" i="44"/>
  <c r="M28" i="46"/>
  <c r="P28" i="46"/>
  <c r="O28" i="46"/>
  <c r="N28" i="46"/>
  <c r="F1" i="44"/>
  <c r="Q54" i="44"/>
  <c r="J20" i="44"/>
  <c r="Q63" i="44"/>
  <c r="Q76" i="44"/>
  <c r="F1" i="15"/>
  <c r="Q53" i="15"/>
  <c r="AE6" i="1"/>
  <c r="C16" i="15"/>
  <c r="F33" i="12"/>
  <c r="C34" i="12" l="1"/>
  <c r="D33" i="12" s="1"/>
  <c r="C32" i="15"/>
  <c r="S3" i="46"/>
  <c r="S7" i="46"/>
  <c r="S2" i="46"/>
  <c r="S5" i="46"/>
  <c r="S6" i="46"/>
  <c r="S4" i="46"/>
  <c r="E275" i="3"/>
  <c r="E349" i="3"/>
  <c r="E329" i="3"/>
  <c r="E76" i="3"/>
  <c r="E67" i="3"/>
  <c r="E465" i="3"/>
  <c r="E478" i="3"/>
  <c r="E453" i="3"/>
  <c r="E553" i="3"/>
  <c r="E73" i="3"/>
  <c r="J6" i="15"/>
  <c r="J18" i="15" s="1"/>
  <c r="Q74" i="15"/>
  <c r="G20" i="46"/>
  <c r="E41" i="46" s="1"/>
  <c r="C41" i="46" s="1"/>
  <c r="C38" i="46" s="1"/>
  <c r="Q75" i="15"/>
  <c r="AB7" i="35"/>
  <c r="T38" i="35" s="1"/>
  <c r="G38" i="35" s="1"/>
  <c r="W7" i="35"/>
  <c r="AA7" i="37"/>
  <c r="R42" i="37" s="1"/>
  <c r="C48" i="15"/>
  <c r="E3" i="6"/>
  <c r="AY6" i="3"/>
  <c r="AN6" i="3"/>
  <c r="E464" i="3"/>
  <c r="E237" i="3"/>
  <c r="E100" i="3"/>
  <c r="E223" i="3"/>
  <c r="E399" i="3"/>
  <c r="E179" i="3"/>
  <c r="E444" i="3"/>
  <c r="E247" i="3"/>
  <c r="E560" i="3"/>
  <c r="E111" i="3"/>
  <c r="E261" i="3"/>
  <c r="E39" i="3"/>
  <c r="E107" i="3"/>
  <c r="E288" i="3"/>
  <c r="E393" i="3"/>
  <c r="E88" i="3"/>
  <c r="E480" i="3"/>
  <c r="E220" i="3"/>
  <c r="E517" i="3"/>
  <c r="AQ6" i="3"/>
  <c r="E162" i="3"/>
  <c r="E235" i="3"/>
  <c r="E229" i="3"/>
  <c r="E120" i="3"/>
  <c r="E191" i="3"/>
  <c r="E555" i="3"/>
  <c r="E355" i="3"/>
  <c r="E499" i="3"/>
  <c r="E558" i="3"/>
  <c r="E173" i="3"/>
  <c r="E436" i="3"/>
  <c r="E260" i="3"/>
  <c r="E432" i="3"/>
  <c r="E153" i="3"/>
  <c r="E339" i="3"/>
  <c r="E14" i="3"/>
  <c r="E118" i="3"/>
  <c r="E378" i="3"/>
  <c r="E364" i="3"/>
  <c r="E342" i="3"/>
  <c r="E522" i="3"/>
  <c r="E572" i="3"/>
  <c r="E227" i="3"/>
  <c r="E488" i="3"/>
  <c r="E71" i="3"/>
  <c r="E240" i="3"/>
  <c r="E382" i="3"/>
  <c r="E326" i="3"/>
  <c r="E481" i="3"/>
  <c r="E68" i="3"/>
  <c r="E147" i="3"/>
  <c r="E439" i="3"/>
  <c r="E117" i="3"/>
  <c r="E528" i="3"/>
  <c r="E311" i="3"/>
  <c r="E424" i="3"/>
  <c r="E164" i="3"/>
  <c r="E262" i="3"/>
  <c r="E475" i="3"/>
  <c r="E206" i="3"/>
  <c r="E115" i="3"/>
  <c r="E195" i="3"/>
  <c r="E321" i="3"/>
  <c r="E266" i="3"/>
  <c r="I6" i="3"/>
  <c r="Z6" i="3"/>
  <c r="E520" i="3"/>
  <c r="E418" i="3"/>
  <c r="E41" i="3"/>
  <c r="E92" i="3"/>
  <c r="E202" i="3"/>
  <c r="E249" i="3"/>
  <c r="E463" i="3"/>
  <c r="E426" i="3"/>
  <c r="E75" i="3"/>
  <c r="J6" i="3"/>
  <c r="E438" i="3"/>
  <c r="E363" i="3"/>
  <c r="E79" i="3"/>
  <c r="E401" i="3"/>
  <c r="E27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13" i="3"/>
  <c r="E250" i="3"/>
  <c r="E414" i="3"/>
  <c r="E280" i="3"/>
  <c r="E157" i="3"/>
  <c r="E304" i="3"/>
  <c r="E404" i="3"/>
  <c r="E441" i="3"/>
  <c r="E415" i="3"/>
  <c r="E28" i="3"/>
  <c r="E168" i="3"/>
  <c r="E407" i="3"/>
  <c r="E533" i="3"/>
  <c r="E37" i="3"/>
  <c r="E303" i="3"/>
  <c r="E467" i="3"/>
  <c r="E214" i="3"/>
  <c r="E486"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AB6" i="3"/>
  <c r="S6" i="3"/>
  <c r="E377" i="3"/>
  <c r="E358" i="3"/>
  <c r="E20" i="3"/>
  <c r="E192" i="3"/>
  <c r="E348" i="3"/>
  <c r="E394" i="3"/>
  <c r="E282" i="3"/>
  <c r="E375" i="3"/>
  <c r="E83" i="3"/>
  <c r="E222" i="3"/>
  <c r="E430" i="3"/>
  <c r="E77" i="3"/>
  <c r="E552" i="3"/>
  <c r="E411" i="3"/>
  <c r="E471" i="3"/>
  <c r="E238" i="3"/>
  <c r="E492" i="3"/>
  <c r="E89" i="3"/>
  <c r="E170" i="3"/>
  <c r="E32" i="3"/>
  <c r="E447" i="3"/>
  <c r="Q6" i="3"/>
  <c r="E500" i="3"/>
  <c r="AE6" i="3"/>
  <c r="E136" i="3"/>
  <c r="E85" i="3"/>
  <c r="E332" i="3"/>
  <c r="E139" i="3"/>
  <c r="E445" i="3"/>
  <c r="E556" i="3"/>
  <c r="E291" i="3"/>
  <c r="E527" i="3"/>
  <c r="E365" i="3"/>
  <c r="E248" i="3"/>
  <c r="E336" i="3"/>
  <c r="AR6" i="3"/>
  <c r="E65" i="3"/>
  <c r="E513"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413" i="3"/>
  <c r="E241" i="3"/>
  <c r="E446" i="3"/>
  <c r="E437" i="3"/>
  <c r="E221" i="3"/>
  <c r="E31" i="3"/>
  <c r="AA6" i="3"/>
  <c r="E299" i="3"/>
  <c r="E103" i="3"/>
  <c r="E62" i="3"/>
  <c r="E230" i="3"/>
  <c r="E395" i="3"/>
  <c r="E59" i="3"/>
  <c r="E209" i="3"/>
  <c r="E36" i="3"/>
  <c r="E428" i="3"/>
  <c r="E374" i="3"/>
  <c r="E205" i="3"/>
  <c r="E357" i="3"/>
  <c r="AS6" i="3"/>
  <c r="E383" i="3"/>
  <c r="E190" i="3"/>
  <c r="E420" i="3"/>
  <c r="E233" i="3"/>
  <c r="E203" i="3"/>
  <c r="E402" i="3"/>
  <c r="E172" i="3"/>
  <c r="E255" i="3"/>
  <c r="E417" i="3"/>
  <c r="E145" i="3"/>
  <c r="E279" i="3"/>
  <c r="E347" i="3"/>
  <c r="E400" i="3"/>
  <c r="E58" i="3"/>
  <c r="E197" i="3"/>
  <c r="E285"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86" i="3"/>
  <c r="E135" i="3"/>
  <c r="E22" i="3"/>
  <c r="E459" i="3"/>
  <c r="E231" i="3"/>
  <c r="E470" i="3"/>
  <c r="E186" i="3"/>
  <c r="E263" i="3"/>
  <c r="E99" i="3"/>
  <c r="E101" i="3"/>
  <c r="E44" i="3"/>
  <c r="I3" i="6"/>
  <c r="E33" i="3"/>
  <c r="E550" i="3"/>
  <c r="E257" i="3"/>
  <c r="E429" i="3"/>
  <c r="E449" i="3"/>
  <c r="E211" i="3"/>
  <c r="E74" i="3"/>
  <c r="E133" i="3"/>
  <c r="E40" i="3"/>
  <c r="E508" i="3"/>
  <c r="E569" i="3"/>
  <c r="E392" i="3"/>
  <c r="E35" i="3"/>
  <c r="E485" i="3"/>
  <c r="E497" i="3"/>
  <c r="E155" i="3"/>
  <c r="E565" i="3"/>
  <c r="E69" i="3"/>
  <c r="E570" i="3"/>
  <c r="E215" i="3"/>
  <c r="E389" i="3"/>
  <c r="E30" i="3"/>
  <c r="E178" i="3"/>
  <c r="E289" i="3"/>
  <c r="E451" i="3"/>
  <c r="E308" i="3"/>
  <c r="E51" i="3"/>
  <c r="E123" i="3"/>
  <c r="E29" i="3"/>
  <c r="E324" i="3"/>
  <c r="E81" i="3"/>
  <c r="E15" i="3"/>
  <c r="T6" i="3"/>
  <c r="E312" i="3"/>
  <c r="E340" i="3"/>
  <c r="E273" i="3"/>
  <c r="E17" i="3"/>
  <c r="E557" i="3"/>
  <c r="E132" i="3"/>
  <c r="E388" i="3"/>
  <c r="AK6" i="3"/>
  <c r="E391" i="3"/>
  <c r="E57" i="3"/>
  <c r="E196" i="3"/>
  <c r="E87" i="3"/>
  <c r="E493" i="3"/>
  <c r="E182" i="3"/>
  <c r="E566" i="3"/>
  <c r="E346" i="3"/>
  <c r="AO6" i="3"/>
  <c r="E152" i="3"/>
  <c r="E409" i="3"/>
  <c r="E548" i="3"/>
  <c r="E143" i="3"/>
  <c r="E549" i="3"/>
  <c r="L6" i="3"/>
  <c r="E126" i="3"/>
  <c r="E242" i="3"/>
  <c r="E456" i="3"/>
  <c r="E212" i="3"/>
  <c r="E571" i="3"/>
  <c r="E328" i="3"/>
  <c r="M6" i="3"/>
  <c r="E55" i="3"/>
  <c r="E200" i="3"/>
  <c r="E149" i="3"/>
  <c r="E274" i="3"/>
  <c r="E141" i="3"/>
  <c r="E113" i="3"/>
  <c r="E245" i="3"/>
  <c r="E204" i="3"/>
  <c r="E309" i="3"/>
  <c r="E160" i="3"/>
  <c r="E290" i="3"/>
  <c r="E24" i="3"/>
  <c r="E319" i="3"/>
  <c r="E396" i="3"/>
  <c r="E19" i="3"/>
  <c r="E122" i="3"/>
  <c r="E506" i="3"/>
  <c r="E371" i="3"/>
  <c r="E461" i="3"/>
  <c r="E268" i="3"/>
  <c r="E564" i="3"/>
  <c r="E93" i="3"/>
  <c r="E327" i="3"/>
  <c r="E131" i="3"/>
  <c r="E292" i="3"/>
  <c r="E119" i="3"/>
  <c r="E189" i="3"/>
  <c r="E116" i="3"/>
  <c r="Y6" i="3"/>
  <c r="E121" i="3"/>
  <c r="E559" i="3"/>
  <c r="AJ6" i="3"/>
  <c r="E373" i="3"/>
  <c r="E483" i="3"/>
  <c r="E26" i="3"/>
  <c r="E503" i="3"/>
  <c r="E270" i="3"/>
  <c r="E547" i="3"/>
  <c r="E34" i="3"/>
  <c r="E425" i="3"/>
  <c r="E207" i="3"/>
  <c r="E448" i="3"/>
  <c r="AF6" i="3"/>
  <c r="E271" i="3"/>
  <c r="E216" i="3"/>
  <c r="E208" i="3"/>
  <c r="E567" i="3"/>
  <c r="E175" i="3"/>
  <c r="E297" i="3"/>
  <c r="E295" i="3"/>
  <c r="E367" i="3"/>
  <c r="E48" i="3"/>
  <c r="E568" i="3"/>
  <c r="E166" i="3"/>
  <c r="U6" i="3"/>
  <c r="E154" i="3"/>
  <c r="E416" i="3"/>
  <c r="E198" i="3"/>
  <c r="E66" i="3"/>
  <c r="E256" i="3"/>
  <c r="E334" i="3"/>
  <c r="E277" i="3"/>
  <c r="E251" i="3"/>
  <c r="E144" i="3"/>
  <c r="E514" i="3"/>
  <c r="E521" i="3"/>
  <c r="E563" i="3"/>
  <c r="E18" i="3"/>
  <c r="E476" i="3"/>
  <c r="E91" i="3"/>
  <c r="X6" i="3"/>
  <c r="E146" i="3"/>
  <c r="E127" i="3"/>
  <c r="E408" i="3"/>
  <c r="E165" i="3"/>
  <c r="E60" i="3"/>
  <c r="E97" i="3"/>
  <c r="E507" i="3"/>
  <c r="E372" i="3"/>
  <c r="E259" i="3"/>
  <c r="E466" i="3"/>
  <c r="E224" i="3"/>
  <c r="E458" i="3"/>
  <c r="E228" i="3"/>
  <c r="E108" i="3"/>
  <c r="E546" i="3"/>
  <c r="E360" i="3"/>
  <c r="E267" i="3"/>
  <c r="E532" i="3"/>
  <c r="E322" i="3"/>
  <c r="E541" i="3"/>
  <c r="E421" i="3"/>
  <c r="E46" i="3"/>
  <c r="E124" i="3"/>
  <c r="E454" i="3"/>
  <c r="E161" i="3"/>
  <c r="E80" i="3"/>
  <c r="E455" i="3"/>
  <c r="E539" i="3"/>
  <c r="E305" i="3"/>
  <c r="E96" i="3"/>
  <c r="E281" i="3"/>
  <c r="E491" i="3"/>
  <c r="E524" i="3"/>
  <c r="E56" i="3"/>
  <c r="E512" i="3"/>
  <c r="E112" i="3"/>
  <c r="E509" i="3"/>
  <c r="E114" i="3"/>
  <c r="E359" i="3"/>
  <c r="AD6" i="3"/>
  <c r="E434" i="3"/>
  <c r="E201" i="3"/>
  <c r="O6" i="3"/>
  <c r="E243" i="3"/>
  <c r="E325" i="3"/>
  <c r="E219" i="3"/>
  <c r="E130" i="3"/>
  <c r="E156" i="3"/>
  <c r="E193" i="3"/>
  <c r="E534" i="3"/>
  <c r="R6" i="3"/>
  <c r="AH6" i="3"/>
  <c r="E84" i="3"/>
  <c r="E431" i="3"/>
  <c r="E38" i="3"/>
  <c r="E313" i="3"/>
  <c r="E405" i="3"/>
  <c r="E265" i="3"/>
  <c r="E337" i="3"/>
  <c r="E472" i="3"/>
  <c r="E537" i="3"/>
  <c r="E452" i="3"/>
  <c r="E536" i="3"/>
  <c r="E462" i="3"/>
  <c r="E545" i="3"/>
  <c r="E482" i="3"/>
  <c r="N6" i="3"/>
  <c r="E253" i="3"/>
  <c r="E397" i="3"/>
  <c r="E473" i="3"/>
  <c r="E381" i="3"/>
  <c r="E278" i="3"/>
  <c r="E376" i="3"/>
  <c r="E21" i="3"/>
  <c r="E140" i="3"/>
  <c r="E142" i="3"/>
  <c r="E468" i="3"/>
  <c r="E185" i="3"/>
  <c r="E27" i="3"/>
  <c r="E469" i="3"/>
  <c r="E54" i="3"/>
  <c r="E184" i="3"/>
  <c r="E64" i="3"/>
  <c r="E412" i="3"/>
  <c r="E443" i="3"/>
  <c r="E78" i="3"/>
  <c r="E296" i="3"/>
  <c r="E225" i="3"/>
  <c r="E490" i="3"/>
  <c r="E442" i="3"/>
  <c r="E63" i="3"/>
  <c r="E129" i="3"/>
  <c r="E561" i="3"/>
  <c r="E194" i="3"/>
  <c r="E390" i="3"/>
  <c r="E187" i="3"/>
  <c r="E199" i="3"/>
  <c r="E435" i="3"/>
  <c r="E218" i="3"/>
  <c r="E110" i="3"/>
  <c r="E174" i="3"/>
  <c r="E98" i="3"/>
  <c r="E398" i="3"/>
  <c r="E151" i="3"/>
  <c r="E148" i="3"/>
  <c r="E283" i="3"/>
  <c r="E49" i="3"/>
  <c r="E104" i="3"/>
  <c r="E387" i="3"/>
  <c r="E125" i="3"/>
  <c r="P6" i="3"/>
  <c r="AP6" i="3"/>
  <c r="E70" i="3"/>
  <c r="E53" i="3"/>
  <c r="W6" i="3"/>
  <c r="H6" i="3" s="1"/>
  <c r="E23" i="3"/>
  <c r="AM6" i="3"/>
  <c r="E158" i="3"/>
  <c r="E213" i="3"/>
  <c r="E47" i="3"/>
  <c r="E232" i="3"/>
  <c r="E535" i="3"/>
  <c r="E427" i="3"/>
  <c r="E94" i="3"/>
  <c r="E294" i="3"/>
  <c r="E343" i="3"/>
  <c r="E410" i="3"/>
  <c r="E109" i="3"/>
  <c r="E293" i="3"/>
  <c r="E423" i="3"/>
  <c r="E422" i="3"/>
  <c r="E333" i="3"/>
  <c r="E345" i="3"/>
  <c r="E511" i="3"/>
  <c r="P62" i="59"/>
  <c r="P63" i="59"/>
  <c r="E52" i="3"/>
  <c r="F58" i="15"/>
  <c r="E516" i="3"/>
  <c r="T37" i="59"/>
  <c r="D37" i="59"/>
  <c r="E317" i="3"/>
  <c r="E61" i="3"/>
  <c r="E82" i="3"/>
  <c r="E487" i="3"/>
  <c r="K14" i="1"/>
  <c r="E30" i="6"/>
  <c r="K22" i="6"/>
  <c r="M22" i="6" s="1"/>
  <c r="I22" i="6" s="1"/>
  <c r="S22" i="6" s="1"/>
  <c r="K20" i="6"/>
  <c r="M20" i="6" s="1"/>
  <c r="I20" i="6" s="1"/>
  <c r="S20" i="6" s="1"/>
  <c r="K25" i="6"/>
  <c r="M25" i="6" s="1"/>
  <c r="I25" i="6" s="1"/>
  <c r="S25" i="6" s="1"/>
  <c r="K24" i="6"/>
  <c r="M24" i="6" s="1"/>
  <c r="I24" i="6" s="1"/>
  <c r="S24" i="6" s="1"/>
  <c r="K21" i="6"/>
  <c r="M21" i="6" s="1"/>
  <c r="I21" i="6" s="1"/>
  <c r="S21" i="6" s="1"/>
  <c r="K19" i="6"/>
  <c r="K23" i="6"/>
  <c r="M23" i="6" s="1"/>
  <c r="I23" i="6" s="1"/>
  <c r="S23" i="6" s="1"/>
  <c r="K26" i="6"/>
  <c r="M26" i="6" s="1"/>
  <c r="I26" i="6" s="1"/>
  <c r="S26" i="6" s="1"/>
  <c r="E31" i="6"/>
  <c r="E457" i="3"/>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J12" i="40"/>
  <c r="AC12" i="40" s="1"/>
  <c r="U12" i="39"/>
  <c r="J12" i="39"/>
  <c r="AC12" i="39" s="1"/>
  <c r="H12" i="40"/>
  <c r="U12" i="40" s="1"/>
  <c r="F12" i="39"/>
  <c r="S12" i="39" s="1"/>
  <c r="F12" i="40"/>
  <c r="S12" i="40" s="1"/>
  <c r="AB7" i="37"/>
  <c r="T42" i="37" s="1"/>
  <c r="G42" i="37" s="1"/>
  <c r="G46" i="37" s="1"/>
  <c r="H46" i="37" s="1"/>
  <c r="D20" i="43"/>
  <c r="E72" i="39"/>
  <c r="F70" i="39"/>
  <c r="F65" i="40"/>
  <c r="E67" i="40"/>
  <c r="C115" i="46"/>
  <c r="D113" i="46" s="1"/>
  <c r="W12" i="40"/>
  <c r="G42" i="35"/>
  <c r="H42" i="35" s="1"/>
  <c r="G43" i="35"/>
  <c r="H43" i="35" s="1"/>
  <c r="I40" i="36"/>
  <c r="J40" i="36" s="1"/>
  <c r="I46" i="37"/>
  <c r="J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H7" i="21"/>
  <c r="R37" i="36"/>
  <c r="E36" i="3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5" i="9" s="1"/>
  <c r="F42"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40" i="44"/>
  <c r="J28" i="44"/>
  <c r="J31" i="44" s="1"/>
  <c r="J26" i="44"/>
  <c r="O43" i="9"/>
  <c r="C42" i="9"/>
  <c r="O38" i="9"/>
  <c r="C52" i="15"/>
  <c r="C10" i="15"/>
  <c r="C5" i="15" s="1"/>
  <c r="F24" i="15"/>
  <c r="C24" i="15" s="1"/>
  <c r="F26" i="12"/>
  <c r="F26" i="44"/>
  <c r="C26" i="44" s="1"/>
  <c r="D16" i="43"/>
  <c r="F41" i="15"/>
  <c r="C15" i="12"/>
  <c r="C16" i="43" l="1"/>
  <c r="F68" i="15"/>
  <c r="J5" i="15"/>
  <c r="J24" i="15" s="1"/>
  <c r="C20" i="46"/>
  <c r="T9" i="46" s="1"/>
  <c r="V9" i="46" s="1"/>
  <c r="AC6" i="3"/>
  <c r="E6" i="3" s="1"/>
  <c r="C47" i="15"/>
  <c r="C65" i="15" s="1"/>
  <c r="C39" i="46"/>
  <c r="E39" i="46" s="1"/>
  <c r="AB12" i="40"/>
  <c r="M14" i="1"/>
  <c r="K16" i="1"/>
  <c r="C11" i="11" s="1"/>
  <c r="C10" i="11" s="1"/>
  <c r="D45" i="9"/>
  <c r="W12" i="39"/>
  <c r="J7" i="21"/>
  <c r="AC7" i="21" s="1"/>
  <c r="V48" i="21" s="1"/>
  <c r="I48" i="21" s="1"/>
  <c r="E6" i="6"/>
  <c r="D13" i="11" s="1"/>
  <c r="C13" i="11" s="1"/>
  <c r="AA12" i="39"/>
  <c r="C21" i="4"/>
  <c r="O5" i="54" s="1"/>
  <c r="B45" i="63" s="1"/>
  <c r="S6" i="1"/>
  <c r="M19" i="6"/>
  <c r="K27" i="6"/>
  <c r="L38" i="9"/>
  <c r="B14" i="66" s="1"/>
  <c r="B1" i="66" s="1"/>
  <c r="C6" i="66" s="1"/>
  <c r="D46" i="9"/>
  <c r="C33" i="9"/>
  <c r="D42" i="9" s="1"/>
  <c r="Q5" i="54" s="1"/>
  <c r="B47" i="63" s="1"/>
  <c r="D44" i="9"/>
  <c r="G47" i="37"/>
  <c r="H47" i="37" s="1"/>
  <c r="T33" i="59"/>
  <c r="D33" i="59"/>
  <c r="D14" i="59"/>
  <c r="C13" i="59"/>
  <c r="AA12" i="40"/>
  <c r="C34" i="9"/>
  <c r="E42" i="9" s="1"/>
  <c r="P5" i="54" s="1"/>
  <c r="B46" i="63" s="1"/>
  <c r="G70" i="39"/>
  <c r="F72" i="39"/>
  <c r="F67" i="40"/>
  <c r="G65" i="40"/>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8" i="66"/>
  <c r="C22" i="4"/>
  <c r="D21" i="6"/>
  <c r="D10" i="6"/>
  <c r="H21" i="6"/>
  <c r="D6" i="6"/>
  <c r="D14" i="6"/>
  <c r="D20" i="6"/>
  <c r="H23" i="6"/>
  <c r="F45" i="9"/>
  <c r="E68" i="39"/>
  <c r="D26" i="6"/>
  <c r="D22" i="6"/>
  <c r="D12" i="6"/>
  <c r="H25" i="6"/>
  <c r="D5" i="6"/>
  <c r="H22" i="6"/>
  <c r="H26" i="6"/>
  <c r="F46" i="9"/>
  <c r="E63" i="40"/>
  <c r="D25" i="6"/>
  <c r="H24" i="6"/>
  <c r="D28" i="6"/>
  <c r="E45" i="9"/>
  <c r="K38" i="9"/>
  <c r="C14" i="66" s="1"/>
  <c r="B2" i="66" s="1"/>
  <c r="H20" i="6"/>
  <c r="D29" i="6"/>
  <c r="E44" i="9"/>
  <c r="D19" i="6"/>
  <c r="D13" i="6"/>
  <c r="D23" i="6"/>
  <c r="D8" i="6"/>
  <c r="F44" i="9"/>
  <c r="D24" i="6"/>
  <c r="D11" i="6"/>
  <c r="D9" i="6"/>
  <c r="D15" i="6"/>
  <c r="E46" i="9"/>
  <c r="G22" i="9"/>
  <c r="R5" i="54"/>
  <c r="B48" i="63" s="1"/>
  <c r="D14" i="66"/>
  <c r="D63" i="9"/>
  <c r="N68" i="9"/>
  <c r="C27" i="12"/>
  <c r="D26" i="12" s="1"/>
  <c r="C32" i="12" s="1"/>
  <c r="D30" i="12" s="1"/>
  <c r="K26" i="9"/>
  <c r="K25" i="9"/>
  <c r="C38" i="15"/>
  <c r="Q58" i="44"/>
  <c r="Q67" i="44"/>
  <c r="Q49" i="44"/>
  <c r="Q55" i="44" s="1"/>
  <c r="D16" i="12"/>
  <c r="C19" i="44"/>
  <c r="C17" i="15"/>
  <c r="F7" i="67"/>
  <c r="C16" i="12" l="1"/>
  <c r="J26" i="15"/>
  <c r="J29" i="15" s="1"/>
  <c r="T12" i="46"/>
  <c r="V12" i="46" s="1"/>
  <c r="C59" i="15"/>
  <c r="C35" i="46"/>
  <c r="G35" i="46" s="1"/>
  <c r="I35" i="46" s="1"/>
  <c r="T7" i="46"/>
  <c r="V7" i="46" s="1"/>
  <c r="T11" i="46"/>
  <c r="V11" i="46" s="1"/>
  <c r="T6" i="46"/>
  <c r="V6" i="46" s="1"/>
  <c r="C37" i="46"/>
  <c r="G37" i="46" s="1"/>
  <c r="I37" i="46" s="1"/>
  <c r="T13" i="46"/>
  <c r="V13" i="46" s="1"/>
  <c r="T16" i="46"/>
  <c r="V16" i="46" s="1"/>
  <c r="C29" i="46"/>
  <c r="C33" i="46"/>
  <c r="E33" i="46" s="1"/>
  <c r="T8" i="46"/>
  <c r="V8" i="46" s="1"/>
  <c r="T14" i="46"/>
  <c r="V14" i="46" s="1"/>
  <c r="T4" i="46"/>
  <c r="V4" i="46" s="1"/>
  <c r="T10" i="46"/>
  <c r="V10" i="46" s="1"/>
  <c r="T15" i="46"/>
  <c r="V15" i="46" s="1"/>
  <c r="T2" i="46"/>
  <c r="V2" i="46" s="1"/>
  <c r="T3" i="46"/>
  <c r="V3" i="46" s="1"/>
  <c r="C34" i="46"/>
  <c r="C36" i="46"/>
  <c r="T5" i="46"/>
  <c r="V5" i="46" s="1"/>
  <c r="G39" i="46"/>
  <c r="I39" i="46" s="1"/>
  <c r="W7" i="21"/>
  <c r="D19" i="12"/>
  <c r="C19" i="12" s="1"/>
  <c r="N38" i="9"/>
  <c r="K28" i="9" s="1"/>
  <c r="R24" i="6"/>
  <c r="I19" i="6"/>
  <c r="M27" i="6"/>
  <c r="S16" i="1"/>
  <c r="T8" i="1" s="1"/>
  <c r="C18" i="11"/>
  <c r="C17" i="11"/>
  <c r="M16" i="1"/>
  <c r="O14" i="1"/>
  <c r="O16" i="1" s="1"/>
  <c r="T10" i="1"/>
  <c r="T9" i="1"/>
  <c r="C12" i="59"/>
  <c r="T13" i="59"/>
  <c r="D13" i="59"/>
  <c r="M38" i="9"/>
  <c r="K27" i="9" s="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D73" i="9"/>
  <c r="N73" i="9" s="1"/>
  <c r="C111" i="9"/>
  <c r="C104" i="9" s="1"/>
  <c r="C96" i="9"/>
  <c r="C91" i="9" s="1"/>
  <c r="C82" i="9"/>
  <c r="C81" i="9" s="1"/>
  <c r="C85" i="9" s="1"/>
  <c r="C86" i="9" s="1"/>
  <c r="D72" i="9" s="1"/>
  <c r="C103" i="9"/>
  <c r="D70" i="9"/>
  <c r="C90" i="9"/>
  <c r="D71" i="9"/>
  <c r="D66" i="9" s="1"/>
  <c r="N72" i="9" s="1"/>
  <c r="B5" i="66"/>
  <c r="E14" i="66"/>
  <c r="F14" i="66"/>
  <c r="D22" i="12"/>
  <c r="B7" i="67"/>
  <c r="E7" i="67"/>
  <c r="C19" i="11" l="1"/>
  <c r="C20" i="11" s="1"/>
  <c r="C21" i="11" s="1"/>
  <c r="C22" i="11" s="1"/>
  <c r="C23" i="11" s="1"/>
  <c r="B2" i="11" s="1"/>
  <c r="B5" i="11" s="1"/>
  <c r="C22" i="12"/>
  <c r="C20" i="12" s="1"/>
  <c r="C30" i="46"/>
  <c r="E30" i="46" s="1"/>
  <c r="B2" i="69"/>
  <c r="E35" i="46"/>
  <c r="G33" i="46"/>
  <c r="I33" i="46" s="1"/>
  <c r="E37" i="46"/>
  <c r="T12" i="1"/>
  <c r="T7" i="1"/>
  <c r="T6" i="1"/>
  <c r="T11" i="1"/>
  <c r="T13" i="1"/>
  <c r="E29" i="46"/>
  <c r="G36" i="46"/>
  <c r="I36" i="46" s="1"/>
  <c r="E36" i="46"/>
  <c r="G34" i="46"/>
  <c r="I34" i="46" s="1"/>
  <c r="E34" i="46"/>
  <c r="P14" i="1"/>
  <c r="P16" i="1" s="1"/>
  <c r="N16" i="1"/>
  <c r="L16" i="1"/>
  <c r="AA7" i="34"/>
  <c r="R49" i="34" s="1"/>
  <c r="E49" i="34" s="1"/>
  <c r="T16" i="1"/>
  <c r="S19" i="6"/>
  <c r="S27" i="6" s="1"/>
  <c r="I27" i="6"/>
  <c r="H19" i="6"/>
  <c r="C11" i="59"/>
  <c r="D12" i="59"/>
  <c r="AB7" i="34"/>
  <c r="T49" i="34" s="1"/>
  <c r="G49" i="34" s="1"/>
  <c r="I70" i="39"/>
  <c r="H72" i="39"/>
  <c r="H67" i="40"/>
  <c r="I65" i="40"/>
  <c r="G52" i="33"/>
  <c r="H52" i="33" s="1"/>
  <c r="G53" i="33"/>
  <c r="H53" i="33" s="1"/>
  <c r="R50" i="34"/>
  <c r="R49" i="33"/>
  <c r="E48" i="33"/>
  <c r="R49" i="21"/>
  <c r="E48" i="21"/>
  <c r="W7" i="34"/>
  <c r="AC7" i="34"/>
  <c r="V49" i="34" s="1"/>
  <c r="I49" i="34" s="1"/>
  <c r="G53" i="34"/>
  <c r="H53" i="34" s="1"/>
  <c r="D31" i="6"/>
  <c r="E3" i="67"/>
  <c r="C97" i="9"/>
  <c r="C98" i="9" s="1"/>
  <c r="E98" i="9" s="1"/>
  <c r="E99" i="9" s="1"/>
  <c r="B2" i="67"/>
  <c r="C113" i="9"/>
  <c r="C114" i="9" s="1"/>
  <c r="E114" i="9" s="1"/>
  <c r="E115" i="9" s="1"/>
  <c r="D5" i="66"/>
  <c r="C5" i="66"/>
  <c r="C13" i="43"/>
  <c r="F22" i="43"/>
  <c r="C16" i="44"/>
  <c r="F37" i="44"/>
  <c r="C14" i="15"/>
  <c r="M21" i="15"/>
  <c r="M23" i="44"/>
  <c r="C13" i="12"/>
  <c r="F35" i="15"/>
  <c r="B4" i="11" l="1"/>
  <c r="B3" i="11"/>
  <c r="F2" i="69" s="1"/>
  <c r="C26" i="46"/>
  <c r="B2" i="46" s="1"/>
  <c r="D4" i="46" s="1"/>
  <c r="C27" i="46"/>
  <c r="C17" i="44"/>
  <c r="C20" i="44"/>
  <c r="C15" i="15"/>
  <c r="C18" i="15"/>
  <c r="C17" i="43"/>
  <c r="C14" i="43"/>
  <c r="C17" i="12"/>
  <c r="C14" i="12"/>
  <c r="R19" i="6"/>
  <c r="H27" i="6"/>
  <c r="D11" i="59"/>
  <c r="C10" i="59"/>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B3" i="46" l="1"/>
  <c r="B4" i="46"/>
  <c r="C19" i="15"/>
  <c r="C20" i="15" s="1"/>
  <c r="C21" i="44"/>
  <c r="C22" i="44" s="1"/>
  <c r="R27" i="6"/>
  <c r="R6" i="1"/>
  <c r="R16" i="1" s="1"/>
  <c r="C18" i="43"/>
  <c r="C19" i="43" s="1"/>
  <c r="C21" i="43" s="1"/>
  <c r="C18" i="12"/>
  <c r="C23" i="12" s="1"/>
  <c r="C9" i="59"/>
  <c r="D10" i="59"/>
  <c r="K70" i="39"/>
  <c r="J72" i="39"/>
  <c r="K65" i="40"/>
  <c r="J67" i="40"/>
  <c r="Q77" i="9"/>
  <c r="O79" i="9"/>
  <c r="O81" i="9" s="1"/>
  <c r="C26" i="15" l="1"/>
  <c r="C23" i="15"/>
  <c r="C28" i="44"/>
  <c r="C25" i="44"/>
  <c r="C20" i="43"/>
  <c r="C23" i="43" s="1"/>
  <c r="C8" i="59"/>
  <c r="T9" i="59"/>
  <c r="D9" i="59"/>
  <c r="K67" i="40"/>
  <c r="L65" i="40"/>
  <c r="K72" i="39"/>
  <c r="L70" i="39"/>
  <c r="O80" i="9"/>
  <c r="C29" i="15" l="1"/>
  <c r="C13" i="15" s="1"/>
  <c r="J35" i="15" s="1"/>
  <c r="C31" i="44"/>
  <c r="Q51" i="44" s="1"/>
  <c r="D8" i="59"/>
  <c r="C7" i="59"/>
  <c r="L67" i="40"/>
  <c r="M65" i="40"/>
  <c r="M70" i="39"/>
  <c r="L72" i="39"/>
  <c r="C37" i="15" l="1"/>
  <c r="C33" i="15"/>
  <c r="C31" i="15" s="1"/>
  <c r="C36" i="15"/>
  <c r="J59" i="15"/>
  <c r="J60" i="15" s="1"/>
  <c r="Q49" i="15" s="1"/>
  <c r="Q71" i="15"/>
  <c r="J14" i="15"/>
  <c r="J13" i="15" s="1"/>
  <c r="J23" i="15" s="1"/>
  <c r="Q50" i="15"/>
  <c r="C55" i="15"/>
  <c r="C64" i="15" s="1"/>
  <c r="J19" i="15"/>
  <c r="J17" i="15" s="1"/>
  <c r="C56" i="15"/>
  <c r="C60" i="15" s="1"/>
  <c r="C58" i="15" s="1"/>
  <c r="J21" i="44"/>
  <c r="J19" i="44" s="1"/>
  <c r="J16" i="44"/>
  <c r="J15" i="44" s="1"/>
  <c r="J25" i="44" s="1"/>
  <c r="C35" i="44"/>
  <c r="C33" i="44" s="1"/>
  <c r="C38" i="44"/>
  <c r="C15" i="44"/>
  <c r="Q72" i="44" s="1"/>
  <c r="D7" i="59"/>
  <c r="C6" i="59"/>
  <c r="C5" i="59" s="1"/>
  <c r="D5" i="59" s="1"/>
  <c r="M72" i="39"/>
  <c r="N70" i="39"/>
  <c r="N72" i="39" s="1"/>
  <c r="J9" i="39" s="1"/>
  <c r="F9" i="39"/>
  <c r="H9" i="39"/>
  <c r="N65" i="40"/>
  <c r="N67" i="40" s="1"/>
  <c r="M67" i="40"/>
  <c r="H9" i="40" s="1"/>
  <c r="C30" i="15" l="1"/>
  <c r="C39" i="15" s="1"/>
  <c r="C63" i="15"/>
  <c r="C57" i="15" s="1"/>
  <c r="C66" i="15" s="1"/>
  <c r="C67" i="15" s="1"/>
  <c r="C70" i="15" s="1"/>
  <c r="J22" i="15"/>
  <c r="J16" i="15" s="1"/>
  <c r="J25" i="15" s="1"/>
  <c r="J24" i="44"/>
  <c r="J18" i="44" s="1"/>
  <c r="J27" i="44" s="1"/>
  <c r="C39" i="44"/>
  <c r="C32" i="44" s="1"/>
  <c r="C42" i="44" s="1"/>
  <c r="Q71" i="44" s="1"/>
  <c r="Q70" i="44" s="1"/>
  <c r="C43" i="44"/>
  <c r="D6" i="59"/>
  <c r="M20" i="46"/>
  <c r="J9" i="40"/>
  <c r="AC9" i="40" s="1"/>
  <c r="V44" i="40" s="1"/>
  <c r="I44" i="40" s="1"/>
  <c r="U9" i="40"/>
  <c r="AB9" i="40"/>
  <c r="T44" i="40" s="1"/>
  <c r="G44" i="40" s="1"/>
  <c r="G48" i="40" s="1"/>
  <c r="H48" i="40" s="1"/>
  <c r="U9" i="39"/>
  <c r="AB9" i="39"/>
  <c r="T49" i="39" s="1"/>
  <c r="G49" i="39" s="1"/>
  <c r="W9" i="39"/>
  <c r="AC9" i="39"/>
  <c r="V49" i="39" s="1"/>
  <c r="I49" i="39" s="1"/>
  <c r="F9" i="40"/>
  <c r="S9" i="39"/>
  <c r="AA9" i="39"/>
  <c r="R49" i="39" s="1"/>
  <c r="L51" i="15"/>
  <c r="L57" i="15" l="1"/>
  <c r="L60" i="15" s="1"/>
  <c r="L46" i="15" s="1"/>
  <c r="Q68" i="15"/>
  <c r="C40" i="15"/>
  <c r="C10" i="12" s="1"/>
  <c r="C6" i="12" s="1"/>
  <c r="C24" i="12" s="1"/>
  <c r="J39" i="15"/>
  <c r="J40" i="15" s="1"/>
  <c r="Q70" i="15"/>
  <c r="Q69" i="15" s="1"/>
  <c r="C44" i="44"/>
  <c r="C45" i="44" s="1"/>
  <c r="L52" i="44" s="1"/>
  <c r="Q69" i="44" s="1"/>
  <c r="W9" i="40"/>
  <c r="E49" i="39"/>
  <c r="R50" i="39"/>
  <c r="I53" i="39"/>
  <c r="J53" i="39" s="1"/>
  <c r="G53" i="39"/>
  <c r="H53" i="39" s="1"/>
  <c r="G54" i="39"/>
  <c r="H54" i="39" s="1"/>
  <c r="AA9" i="40"/>
  <c r="R44" i="40" s="1"/>
  <c r="S9" i="40"/>
  <c r="G49" i="40"/>
  <c r="H49" i="40" s="1"/>
  <c r="I48" i="40"/>
  <c r="J48" i="40" s="1"/>
  <c r="J42" i="15" l="1"/>
  <c r="J43" i="15" s="1"/>
  <c r="C43" i="15"/>
  <c r="Q57" i="15"/>
  <c r="C46" i="15"/>
  <c r="C29" i="12"/>
  <c r="Q58" i="15"/>
  <c r="Q67" i="15"/>
  <c r="Q48" i="15"/>
  <c r="Q54" i="15" s="1"/>
  <c r="Q66" i="15"/>
  <c r="B2" i="15"/>
  <c r="C35" i="12"/>
  <c r="C33" i="12" s="1"/>
  <c r="C28" i="12"/>
  <c r="C26" i="12" s="1"/>
  <c r="L58" i="44"/>
  <c r="L61" i="44" s="1"/>
  <c r="Q59" i="44" s="1"/>
  <c r="Q64" i="44" s="1"/>
  <c r="B2" i="44"/>
  <c r="B4" i="44" s="1"/>
  <c r="R45" i="40"/>
  <c r="E44" i="40"/>
  <c r="E54" i="39"/>
  <c r="F54" i="39" s="1"/>
  <c r="E53" i="39"/>
  <c r="F53" i="39" s="1"/>
  <c r="I54" i="39"/>
  <c r="J54" i="39" s="1"/>
  <c r="C49" i="39"/>
  <c r="C50" i="39"/>
  <c r="B3" i="15" l="1"/>
  <c r="C10" i="43"/>
  <c r="C6" i="43" s="1"/>
  <c r="C31" i="12"/>
  <c r="C30" i="12" s="1"/>
  <c r="C36" i="12" s="1"/>
  <c r="B2" i="12" s="1"/>
  <c r="Q63" i="15"/>
  <c r="Q76" i="15"/>
  <c r="B5" i="44"/>
  <c r="B3" i="44"/>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B5" i="12"/>
  <c r="C25" i="43" l="1"/>
  <c r="C24" i="43"/>
  <c r="C27" i="43" s="1"/>
  <c r="B2" i="43"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5" i="43"/>
  <c r="B3" i="43"/>
  <c r="B4" i="43"/>
  <c r="B4" i="12"/>
  <c r="B3" i="12"/>
  <c r="C2" i="69" l="1"/>
  <c r="C4" i="69" s="1"/>
  <c r="B3" i="40"/>
  <c r="B5" i="40"/>
  <c r="B4" i="40"/>
  <c r="D2" i="69" l="1"/>
  <c r="E4" i="69" s="1"/>
  <c r="G3" i="69" s="1"/>
  <c r="B4" i="69"/>
  <c r="I3" i="69" l="1"/>
  <c r="G4" i="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<sst xmlns="http://schemas.openxmlformats.org/spreadsheetml/2006/main" count="7290" uniqueCount="3327">
  <si>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</si>
  <si>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</si>
  <si>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</si>
  <si>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</si>
  <si>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</si>
  <si>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</si>
  <si>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</si>
  <si>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</si>
  <si>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</si>
  <si>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</si>
  <si>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</si>
  <si>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</si>
  <si>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</si>
  <si>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</si>
  <si>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</si>
  <si>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</si>
  <si>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</si>
  <si>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</si>
  <si>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</si>
  <si>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</si>
  <si>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</si>
  <si>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</si>
  <si>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</si>
  <si>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</si>
  <si>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</si>
  <si>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</si>
  <si>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</si>
  <si>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</si>
  <si>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</si>
  <si>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</si>
  <si>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</si>
  <si>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</si>
  <si>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</si>
  <si>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</si>
  <si>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</si>
  <si>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</si>
  <si>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</si>
  <si>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</si>
  <si>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</si>
  <si>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</si>
  <si>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</si>
  <si>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</si>
  <si>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</si>
  <si>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</si>
  <si>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</si>
  <si>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</si>
  <si>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</si>
  <si>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</si>
  <si>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</si>
  <si>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</si>
  <si>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</si>
  <si>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</si>
  <si>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</si>
  <si>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</si>
  <si>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</si>
  <si>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</si>
  <si>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</si>
  <si>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</si>
  <si>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</si>
  <si>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</si>
  <si>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</si>
  <si>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</si>
  <si>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</si>
  <si>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</si>
  <si>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</si>
  <si>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</si>
  <si>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</si>
  <si>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</si>
  <si>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</si>
  <si>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</si>
  <si>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</si>
  <si>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</si>
  <si>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</si>
  <si>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</si>
  <si>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</si>
  <si>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</si>
  <si>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</si>
  <si>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</si>
  <si>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</si>
  <si>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</si>
  <si>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</si>
  <si>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</si>
  <si>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</si>
  <si>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</si>
  <si>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</si>
  <si>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</si>
  <si>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</si>
  <si>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</si>
  <si>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</si>
  <si>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</si>
  <si>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</si>
  <si>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</si>
  <si>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</si>
  <si>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</si>
  <si>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</si>
  <si>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</si>
  <si>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</si>
  <si>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</si>
  <si>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</si>
  <si>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</si>
  <si>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</si>
  <si>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</si>
  <si>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</si>
  <si>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</si>
  <si>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</si>
  <si>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</si>
  <si>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</si>
  <si>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</si>
  <si>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</si>
  <si>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</si>
  <si>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</si>
  <si>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</si>
  <si>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</si>
  <si>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</si>
  <si>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</si>
  <si>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</si>
  <si>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</si>
  <si>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</si>
  <si>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</si>
  <si>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</si>
  <si>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</si>
  <si>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</si>
  <si>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</si>
  <si>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</si>
  <si>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</si>
  <si>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</si>
  <si>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</si>
  <si>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</si>
  <si>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</si>
  <si>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</si>
  <si>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</si>
  <si>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</si>
  <si>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</si>
  <si>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</si>
  <si>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</si>
  <si>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</si>
  <si>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</si>
  <si>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</si>
  <si>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</si>
  <si>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</si>
  <si>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</si>
  <si>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</si>
  <si>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</si>
  <si>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</si>
  <si>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</si>
  <si>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</si>
  <si>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</si>
  <si>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</si>
  <si>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</si>
  <si>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</si>
  <si>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</si>
  <si>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</si>
  <si>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</si>
  <si>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</si>
  <si>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</si>
  <si>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</si>
  <si>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</si>
  <si>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</si>
  <si>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</si>
  <si>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</si>
  <si>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</si>
  <si>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</si>
  <si>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</si>
  <si>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</si>
  <si>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</si>
  <si>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</si>
  <si>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</si>
  <si>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</si>
  <si>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</si>
  <si>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</si>
  <si>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</si>
  <si>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</si>
  <si>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</si>
  <si>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</si>
  <si>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</si>
  <si>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</si>
  <si>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</si>
  <si>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</si>
  <si>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</si>
  <si>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</si>
  <si>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</si>
  <si>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</si>
  <si>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</si>
  <si>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</si>
  <si>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</si>
  <si>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</si>
  <si>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</si>
  <si>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</si>
  <si>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</si>
  <si>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</si>
  <si>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</si>
  <si>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</si>
  <si>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</si>
  <si>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</si>
  <si>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</si>
  <si>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</si>
  <si>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</si>
  <si>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</si>
  <si>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</si>
  <si>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</si>
  <si>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</si>
  <si>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</si>
  <si>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</si>
  <si>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</si>
  <si>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</si>
  <si>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</si>
  <si>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</si>
  <si>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</si>
  <si>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</si>
  <si>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</si>
  <si>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</si>
  <si>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</si>
  <si>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</si>
  <si>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</si>
  <si>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</si>
  <si>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</si>
  <si>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</si>
  <si>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</si>
  <si>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</si>
  <si>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</si>
  <si>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</si>
  <si>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</si>
  <si>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</si>
  <si>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</si>
  <si>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</si>
  <si>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</si>
  <si>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</si>
  <si>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</si>
  <si>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</si>
  <si>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</si>
  <si>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</si>
  <si>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</si>
  <si>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</si>
  <si>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</si>
  <si>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</si>
  <si>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</si>
  <si>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</si>
  <si>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</si>
  <si>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</si>
  <si>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</si>
  <si>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</si>
  <si>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</si>
  <si>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</si>
  <si>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</si>
  <si>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</si>
  <si>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</si>
  <si>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</si>
  <si>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</si>
  <si>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</si>
  <si>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</si>
  <si>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</si>
  <si>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</si>
  <si>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</si>
  <si>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</si>
  <si>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</si>
  <si>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</si>
  <si>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</si>
  <si>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</si>
  <si>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</si>
  <si>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</si>
  <si>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</si>
  <si>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</si>
  <si>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</si>
  <si>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</si>
  <si>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</si>
  <si>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</si>
  <si>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</si>
  <si>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</si>
  <si>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</si>
  <si>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</si>
  <si>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</si>
  <si>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</si>
  <si>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</si>
  <si>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</si>
  <si>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</si>
  <si>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</si>
  <si>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</si>
  <si>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</si>
  <si>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</si>
  <si>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</si>
  <si>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</si>
  <si>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</si>
  <si>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</si>
  <si>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</si>
  <si>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</si>
  <si>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</si>
  <si>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</si>
  <si>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</si>
  <si>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</si>
  <si>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</si>
  <si>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</si>
  <si>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</si>
  <si>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</si>
  <si>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</si>
  <si>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</si>
  <si>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</si>
  <si>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</si>
  <si>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</si>
  <si>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</si>
  <si>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</si>
  <si>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</si>
  <si>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</si>
  <si>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</si>
  <si>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</si>
  <si>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</si>
  <si>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</si>
  <si>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</si>
  <si>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</si>
  <si>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</si>
  <si>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</si>
  <si>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</si>
  <si>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</si>
  <si>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</si>
  <si>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</si>
  <si>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</si>
  <si>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</si>
  <si>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</si>
  <si>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</si>
  <si>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</si>
  <si>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</si>
  <si>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</si>
  <si>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</si>
  <si>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</si>
  <si>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</si>
  <si>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</si>
  <si>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</si>
  <si>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</si>
  <si>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</si>
  <si>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</si>
  <si>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</si>
  <si>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</si>
  <si>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</si>
  <si>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</si>
  <si>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</si>
  <si>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</si>
  <si>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</si>
  <si>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</si>
  <si>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</si>
  <si>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</si>
  <si>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</si>
  <si>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</si>
  <si>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</si>
  <si>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</si>
  <si>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</si>
  <si>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</si>
  <si>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</si>
  <si>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</si>
  <si>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</si>
  <si>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</si>
  <si>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</si>
  <si>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</si>
  <si>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</si>
  <si>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</si>
  <si>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</si>
  <si>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</si>
  <si>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</si>
  <si>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</si>
  <si>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</si>
  <si>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</si>
  <si>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</si>
  <si>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</si>
  <si>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</si>
  <si>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</si>
  <si>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</si>
  <si>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</si>
  <si>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</si>
  <si>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</si>
  <si>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</si>
  <si>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</si>
  <si>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</si>
  <si>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</si>
  <si>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</si>
  <si>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</si>
  <si>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</si>
  <si>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</si>
  <si>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</si>
  <si>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</si>
  <si>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</si>
  <si>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</si>
  <si>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</si>
  <si>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</si>
  <si>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</si>
  <si>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</si>
  <si>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</si>
  <si>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</si>
  <si>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</si>
  <si>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</si>
  <si>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</si>
  <si>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</si>
  <si>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</si>
  <si>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</si>
  <si>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</si>
  <si>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</si>
  <si>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</si>
  <si>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</si>
  <si>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</si>
  <si>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</si>
  <si>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</si>
  <si>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</si>
  <si>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</si>
  <si>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</si>
  <si>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</si>
  <si>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</si>
  <si>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</si>
  <si>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</si>
  <si>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</si>
  <si>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</si>
  <si>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</si>
  <si>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</si>
  <si>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</si>
  <si>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</si>
  <si>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</si>
  <si>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</si>
  <si>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</si>
  <si>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</si>
  <si>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</si>
  <si>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</si>
  <si>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</si>
  <si>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</si>
  <si>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</si>
  <si>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</si>
  <si>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</si>
  <si>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</si>
  <si>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</si>
  <si>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</si>
  <si>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</si>
  <si>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</si>
  <si>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</si>
  <si>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</si>
  <si>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</si>
  <si>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</si>
  <si>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</si>
  <si>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</si>
  <si>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</si>
  <si>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</si>
  <si>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</si>
  <si>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</si>
  <si>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</si>
  <si>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</si>
  <si>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</si>
  <si>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</si>
  <si>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</si>
  <si>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</si>
  <si>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</si>
  <si>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</si>
  <si>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</si>
  <si>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</si>
  <si>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</si>
  <si>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</si>
  <si>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</si>
  <si>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</si>
  <si>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</si>
  <si>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</si>
  <si>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</si>
  <si>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</si>
  <si>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</si>
  <si>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</si>
  <si>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</si>
  <si>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</si>
  <si>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</si>
  <si>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</si>
  <si>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</si>
  <si>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</si>
  <si>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</si>
  <si>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</si>
  <si>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</si>
  <si>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</si>
  <si>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</si>
  <si>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</si>
  <si>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</si>
  <si>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</si>
  <si>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</si>
  <si>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</si>
  <si>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</si>
  <si>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</si>
  <si>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</si>
  <si>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</si>
  <si>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</si>
  <si>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</si>
  <si>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</si>
  <si>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</si>
  <si>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</si>
  <si>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</si>
  <si>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</si>
  <si>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</si>
  <si>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</si>
  <si>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</si>
  <si>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</si>
  <si>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</si>
  <si>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</si>
  <si>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</si>
  <si>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</si>
  <si>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</si>
  <si>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</si>
  <si>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</si>
  <si>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</si>
  <si>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</si>
  <si>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</si>
  <si>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</si>
  <si>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</si>
  <si>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</si>
  <si>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</si>
  <si>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</si>
  <si>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</si>
  <si>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</si>
  <si>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</si>
  <si>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</si>
  <si>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</si>
  <si>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</si>
  <si>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</si>
  <si>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</si>
  <si>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</si>
  <si>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</si>
  <si>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</si>
  <si>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</si>
  <si>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</si>
  <si>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</si>
  <si>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</si>
  <si>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</si>
  <si>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</si>
  <si>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</si>
  <si>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</si>
  <si>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</si>
  <si>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</si>
  <si>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</si>
  <si>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</si>
  <si>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</si>
  <si>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</si>
  <si>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</si>
  <si>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</si>
  <si>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</si>
  <si>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</si>
  <si>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</si>
  <si>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</si>
  <si>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</si>
  <si>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</si>
  <si>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</si>
  <si>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</si>
  <si>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</si>
  <si>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</si>
  <si>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</si>
  <si>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</si>
  <si>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</si>
  <si>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</si>
  <si>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</si>
  <si>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</si>
  <si>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</si>
  <si>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</si>
  <si>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</si>
  <si>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</si>
  <si>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</si>
  <si>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</si>
  <si>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</si>
  <si>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</si>
  <si>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</si>
  <si>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</si>
  <si>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</si>
  <si>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</si>
  <si>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</si>
  <si>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</si>
  <si>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</si>
  <si>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</si>
  <si>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</si>
  <si>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</si>
  <si>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</si>
  <si>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</si>
  <si>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</si>
  <si>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</si>
  <si>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</si>
  <si>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</si>
  <si>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</si>
  <si>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</si>
  <si>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</si>
  <si>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</si>
  <si>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</si>
  <si>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</si>
  <si>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</si>
  <si>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</si>
  <si>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</si>
  <si>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</si>
  <si>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</si>
  <si>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</si>
  <si>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</si>
  <si>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</si>
  <si>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</si>
  <si>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</si>
  <si>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</si>
  <si>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</si>
  <si>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</si>
  <si>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</si>
  <si>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</si>
  <si>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</si>
  <si>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</si>
  <si>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</si>
  <si>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</si>
  <si>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</si>
  <si>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</si>
  <si>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</si>
  <si>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</si>
  <si>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</si>
  <si>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</si>
  <si>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</si>
  <si>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</si>
  <si>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</si>
  <si>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</si>
  <si>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</si>
  <si>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</si>
  <si>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</si>
  <si>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</si>
  <si>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</si>
  <si>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</si>
  <si>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</si>
  <si>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</si>
  <si>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</si>
  <si>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</si>
  <si>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</si>
  <si>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</si>
  <si>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</si>
  <si>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</si>
  <si>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</si>
  <si>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</si>
  <si>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</si>
  <si>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</si>
  <si>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</si>
  <si>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</si>
  <si>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</si>
  <si>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</si>
  <si>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</si>
  <si>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</si>
  <si>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</si>
  <si>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</si>
  <si>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</si>
  <si>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</si>
  <si>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</si>
  <si>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</si>
  <si>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</si>
  <si>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</si>
  <si>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</si>
  <si>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</si>
  <si>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</si>
  <si>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</si>
  <si>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</si>
  <si>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</si>
  <si>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</si>
  <si>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</si>
  <si>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</si>
  <si>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</si>
  <si>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</si>
  <si>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</si>
  <si>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</si>
  <si>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</si>
  <si>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</si>
  <si>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</si>
  <si>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</si>
  <si>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</si>
  <si>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</si>
  <si>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</si>
  <si>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</si>
  <si>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</si>
  <si>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</si>
  <si>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</si>
  <si>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</si>
  <si>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</si>
  <si>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</si>
  <si>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</si>
  <si>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</si>
  <si>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</si>
  <si>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</si>
  <si>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</si>
  <si>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</si>
  <si>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</si>
  <si>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</si>
  <si>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</si>
  <si>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</si>
  <si>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</si>
  <si>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</si>
  <si>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</si>
  <si>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</si>
  <si>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</si>
  <si>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</si>
  <si>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</si>
  <si>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</si>
  <si>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</si>
  <si>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</si>
  <si>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</si>
  <si>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</si>
  <si>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</si>
  <si>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</si>
  <si>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</si>
  <si>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</si>
  <si>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</si>
  <si>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</si>
  <si>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</si>
  <si>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</si>
  <si>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</si>
  <si>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</si>
  <si>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</si>
  <si>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</si>
  <si>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</si>
  <si>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</si>
  <si>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</si>
  <si>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</si>
  <si>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</si>
  <si>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</si>
  <si>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</si>
  <si>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</si>
  <si>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</si>
  <si>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</si>
  <si>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</si>
  <si>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</si>
  <si>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</si>
  <si>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</si>
  <si>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</si>
  <si>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</si>
  <si>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</si>
  <si>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</si>
  <si>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</si>
  <si>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</si>
  <si>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</si>
  <si>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</si>
  <si>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</si>
  <si>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</si>
  <si>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</si>
  <si>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</si>
  <si>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</si>
  <si>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</si>
  <si>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</si>
  <si>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</si>
  <si>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</si>
  <si>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</si>
  <si>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</si>
  <si>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</si>
  <si>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</si>
  <si>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</si>
  <si>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</si>
  <si>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</si>
  <si>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</si>
  <si>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</si>
  <si>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</si>
  <si>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</si>
  <si>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</si>
  <si>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</si>
  <si>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</si>
  <si>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</si>
  <si>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</si>
  <si>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</si>
  <si>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</si>
  <si>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</si>
  <si>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</si>
  <si>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</si>
  <si>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</si>
  <si>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</si>
  <si>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</si>
  <si>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</si>
  <si>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</si>
  <si>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</si>
  <si>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</si>
  <si>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</si>
  <si>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</si>
  <si>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</si>
  <si>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</si>
  <si>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</si>
  <si>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</si>
  <si>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</si>
  <si>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</si>
  <si>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</si>
  <si>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</si>
  <si>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</si>
  <si>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</si>
  <si>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</si>
  <si>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</si>
  <si>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</si>
  <si>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</si>
  <si>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</si>
  <si>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</si>
  <si>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</si>
  <si>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</si>
  <si>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</si>
  <si>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</si>
  <si>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</si>
  <si>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</si>
  <si>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</si>
  <si>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</si>
  <si>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</si>
  <si>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</si>
  <si>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</si>
  <si>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</si>
  <si>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</si>
  <si>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</si>
  <si>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</si>
  <si>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</si>
  <si>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</si>
  <si>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</si>
  <si>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</si>
  <si>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</si>
  <si>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</si>
  <si>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</si>
  <si>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</si>
  <si>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</si>
  <si>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</si>
  <si>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</si>
  <si>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</si>
  <si>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</si>
  <si>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</si>
  <si>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</si>
  <si>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</si>
  <si>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</si>
  <si>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</si>
  <si>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</si>
  <si>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</si>
  <si>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</si>
  <si>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</si>
  <si>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</si>
  <si>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</si>
  <si>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</si>
  <si>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</si>
  <si>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</si>
  <si>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</si>
  <si>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</si>
  <si>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</si>
  <si>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</si>
  <si>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</si>
  <si>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</si>
  <si>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</si>
  <si>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</si>
  <si>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</si>
  <si>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</si>
  <si>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</si>
  <si>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</si>
  <si>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</si>
  <si>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</si>
  <si>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</si>
  <si>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</si>
  <si>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</si>
  <si>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</si>
  <si>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</si>
  <si>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</si>
  <si>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</si>
  <si>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</si>
  <si>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</si>
  <si>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</si>
  <si>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</si>
  <si>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</si>
  <si>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</si>
  <si>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</si>
  <si>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</si>
  <si>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</si>
  <si>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</si>
  <si>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</si>
  <si>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</si>
  <si>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</si>
  <si>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</si>
  <si>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</si>
  <si>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</si>
  <si>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</si>
  <si>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</si>
  <si>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</si>
  <si>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</si>
  <si>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</si>
  <si>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</si>
  <si>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</si>
  <si>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</si>
  <si>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</si>
  <si>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</si>
  <si>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</si>
  <si>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</si>
  <si>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</si>
  <si>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</si>
  <si>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</si>
  <si>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</si>
  <si>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</si>
  <si>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</si>
  <si>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</si>
  <si>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</si>
  <si>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</si>
  <si>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</si>
  <si>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</si>
  <si>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</si>
  <si>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</si>
  <si>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</si>
  <si>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</si>
  <si>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</si>
  <si>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</si>
  <si>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</si>
  <si>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</si>
  <si>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</si>
  <si>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</si>
  <si>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</si>
  <si>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</si>
  <si>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</si>
  <si>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</si>
  <si>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</si>
  <si>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</si>
  <si>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</si>
  <si>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</si>
  <si>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</si>
  <si>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</si>
  <si>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</si>
  <si>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</si>
  <si>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</si>
  <si>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</si>
  <si>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</si>
  <si>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</si>
  <si>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</si>
  <si>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</si>
  <si>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</si>
  <si>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</si>
  <si>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</si>
  <si>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</si>
  <si>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</si>
  <si>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</si>
  <si>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</si>
  <si>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</si>
  <si>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</si>
  <si>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</si>
  <si>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</si>
  <si>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</si>
  <si>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</si>
  <si>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</si>
  <si>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</si>
  <si>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</si>
  <si>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</si>
  <si>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</si>
  <si>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</si>
  <si>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</si>
  <si>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</si>
  <si>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</si>
  <si>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</si>
  <si>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</si>
  <si>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</si>
  <si>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</si>
  <si>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</si>
  <si>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</si>
  <si>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</si>
  <si>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</si>
  <si>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</si>
  <si>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</si>
  <si>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</si>
  <si>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</si>
  <si>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</si>
  <si>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</si>
  <si>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</si>
  <si>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</si>
  <si>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</si>
  <si>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</si>
  <si>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</si>
  <si>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</si>
  <si>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</si>
  <si>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</si>
  <si>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</si>
  <si>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</si>
  <si>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</si>
  <si>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</si>
  <si>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</si>
  <si>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</si>
  <si>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</si>
  <si>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</si>
  <si>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</si>
  <si>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</si>
  <si>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</si>
  <si>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</si>
  <si>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</si>
  <si>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</si>
  <si>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</si>
  <si>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</si>
  <si>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</si>
  <si>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</si>
  <si>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</si>
  <si>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</si>
  <si>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</si>
  <si>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</si>
  <si>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</si>
  <si>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</si>
  <si>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</si>
  <si>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</si>
  <si>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</si>
  <si>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</si>
  <si>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</si>
  <si>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</si>
  <si>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</si>
  <si>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</si>
  <si>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</si>
  <si>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</si>
  <si>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</si>
  <si>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</si>
  <si>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</si>
  <si>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</si>
  <si>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</si>
  <si>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</si>
  <si>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</si>
  <si>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</si>
  <si>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</si>
  <si>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</si>
  <si>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</si>
  <si>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</si>
  <si>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</si>
  <si>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</si>
  <si>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</si>
  <si>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</si>
  <si>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</si>
  <si>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</si>
  <si>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</si>
  <si>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</si>
  <si>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</si>
  <si>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</si>
  <si>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</si>
  <si>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</si>
  <si>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</si>
  <si>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</si>
  <si>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</si>
  <si>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</si>
  <si>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</si>
  <si>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</si>
  <si>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</si>
  <si>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</si>
  <si>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</si>
  <si>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</si>
  <si>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</si>
  <si>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</si>
  <si>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</si>
  <si>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</si>
  <si>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</si>
  <si>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</si>
  <si>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</si>
  <si>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</si>
  <si>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</si>
  <si>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</si>
  <si>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</si>
  <si>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</si>
  <si>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</si>
  <si>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</si>
  <si>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</si>
  <si>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</si>
  <si>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</si>
  <si>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</si>
  <si>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</si>
  <si>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</si>
  <si>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</si>
  <si>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</si>
  <si>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</si>
  <si>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</si>
  <si>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</si>
  <si>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</si>
  <si>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</si>
  <si>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</si>
  <si>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</si>
  <si>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</si>
  <si>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</si>
  <si>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</si>
  <si>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</si>
  <si>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</si>
  <si>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</si>
  <si>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</si>
  <si>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</si>
  <si>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</si>
  <si>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</si>
  <si>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</si>
  <si>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</si>
  <si>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</si>
  <si>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</si>
  <si>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</si>
  <si>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</si>
  <si>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</si>
  <si>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</si>
  <si>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</si>
  <si>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</si>
  <si>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</si>
  <si>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</si>
  <si>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</si>
  <si>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</si>
  <si>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</si>
  <si>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</si>
  <si>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</si>
  <si>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</si>
  <si>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</si>
  <si>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</si>
  <si>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</si>
  <si>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</si>
  <si>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</si>
  <si>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</si>
  <si>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</si>
  <si>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</si>
  <si>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</si>
  <si>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</si>
  <si>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</si>
  <si>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</si>
  <si>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</si>
  <si>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</si>
  <si>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</si>
  <si>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</si>
  <si>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</si>
  <si>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</si>
  <si>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</si>
  <si>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</si>
  <si>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</si>
  <si>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</si>
  <si>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</si>
  <si>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</si>
  <si>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</si>
  <si>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</si>
  <si>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</si>
  <si>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</si>
  <si>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</si>
  <si>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</si>
  <si>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</si>
  <si>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</si>
  <si>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</si>
  <si>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</si>
  <si>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</si>
  <si>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</si>
  <si>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</si>
  <si>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</si>
  <si>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</si>
  <si>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</si>
  <si>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</si>
  <si>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</si>
  <si>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</si>
  <si>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</si>
  <si>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</si>
  <si>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</si>
  <si>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</si>
  <si>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</si>
  <si>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</si>
  <si>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</si>
  <si>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</si>
  <si>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</si>
  <si>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</si>
  <si>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</si>
  <si>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</si>
  <si>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</si>
  <si>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</si>
  <si>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</si>
  <si>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</si>
  <si>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</si>
  <si>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</si>
  <si>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</si>
  <si>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</si>
  <si>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</si>
  <si>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</si>
  <si>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</si>
  <si>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</si>
  <si>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</si>
  <si>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</si>
  <si>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</si>
  <si>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</si>
  <si>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</si>
  <si>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</si>
  <si>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</si>
  <si>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</si>
  <si>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</si>
  <si>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</si>
  <si>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</si>
  <si>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</si>
  <si>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</si>
  <si>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</si>
  <si>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</si>
  <si>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</si>
  <si>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</si>
  <si>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</si>
  <si>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</si>
  <si>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</si>
  <si>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</si>
  <si>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</si>
  <si>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</si>
  <si>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</si>
  <si>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</si>
  <si>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</si>
  <si>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</si>
  <si>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</si>
  <si>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</si>
  <si>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</si>
  <si>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</si>
  <si>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</si>
  <si>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</si>
  <si>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</si>
  <si>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</si>
  <si>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</si>
  <si>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</si>
  <si>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</si>
  <si>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</si>
  <si>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</si>
  <si>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</si>
  <si>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</si>
  <si>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</si>
  <si>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</si>
  <si>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</si>
  <si>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</si>
  <si>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</si>
  <si>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</si>
  <si>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</si>
  <si>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</si>
  <si>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</si>
  <si>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</si>
  <si>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</si>
  <si>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</si>
  <si>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</si>
  <si>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</si>
  <si>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</si>
  <si>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</si>
  <si>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</si>
  <si>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</si>
  <si>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</si>
  <si>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</si>
  <si>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</si>
  <si>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</si>
  <si>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</si>
  <si>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</si>
  <si>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</si>
  <si>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</si>
  <si>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</si>
  <si>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</si>
  <si>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</si>
  <si>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</si>
  <si>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</si>
  <si>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</si>
  <si>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</si>
  <si>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</si>
  <si>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</si>
  <si>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</si>
  <si>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</si>
  <si>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</si>
  <si>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</si>
  <si>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</si>
  <si>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</si>
  <si>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</si>
  <si>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</si>
  <si>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</si>
  <si>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</si>
  <si>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</si>
  <si>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</si>
  <si>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</si>
  <si>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</si>
  <si>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</si>
  <si>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</si>
  <si>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</si>
  <si>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</si>
  <si>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</si>
  <si>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</si>
  <si>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</si>
  <si>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</si>
  <si>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</si>
  <si>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</si>
  <si>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</si>
  <si>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</si>
  <si>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</si>
  <si>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</si>
  <si>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</si>
  <si>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</si>
  <si>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</si>
  <si>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</si>
  <si>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</si>
  <si>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</si>
  <si>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</si>
  <si>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</si>
  <si>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</si>
  <si>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</si>
  <si>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</si>
  <si>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</si>
  <si>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</si>
  <si>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</si>
  <si>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</si>
  <si>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</si>
  <si>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</si>
  <si>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</si>
  <si>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</si>
  <si>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</si>
  <si>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</si>
  <si>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</si>
  <si>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</si>
  <si>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</si>
  <si>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</si>
  <si>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</si>
  <si>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</si>
  <si>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</si>
  <si>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</si>
  <si>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</si>
  <si>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</si>
  <si>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</si>
  <si>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</si>
  <si>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</si>
  <si>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</si>
  <si>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</si>
  <si>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</si>
  <si>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</si>
  <si>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</si>
  <si>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</si>
  <si>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</si>
  <si>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</si>
  <si>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</si>
  <si>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</si>
  <si>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</si>
  <si>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</si>
  <si>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</si>
  <si>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</si>
  <si>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</si>
  <si>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</si>
  <si>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</si>
  <si>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</si>
  <si>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</si>
  <si>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</si>
  <si>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</si>
  <si>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</si>
  <si>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</si>
  <si>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</si>
  <si>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</si>
  <si>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</si>
  <si>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</si>
  <si>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</si>
  <si>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</si>
  <si>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</si>
  <si>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</si>
  <si>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</si>
  <si>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</si>
  <si>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</si>
  <si>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</si>
  <si>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</si>
  <si>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</si>
  <si>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</si>
  <si>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</si>
  <si>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</si>
  <si>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</si>
  <si>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</si>
  <si>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</si>
  <si>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</si>
  <si>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</si>
  <si>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</si>
  <si>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</si>
  <si>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</si>
  <si>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</si>
  <si>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</si>
  <si>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</si>
  <si>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</si>
  <si>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</si>
  <si>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</si>
  <si>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</si>
  <si>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</si>
  <si>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</si>
  <si>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</si>
  <si>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</si>
  <si>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</si>
  <si>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</si>
  <si>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</si>
  <si>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</si>
  <si>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</si>
  <si>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</si>
  <si>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</si>
  <si>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</si>
  <si>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</si>
  <si>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</si>
  <si>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</si>
  <si>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</si>
  <si>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</si>
  <si>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</si>
  <si>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</si>
  <si>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</si>
  <si>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</si>
  <si>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</si>
  <si>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</si>
  <si>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</si>
  <si>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</si>
  <si>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</si>
  <si>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</si>
  <si>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</si>
  <si>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</si>
  <si>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</si>
  <si>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</si>
  <si>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</si>
  <si>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</si>
  <si>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</si>
  <si>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</si>
  <si>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</si>
  <si>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</si>
  <si>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</si>
  <si>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</si>
  <si>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</si>
  <si>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</si>
  <si>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</si>
  <si>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</si>
  <si>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</si>
  <si>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</si>
  <si>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</si>
  <si>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</si>
  <si>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</si>
  <si>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</si>
  <si>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</si>
  <si>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</si>
  <si>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</si>
  <si>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</si>
  <si>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</si>
  <si>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</si>
  <si>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</si>
  <si>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</si>
  <si>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</si>
  <si>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</si>
  <si>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</si>
  <si>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</si>
  <si>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</si>
  <si>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</si>
  <si>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</si>
  <si>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</si>
  <si>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</si>
  <si>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</si>
  <si>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</si>
  <si>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</si>
  <si>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</si>
  <si>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</si>
  <si>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</si>
  <si>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</si>
  <si>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</si>
  <si>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</si>
  <si>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</si>
  <si>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</si>
  <si>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</si>
  <si>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</si>
  <si>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</si>
  <si>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</si>
  <si>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</si>
  <si>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</si>
  <si>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</si>
  <si>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</si>
  <si>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</si>
  <si>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</si>
  <si>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</si>
  <si>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</si>
  <si>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</si>
  <si>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</si>
  <si>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</si>
  <si>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</si>
  <si>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</si>
  <si>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</si>
  <si>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</si>
  <si>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</si>
  <si>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</si>
  <si>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</si>
  <si>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</si>
  <si>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</si>
  <si>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</si>
  <si>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</si>
  <si>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</si>
  <si>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</si>
  <si>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</si>
  <si>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</si>
  <si>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</si>
  <si>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</si>
  <si>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</si>
  <si>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</si>
  <si>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</si>
  <si>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</si>
  <si>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</si>
  <si>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</si>
  <si>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</si>
  <si>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</si>
  <si>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</si>
  <si>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</si>
  <si>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</si>
  <si>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</si>
  <si>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</si>
  <si>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</si>
  <si>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</si>
  <si>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</si>
  <si>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</si>
  <si>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</si>
  <si>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</si>
  <si>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</si>
  <si>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</si>
  <si>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</si>
  <si>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</si>
  <si>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</si>
  <si>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</si>
  <si>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</si>
  <si>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</si>
  <si>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</si>
  <si>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</si>
  <si>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</si>
  <si>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</si>
  <si>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</si>
  <si>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</si>
  <si>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</si>
  <si>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</si>
  <si>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</si>
  <si>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</si>
  <si>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</si>
  <si>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</si>
  <si>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</si>
  <si>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</si>
  <si>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</si>
  <si>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</si>
  <si>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</si>
  <si>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</si>
  <si>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</si>
  <si>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</si>
  <si>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</si>
  <si>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</si>
  <si>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</si>
  <si>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</si>
  <si>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</si>
  <si>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</si>
  <si>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</si>
  <si>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</si>
  <si>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</si>
  <si>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</si>
  <si>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</si>
  <si>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</si>
  <si>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</si>
  <si>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</si>
  <si>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</si>
  <si>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</si>
  <si>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</si>
  <si>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</si>
  <si>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</si>
  <si>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</si>
  <si>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</si>
  <si>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</si>
  <si>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</si>
  <si>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</si>
  <si>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</si>
  <si>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</si>
  <si>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</si>
  <si>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</si>
  <si>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</si>
  <si>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</si>
  <si>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</si>
  <si>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</si>
  <si>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</si>
  <si>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</si>
  <si>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</si>
  <si>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</si>
  <si>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</si>
  <si>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</si>
  <si>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</si>
  <si>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</si>
  <si>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</si>
  <si>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</si>
  <si>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</si>
  <si>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</si>
  <si>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</si>
  <si>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</si>
  <si>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</si>
  <si>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</si>
  <si>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</si>
  <si>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</si>
  <si>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</si>
  <si>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</si>
  <si>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</si>
  <si>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</si>
  <si>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</si>
  <si>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</si>
  <si>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</si>
  <si>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</si>
  <si>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</si>
  <si>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</si>
  <si>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</si>
  <si>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</si>
  <si>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</si>
  <si>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</si>
  <si>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</si>
  <si>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</si>
  <si>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</si>
  <si>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</si>
  <si>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</si>
  <si>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</si>
  <si>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</si>
  <si>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</si>
  <si>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</si>
  <si>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</si>
  <si>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</si>
  <si>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</si>
  <si>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</si>
  <si>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</si>
  <si>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</si>
  <si>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</si>
  <si>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</si>
  <si>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</si>
  <si>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</si>
  <si>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</si>
  <si>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</si>
  <si>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</si>
  <si>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</si>
  <si>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</si>
  <si>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</si>
  <si>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</si>
  <si>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</si>
  <si>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</si>
  <si>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</si>
  <si>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</si>
  <si>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</si>
  <si>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</si>
  <si>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</si>
  <si>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</si>
  <si>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</si>
  <si>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</si>
  <si>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</si>
  <si>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</si>
  <si>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</si>
  <si>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</si>
  <si>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</si>
  <si>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</si>
  <si>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</si>
  <si>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</si>
  <si>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</si>
  <si>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</si>
  <si>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</si>
  <si>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</si>
  <si>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</si>
  <si>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</si>
  <si>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</si>
  <si>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</si>
  <si>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</si>
  <si>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</si>
  <si>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</si>
  <si>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</si>
  <si>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</si>
  <si>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</si>
  <si>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</si>
  <si>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</si>
  <si>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</si>
  <si>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</si>
  <si>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</si>
  <si>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</si>
  <si>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</si>
  <si>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</si>
  <si>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</si>
  <si>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</si>
  <si>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</si>
  <si>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</si>
  <si>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</si>
  <si>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</si>
  <si>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</si>
  <si>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</si>
  <si>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</si>
  <si>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</si>
  <si>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</si>
  <si>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</si>
  <si>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</si>
  <si>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</si>
  <si>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</si>
  <si>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</si>
  <si>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</si>
  <si>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</si>
  <si>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</si>
  <si>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</si>
  <si>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</si>
  <si>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</si>
  <si>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</si>
  <si>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</si>
  <si>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</si>
  <si>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</si>
  <si>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</si>
  <si>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</si>
  <si>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</si>
  <si>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</si>
  <si>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</si>
  <si>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</si>
  <si>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</si>
  <si>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</si>
  <si>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</si>
  <si>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</si>
  <si>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</si>
  <si>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</si>
  <si>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</si>
  <si>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</si>
  <si>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</si>
  <si>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</si>
  <si>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</si>
  <si>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</si>
  <si>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</si>
  <si>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</si>
  <si>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</si>
  <si>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</si>
  <si>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</si>
  <si>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</si>
  <si>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</si>
  <si>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</si>
  <si>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</si>
  <si>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</si>
  <si>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</si>
  <si>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</si>
  <si>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</si>
  <si>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</si>
  <si>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</si>
  <si>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</si>
  <si>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</si>
  <si>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</si>
  <si>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</si>
  <si>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</si>
  <si>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</si>
  <si>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</si>
  <si>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</si>
  <si>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</si>
  <si>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</si>
  <si>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</si>
  <si>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</si>
  <si>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</si>
  <si>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</si>
  <si>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</si>
  <si>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</si>
  <si>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</si>
  <si>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</si>
  <si>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</si>
  <si>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</si>
  <si>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</si>
  <si>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</si>
  <si>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</si>
  <si>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</si>
  <si>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</si>
  <si>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</si>
  <si>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</si>
  <si>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</si>
  <si>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</si>
  <si>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</si>
  <si>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</si>
  <si>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</si>
  <si>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</si>
  <si>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</si>
  <si>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</si>
  <si>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</si>
  <si>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</si>
  <si>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</si>
  <si>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</si>
  <si>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</si>
  <si>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</si>
  <si>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</si>
  <si>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</si>
  <si>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</si>
  <si>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</si>
  <si>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</si>
  <si>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</si>
  <si>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</si>
  <si>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</si>
  <si>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</si>
  <si>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</si>
  <si>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</si>
  <si>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</si>
  <si>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</si>
  <si>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</si>
  <si>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</si>
  <si>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</si>
  <si>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</si>
  <si>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</si>
  <si>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</si>
  <si>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</si>
  <si>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</si>
  <si>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</si>
  <si>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</si>
  <si>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</si>
  <si>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</si>
  <si>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</si>
  <si>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</si>
  <si>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</si>
  <si>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</si>
  <si>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</si>
  <si>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</si>
  <si>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</si>
  <si>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</si>
  <si>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</si>
  <si>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</si>
  <si>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</si>
  <si>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</si>
  <si>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</si>
  <si>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</si>
  <si>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</si>
  <si>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</si>
  <si>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</si>
  <si>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</si>
  <si>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</si>
  <si>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</si>
  <si>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</si>
  <si>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</si>
  <si>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</si>
  <si>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</si>
  <si>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</si>
  <si>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</si>
  <si>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</si>
  <si>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</si>
  <si>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</si>
  <si>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</si>
  <si>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</si>
  <si>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</si>
  <si>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</si>
  <si>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</si>
  <si>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</si>
  <si>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</si>
  <si>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</si>
  <si>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</si>
  <si>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</si>
  <si>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</si>
  <si>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</si>
  <si>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</si>
  <si>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</si>
  <si>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</si>
  <si>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</si>
  <si>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</si>
  <si>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</si>
  <si>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</si>
  <si>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</si>
  <si>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</si>
  <si>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</si>
  <si>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</si>
  <si>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</si>
  <si>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</si>
  <si>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</si>
  <si>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</si>
  <si>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</si>
  <si>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</si>
  <si>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</si>
  <si>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</si>
  <si>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</si>
  <si>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</si>
  <si>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</si>
  <si>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</si>
  <si>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</si>
  <si>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</si>
  <si>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</si>
  <si>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</si>
  <si>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</si>
  <si>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</si>
  <si>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</si>
  <si>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</si>
  <si>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</si>
  <si>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</si>
  <si>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</si>
  <si>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</si>
  <si>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</si>
  <si>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</si>
  <si>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</si>
  <si>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</si>
  <si>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</si>
  <si>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</si>
  <si>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</si>
  <si>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</si>
  <si>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</si>
  <si>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</si>
  <si>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</si>
  <si>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</si>
  <si>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</si>
  <si>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</si>
  <si>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</si>
  <si>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</si>
  <si>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</si>
  <si>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</si>
  <si>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</si>
  <si>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</si>
  <si>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</si>
  <si>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</si>
  <si>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</si>
  <si>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</si>
  <si>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</si>
  <si>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</si>
  <si>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</si>
  <si>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</si>
  <si>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</si>
  <si>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</si>
  <si>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</si>
  <si>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</si>
  <si>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</si>
  <si>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</si>
  <si>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</si>
  <si>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</si>
  <si>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</si>
  <si>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</si>
  <si>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</si>
  <si>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</si>
  <si>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</si>
  <si>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</si>
  <si>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</si>
  <si>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</si>
  <si>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</si>
  <si>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</si>
  <si>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</si>
  <si>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</si>
  <si>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</si>
  <si>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</si>
  <si>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</si>
  <si>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</si>
  <si>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</si>
  <si>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</si>
  <si>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</si>
  <si>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</si>
  <si>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</si>
  <si>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</si>
  <si>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</si>
  <si>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</si>
  <si>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</si>
  <si>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</si>
  <si>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</si>
  <si>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</si>
  <si>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</si>
  <si>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</si>
  <si>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</si>
  <si>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</si>
  <si>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</si>
  <si>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</si>
  <si>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</si>
  <si>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</si>
  <si>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</si>
  <si>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</si>
  <si>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</si>
  <si>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</si>
  <si>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</si>
  <si>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</si>
  <si>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</si>
  <si>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</si>
  <si>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</si>
  <si>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</si>
  <si>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</si>
  <si>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</si>
  <si>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</si>
  <si>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</si>
  <si>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</si>
  <si>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</si>
  <si>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</si>
  <si>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</si>
  <si>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</si>
  <si>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</si>
  <si>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</si>
  <si>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</si>
  <si>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</si>
  <si>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</si>
  <si>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</si>
  <si>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</si>
  <si>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</si>
  <si>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</si>
  <si>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</si>
  <si>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</si>
  <si>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</si>
  <si>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</si>
  <si>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</si>
  <si>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</si>
  <si>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</si>
  <si>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</si>
  <si>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</si>
  <si>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</si>
  <si>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</si>
  <si>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</si>
  <si>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</si>
  <si>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</si>
  <si>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</si>
  <si>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</si>
  <si>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</si>
  <si>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</si>
  <si>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</si>
  <si>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</si>
  <si>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</si>
  <si>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</si>
  <si>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</si>
  <si>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</si>
  <si>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</si>
  <si>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</si>
  <si>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</si>
  <si>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</si>
  <si>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</si>
  <si>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</si>
  <si>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</si>
  <si>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</si>
  <si>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</si>
  <si>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</si>
  <si>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</si>
  <si>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</si>
  <si>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</si>
  <si>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</si>
  <si>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</si>
  <si>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</si>
  <si>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</si>
  <si>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</si>
  <si>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</si>
  <si>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</si>
  <si>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</si>
  <si>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</si>
  <si>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</si>
  <si>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</si>
  <si>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</si>
  <si>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</si>
  <si>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</si>
  <si>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</si>
  <si>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</si>
  <si>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</si>
  <si>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</si>
  <si>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</si>
  <si>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</si>
  <si>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</si>
  <si>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</si>
  <si>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</si>
  <si>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</si>
  <si>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</si>
  <si>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</si>
  <si>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</si>
  <si>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</si>
  <si>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</si>
  <si>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</si>
  <si>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</si>
  <si>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</si>
  <si>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</si>
  <si>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</si>
  <si>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</si>
  <si>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</si>
  <si>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</si>
  <si>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</si>
  <si>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</si>
  <si>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</si>
  <si>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</si>
  <si>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</si>
  <si>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</si>
  <si>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</si>
  <si>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</si>
  <si>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</si>
  <si>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</si>
  <si>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</si>
  <si>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</si>
  <si>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</si>
  <si>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</si>
  <si>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</si>
  <si>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</si>
  <si>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</si>
  <si>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</si>
  <si>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</si>
  <si>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</si>
  <si>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</si>
  <si>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</si>
  <si>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</si>
  <si>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</si>
  <si>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</si>
  <si>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</si>
  <si>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</si>
  <si>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</si>
  <si>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</si>
  <si>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</si>
  <si>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</si>
  <si>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</si>
  <si>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</si>
  <si>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</si>
  <si>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</si>
  <si>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</si>
  <si>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</si>
  <si>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</si>
  <si>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</si>
  <si>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</si>
  <si>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</si>
  <si>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</si>
  <si>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</si>
  <si>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</si>
  <si>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</si>
  <si>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</si>
  <si>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</si>
  <si>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</si>
  <si>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</si>
  <si>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</si>
  <si>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</si>
  <si>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</si>
  <si>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</si>
  <si>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</si>
  <si>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</si>
  <si>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</si>
  <si>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</si>
  <si>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</si>
  <si>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</si>
  <si>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</si>
  <si>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</si>
  <si>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</si>
  <si>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</si>
  <si>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</si>
  <si>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</si>
  <si>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</si>
  <si>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</si>
  <si>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</si>
  <si>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</si>
  <si>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</si>
  <si>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</si>
  <si>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</si>
  <si>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</si>
  <si>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</si>
  <si>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</si>
  <si>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</si>
  <si>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</si>
  <si>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</si>
  <si>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</si>
  <si>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</si>
  <si>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</si>
  <si>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</si>
  <si>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</si>
  <si>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</si>
  <si>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</si>
  <si>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</si>
  <si>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</si>
  <si>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</si>
  <si>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</si>
  <si>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</si>
  <si>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</si>
  <si>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</si>
  <si>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</si>
  <si>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</si>
  <si>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</si>
  <si>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</si>
  <si>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</si>
  <si>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</si>
  <si>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</si>
  <si>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</si>
  <si>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</si>
  <si>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</si>
  <si>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</si>
  <si>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</si>
  <si>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</si>
  <si>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</si>
  <si>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</si>
  <si>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</si>
  <si>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</si>
  <si>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</si>
  <si>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</si>
  <si>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</si>
  <si>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</si>
  <si>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</si>
  <si>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</si>
  <si>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</si>
  <si>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</si>
  <si>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</si>
  <si>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</si>
  <si>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</si>
  <si>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</si>
  <si>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</si>
  <si>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</si>
  <si>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</si>
  <si>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</si>
  <si>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</si>
  <si>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</si>
  <si>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</si>
  <si>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</si>
  <si>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</si>
  <si>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</si>
  <si>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</si>
  <si>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</si>
  <si>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</si>
  <si>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</si>
  <si>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</si>
  <si>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</si>
  <si>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</si>
  <si>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</si>
  <si>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</si>
  <si>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</si>
  <si>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</si>
  <si>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</si>
  <si>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</si>
  <si>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</si>
  <si>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</si>
  <si>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</si>
  <si>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</si>
  <si>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</si>
  <si>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</si>
  <si>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</si>
  <si>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</si>
  <si>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</si>
  <si>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</si>
  <si>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</si>
  <si>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</si>
  <si>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</si>
  <si>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</si>
  <si>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</si>
  <si>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</si>
  <si>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</si>
  <si>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</si>
  <si>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</si>
  <si>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</si>
  <si>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</si>
  <si>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</si>
  <si>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</si>
  <si>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</si>
  <si>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</si>
  <si>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</si>
  <si>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</si>
  <si>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</si>
  <si>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</si>
  <si>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</si>
  <si>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</si>
  <si>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</si>
  <si>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</si>
  <si>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</si>
  <si>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</si>
  <si>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</si>
  <si>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</si>
  <si>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</si>
  <si>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</si>
  <si>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</si>
  <si>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</si>
  <si>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</si>
  <si>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</si>
  <si>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</si>
  <si>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</si>
  <si>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</si>
  <si>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</si>
  <si>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</si>
  <si>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</si>
  <si>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</si>
  <si>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</si>
  <si>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</si>
  <si>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</si>
  <si>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</si>
  <si>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</si>
  <si>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</si>
  <si>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</si>
  <si>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</si>
  <si>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</si>
  <si>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</si>
  <si>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</si>
  <si>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</si>
  <si>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</si>
  <si>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</si>
  <si>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</si>
  <si>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</si>
  <si>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</si>
  <si>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</si>
  <si>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</si>
  <si>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</si>
  <si>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</si>
  <si>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</si>
  <si>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</si>
  <si>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</si>
  <si>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</si>
  <si>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</si>
  <si>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</si>
  <si>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</si>
  <si>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</si>
  <si>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</si>
  <si>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</si>
  <si>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</si>
  <si>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</si>
  <si>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</si>
  <si>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</si>
  <si>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</si>
  <si>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</si>
  <si>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</si>
  <si>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</si>
  <si>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</si>
  <si>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</si>
  <si>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</si>
  <si>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</si>
  <si>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</si>
  <si>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</si>
  <si>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</si>
  <si>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</si>
  <si>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</si>
  <si>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</si>
  <si>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</si>
  <si>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</si>
  <si>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</si>
  <si>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</si>
  <si>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</si>
  <si>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</si>
  <si>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</si>
  <si>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</si>
  <si>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</si>
  <si>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</si>
  <si>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</si>
  <si>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</si>
  <si>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</si>
  <si>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</si>
  <si>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</si>
  <si>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</si>
  <si>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</si>
  <si>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</si>
  <si>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</si>
  <si>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</si>
  <si>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</si>
  <si>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</si>
  <si>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</si>
  <si>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</si>
  <si>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</si>
  <si>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</si>
  <si>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</si>
  <si>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</si>
  <si>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</si>
  <si>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</si>
  <si>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</si>
  <si>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</si>
  <si>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</si>
  <si>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</si>
  <si>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</si>
  <si>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</si>
  <si>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</si>
  <si>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</si>
  <si>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</si>
  <si>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</si>
  <si>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</si>
  <si>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</si>
  <si>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</si>
  <si>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</si>
  <si>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</si>
  <si>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</si>
  <si>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</si>
  <si>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</si>
  <si>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</si>
  <si>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</si>
  <si>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</si>
  <si>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</si>
  <si>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</si>
  <si>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</si>
  <si>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</si>
  <si>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</si>
  <si>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</si>
  <si>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</si>
  <si>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</si>
  <si>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</si>
  <si>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</si>
  <si>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</si>
  <si>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</si>
  <si>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</si>
  <si>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</si>
  <si>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</si>
  <si>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</si>
  <si>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</si>
  <si>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</si>
  <si>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</si>
  <si>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</si>
  <si>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</si>
  <si>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</si>
  <si>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</si>
  <si>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</si>
  <si>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</si>
  <si>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</si>
  <si>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</si>
  <si>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</si>
  <si>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</si>
  <si>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</si>
  <si>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</si>
  <si>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</si>
  <si>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</si>
  <si>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</si>
  <si>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</si>
  <si>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</si>
  <si>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</si>
  <si>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</si>
  <si>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</si>
  <si>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</si>
  <si>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</si>
  <si>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</si>
  <si>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</si>
  <si>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</si>
  <si>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</si>
  <si>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</si>
  <si>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</si>
  <si>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</si>
  <si>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</si>
  <si>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</si>
  <si>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</si>
  <si>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</si>
  <si>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</si>
  <si>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</si>
  <si>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</si>
  <si>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</si>
  <si>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</si>
  <si>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</si>
  <si>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</si>
  <si>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</si>
  <si>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</si>
  <si>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</si>
  <si>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</si>
  <si>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</si>
  <si>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</si>
  <si>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</si>
  <si>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</si>
  <si>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</si>
  <si>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</si>
  <si>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</si>
  <si>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</si>
  <si>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</si>
  <si>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</si>
  <si>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</si>
  <si>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</si>
  <si>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</si>
  <si>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</si>
  <si>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</si>
  <si>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</si>
  <si>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</si>
  <si>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</si>
  <si>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</si>
  <si>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</si>
  <si>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</si>
  <si>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</si>
  <si>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</si>
  <si>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</si>
  <si>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</si>
  <si>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</si>
  <si>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</si>
  <si>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</si>
  <si>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</si>
  <si>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</si>
  <si>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</si>
  <si>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</si>
  <si>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</si>
  <si>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</si>
  <si>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</si>
  <si>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</si>
  <si>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</si>
  <si>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</si>
  <si>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</si>
  <si>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</si>
  <si>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</si>
  <si>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</si>
  <si>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</si>
  <si>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</si>
  <si>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</si>
  <si>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</si>
  <si>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</si>
  <si>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</si>
  <si>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</si>
  <si>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</si>
  <si>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</si>
  <si>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</si>
  <si>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</si>
  <si>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</si>
  <si>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</si>
  <si>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</si>
  <si>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</si>
  <si>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</si>
  <si>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</si>
  <si>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</si>
  <si>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</si>
  <si>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</si>
  <si>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</si>
  <si>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</si>
  <si>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</si>
  <si>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</si>
  <si>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</si>
  <si>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</si>
  <si>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</si>
  <si>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</si>
  <si>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</si>
  <si>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</si>
  <si>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</si>
  <si>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</si>
  <si>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</si>
  <si>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</si>
  <si>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</si>
  <si>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</si>
  <si>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</si>
  <si>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</si>
  <si>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</si>
  <si>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</si>
  <si>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</si>
  <si>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</si>
  <si>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</si>
  <si>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</si>
  <si>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</si>
  <si>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</si>
  <si>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</si>
  <si>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</si>
  <si>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</si>
  <si>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</si>
  <si>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</si>
  <si>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</si>
  <si>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</si>
  <si>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</si>
  <si>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</si>
  <si>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</si>
  <si>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</si>
  <si>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</si>
  <si>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</si>
  <si>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</si>
  <si>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</si>
  <si>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</si>
  <si>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</si>
  <si>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</si>
  <si>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</si>
  <si>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</si>
  <si>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</si>
  <si>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</si>
  <si>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</si>
  <si>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</si>
  <si>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</si>
  <si>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</si>
  <si>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</si>
  <si>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</si>
  <si>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</si>
  <si>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</si>
  <si>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</si>
  <si>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</si>
  <si>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</si>
  <si>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</si>
  <si>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</si>
  <si>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</si>
  <si>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</si>
  <si>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</si>
  <si>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</si>
  <si>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</si>
  <si>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</si>
  <si>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</si>
  <si>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</si>
  <si>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</si>
  <si>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</si>
  <si>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</si>
  <si>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</si>
  <si>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</si>
  <si>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</si>
  <si>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</si>
  <si>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</si>
  <si>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</si>
  <si>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</si>
  <si>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</si>
  <si>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</si>
  <si>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</si>
  <si>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</si>
  <si>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</si>
  <si>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</si>
  <si>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</si>
  <si>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</si>
  <si>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</si>
  <si>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</si>
  <si>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</si>
  <si>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</si>
  <si>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</si>
  <si>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</si>
  <si>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</si>
  <si>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</si>
  <si>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</si>
  <si>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</si>
  <si>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</si>
  <si>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</si>
  <si>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</si>
  <si>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</si>
  <si>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</si>
  <si>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</si>
  <si>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</si>
  <si>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</si>
  <si>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</si>
  <si>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</si>
  <si>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</si>
  <si>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</si>
  <si>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</si>
  <si>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</si>
  <si>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</si>
  <si>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</si>
  <si>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</si>
  <si>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</si>
  <si>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</si>
  <si>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</si>
  <si>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</si>
  <si>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</si>
  <si>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</si>
  <si>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</si>
  <si>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</si>
  <si>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</si>
  <si>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</si>
  <si>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</si>
  <si>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</si>
  <si>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</si>
  <si>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</si>
  <si>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</si>
  <si>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</si>
  <si>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</si>
  <si>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</si>
  <si>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</si>
  <si>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</si>
  <si>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</si>
  <si>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</si>
  <si>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</si>
  <si>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</si>
  <si>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</si>
  <si>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</si>
  <si>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</si>
  <si>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</si>
  <si>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</si>
  <si>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</si>
  <si>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</si>
  <si>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</si>
  <si>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</si>
  <si>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</si>
  <si>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</si>
  <si>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</si>
  <si>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</si>
  <si>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</si>
  <si>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</si>
  <si>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</si>
  <si>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</si>
  <si>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</si>
  <si>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</si>
  <si>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</si>
  <si>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</si>
  <si>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</si>
  <si>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</si>
  <si>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</si>
  <si>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</si>
  <si>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</si>
  <si>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</si>
  <si>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</si>
  <si>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</si>
  <si>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</si>
  <si>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</si>
  <si>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</si>
  <si>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</si>
  <si>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</si>
  <si>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</si>
  <si>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</si>
  <si>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</si>
  <si>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</si>
  <si>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</si>
  <si>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</si>
  <si>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</si>
  <si>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</si>
  <si>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</si>
  <si>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</si>
  <si>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</si>
  <si>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</si>
  <si>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</si>
  <si>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</si>
  <si>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</si>
  <si>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</si>
  <si>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</si>
  <si>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</si>
  <si>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</si>
  <si>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</si>
  <si>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</si>
  <si>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</si>
  <si>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</si>
  <si>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</si>
  <si>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</si>
  <si>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</si>
  <si>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</si>
  <si>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</si>
  <si>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</si>
  <si>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</si>
  <si>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</si>
  <si>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</si>
  <si>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</si>
  <si>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</si>
  <si>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</si>
  <si>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</si>
  <si>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</si>
  <si>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</si>
  <si>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</si>
  <si>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</si>
  <si>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</si>
  <si>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</si>
  <si>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</si>
  <si>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</si>
  <si>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</si>
  <si>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</si>
  <si>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</si>
  <si>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</si>
  <si>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</si>
  <si>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</si>
  <si>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</si>
  <si>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</si>
  <si>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</si>
  <si>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</si>
  <si>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</si>
  <si>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</si>
  <si>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</si>
  <si>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</si>
  <si>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</si>
  <si>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</si>
  <si>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</si>
  <si>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</si>
  <si>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</si>
  <si>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</si>
  <si>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</si>
  <si>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</si>
  <si>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</si>
  <si>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</si>
  <si>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</si>
  <si>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</si>
  <si>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</si>
  <si>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</si>
  <si>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</si>
  <si>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</si>
  <si>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</si>
  <si>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</si>
  <si>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</si>
  <si>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</si>
  <si>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</si>
  <si>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</si>
  <si>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</si>
  <si>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</si>
  <si>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</si>
  <si>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</si>
  <si>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</si>
  <si>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</si>
  <si>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</si>
  <si>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</si>
  <si>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</si>
  <si>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</si>
  <si>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</si>
  <si>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</si>
  <si>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</si>
  <si>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</si>
  <si>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</si>
  <si>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</si>
  <si>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</si>
  <si>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</si>
  <si>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</si>
  <si>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</si>
  <si>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</si>
  <si>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</si>
  <si>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</si>
  <si>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</si>
  <si>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</si>
  <si>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</si>
  <si>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</si>
  <si>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</si>
  <si>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</si>
  <si>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</si>
  <si>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</si>
  <si>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</si>
  <si>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</si>
  <si>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</si>
  <si>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</si>
  <si>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</si>
  <si>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</si>
  <si>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</si>
  <si>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</si>
  <si>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</si>
  <si>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</si>
  <si>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</si>
  <si>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</si>
  <si>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</si>
  <si>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</si>
  <si>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</si>
  <si>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</si>
  <si>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</si>
  <si>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</si>
  <si>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</si>
  <si>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</si>
  <si>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</si>
  <si>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</si>
  <si>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</si>
  <si>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</si>
  <si>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</si>
  <si>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</si>
  <si>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</si>
  <si>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</si>
  <si>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</si>
  <si>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</si>
  <si>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</si>
  <si>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</si>
  <si>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</si>
  <si>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</si>
  <si>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</si>
  <si>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</si>
  <si>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</si>
  <si>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</si>
  <si>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</si>
  <si>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</si>
  <si>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</si>
  <si>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</si>
  <si>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</si>
  <si>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</si>
  <si>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</si>
  <si>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</si>
  <si>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</si>
  <si>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</si>
  <si>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</si>
  <si>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</si>
  <si>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</si>
  <si>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</si>
  <si>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</si>
  <si>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</si>
  <si>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</si>
  <si>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</si>
  <si>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</si>
  <si>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</si>
  <si>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</si>
  <si>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</si>
  <si>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</si>
  <si>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</si>
  <si>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</si>
  <si>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</si>
  <si>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</si>
  <si>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</si>
  <si>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</si>
  <si>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</si>
  <si>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</si>
  <si>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</si>
  <si>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</si>
  <si>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</si>
  <si>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</si>
  <si>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</si>
  <si>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</si>
  <si>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</si>
  <si>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</si>
  <si>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</si>
  <si>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</si>
  <si>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</si>
  <si>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</si>
  <si>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</si>
  <si>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</si>
  <si>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</si>
  <si>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</si>
  <si>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</si>
  <si>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</si>
  <si>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</si>
  <si>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</si>
  <si>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</si>
  <si>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</si>
  <si>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</si>
  <si>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</si>
  <si>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</si>
  <si>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</si>
  <si>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</si>
  <si>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</si>
  <si>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</si>
  <si>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</si>
  <si>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</si>
  <si>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</si>
  <si>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</si>
  <si>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</si>
  <si>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</si>
  <si>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</si>
  <si>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</si>
  <si>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</si>
  <si>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</si>
  <si>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</si>
  <si>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</si>
  <si>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</si>
  <si>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</si>
  <si>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</si>
  <si>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</si>
  <si>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</si>
  <si>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</si>
  <si>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</si>
  <si>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</si>
  <si>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</si>
  <si>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</si>
  <si>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</si>
  <si>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</si>
  <si>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</si>
  <si>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</si>
  <si>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</si>
  <si>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</si>
  <si>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</si>
  <si>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</si>
  <si>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</si>
  <si>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</si>
  <si>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</si>
  <si>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</si>
  <si>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</si>
  <si>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</si>
  <si>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</si>
  <si>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</si>
  <si>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</si>
  <si>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</si>
  <si>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</si>
  <si>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</si>
  <si>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</si>
  <si>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</si>
  <si>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</si>
  <si>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</si>
  <si>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</si>
  <si>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</si>
  <si>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</si>
  <si>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</si>
  <si>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</si>
  <si>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</si>
  <si>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</si>
  <si>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</si>
  <si>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</si>
  <si>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</si>
  <si>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</si>
  <si>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</si>
  <si>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</si>
  <si>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</si>
  <si>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</si>
  <si>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</si>
  <si>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</si>
  <si>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</si>
  <si>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</si>
  <si>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</si>
  <si>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</si>
  <si>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</si>
  <si>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</si>
  <si>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</si>
  <si>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</si>
  <si>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</si>
  <si>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</si>
  <si>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</si>
  <si>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</si>
  <si>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</si>
  <si>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</si>
  <si>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</si>
  <si>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</si>
  <si>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</si>
  <si>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</si>
  <si>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</si>
  <si>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</si>
  <si>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</si>
  <si>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</si>
  <si>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</si>
  <si>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</si>
  <si>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</si>
  <si>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</si>
  <si>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</si>
  <si>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</si>
  <si>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</si>
  <si>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</si>
  <si>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</si>
  <si>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</si>
  <si>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</si>
  <si>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</si>
  <si>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</si>
  <si>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</si>
  <si>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</si>
  <si>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</si>
  <si>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</si>
  <si>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</si>
  <si>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</si>
  <si>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</si>
  <si>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</si>
  <si>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</si>
  <si>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</si>
  <si>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</si>
  <si>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</si>
  <si>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</si>
  <si>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</si>
  <si>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</si>
  <si>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</si>
  <si>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</si>
  <si>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</si>
  <si>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</si>
  <si>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</si>
  <si>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</si>
  <si>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</si>
  <si>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</si>
  <si>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</si>
  <si>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</si>
  <si>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</si>
  <si>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</si>
  <si>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</si>
  <si>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</si>
  <si>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</si>
  <si>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</si>
  <si>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</si>
  <si>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</si>
  <si>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</si>
  <si>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</si>
  <si>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</si>
  <si>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</si>
  <si>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</si>
  <si>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</si>
  <si>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</si>
  <si>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</si>
  <si>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</si>
  <si>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</si>
  <si>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</si>
  <si>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</si>
  <si>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</si>
  <si>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</si>
  <si>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</si>
  <si>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</si>
  <si>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</si>
  <si>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</si>
  <si>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</si>
  <si>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</si>
  <si>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</si>
  <si>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</si>
  <si>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</si>
  <si>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</si>
  <si>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</si>
  <si>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</si>
  <si>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</si>
  <si>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</si>
  <si>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</si>
  <si>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</si>
  <si>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</si>
  <si>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</si>
  <si>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</si>
  <si>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</si>
  <si>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</si>
  <si>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</si>
  <si>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</si>
  <si>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</si>
  <si>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</si>
  <si>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</si>
  <si>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</si>
  <si>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</si>
  <si>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</si>
  <si>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</si>
  <si>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</si>
  <si>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</si>
  <si>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</si>
  <si>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</si>
  <si>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</si>
  <si>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</si>
  <si>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</si>
  <si>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</si>
  <si>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</si>
  <si>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</si>
  <si>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</si>
  <si>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</si>
  <si>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</si>
  <si>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</si>
  <si>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</si>
  <si>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</si>
  <si>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</si>
  <si>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</si>
  <si>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</si>
  <si>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</si>
  <si>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</si>
  <si>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</si>
  <si>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</si>
  <si>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</si>
  <si>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</si>
  <si>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</si>
  <si>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</si>
  <si>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</si>
  <si>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</si>
  <si>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</si>
  <si>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</si>
  <si>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</si>
  <si>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</si>
  <si>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</si>
  <si>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</si>
  <si>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</si>
  <si>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</si>
  <si>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</si>
  <si>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</si>
  <si>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</si>
  <si>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</si>
  <si>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</si>
  <si>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</si>
  <si>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</si>
  <si>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</si>
  <si>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</si>
  <si>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</si>
  <si>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</si>
  <si>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</si>
  <si>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</si>
  <si>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</si>
  <si>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</si>
  <si>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</si>
  <si>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</si>
  <si>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</si>
  <si>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</si>
  <si>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</si>
  <si>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</si>
  <si>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</si>
  <si>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</si>
  <si>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</si>
  <si>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</si>
  <si>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</si>
  <si>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</si>
  <si>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</si>
  <si>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</si>
  <si>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</si>
  <si>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</si>
  <si>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</si>
  <si>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</si>
  <si>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</si>
  <si>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</si>
  <si>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</si>
  <si>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</si>
  <si>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</si>
  <si>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</si>
  <si>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</si>
  <si>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</si>
  <si>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</si>
  <si>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</si>
  <si>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</si>
  <si>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</si>
  <si>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</si>
  <si>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</si>
  <si>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</si>
  <si>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</si>
  <si>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</si>
  <si>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</si>
  <si>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</si>
  <si>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</si>
  <si>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</si>
  <si>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</si>
  <si>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</si>
  <si>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</si>
  <si>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</si>
  <si>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</si>
  <si>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</si>
  <si>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</si>
  <si>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</si>
  <si>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</si>
  <si>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</si>
  <si>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</si>
  <si>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</si>
  <si>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</si>
  <si>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</si>
  <si>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</si>
  <si>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</si>
  <si>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</si>
  <si>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</si>
  <si>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</si>
  <si>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</si>
  <si>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</si>
  <si>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</si>
  <si>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</si>
  <si>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</si>
  <si>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</si>
  <si>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</si>
  <si>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</si>
  <si>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</si>
  <si>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</si>
  <si>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</si>
  <si>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</si>
  <si>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</si>
  <si>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</si>
  <si>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</si>
  <si>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</si>
  <si>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</si>
  <si>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</si>
  <si>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</si>
  <si>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</si>
  <si>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</si>
  <si>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</si>
  <si>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</si>
  <si>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</si>
  <si>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</si>
  <si>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</si>
  <si>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</si>
  <si>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</si>
  <si>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</si>
  <si>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</si>
  <si>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</si>
  <si>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</si>
  <si>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</si>
  <si>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</si>
  <si>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</si>
  <si>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</si>
  <si>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</si>
  <si>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</si>
  <si>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</si>
  <si>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</si>
  <si>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</si>
  <si>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</si>
  <si>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</si>
  <si>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</si>
  <si>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科教用地</t>
  </si>
  <si>
    <t>地上</t>
  </si>
  <si>
    <t>基准地价</t>
    <phoneticPr fontId="225" type="noConversion"/>
  </si>
  <si>
    <t>剩余法</t>
    <phoneticPr fontId="225" type="noConversion"/>
  </si>
  <si>
    <t>评估结果</t>
    <phoneticPr fontId="225" type="noConversion"/>
  </si>
  <si>
    <t>权重</t>
    <phoneticPr fontId="225" type="noConversion"/>
  </si>
  <si>
    <t>出让楼面单价</t>
    <phoneticPr fontId="225" type="noConversion"/>
  </si>
  <si>
    <t>增值收益率</t>
    <phoneticPr fontId="225" type="noConversion"/>
  </si>
  <si>
    <t>成本法</t>
    <phoneticPr fontId="225" type="noConversion"/>
  </si>
  <si>
    <t>总价</t>
    <phoneticPr fontId="225" type="noConversion"/>
  </si>
  <si>
    <t>科教</t>
    <phoneticPr fontId="7" type="noConversion"/>
  </si>
  <si>
    <t>估价对象容积率</t>
  </si>
  <si>
    <t>工程进度</t>
  </si>
  <si>
    <t>不动产收益法</t>
  </si>
  <si>
    <t>与级别开发程度一致</t>
  </si>
  <si>
    <t>按公示增长率计算</t>
  </si>
  <si>
    <t>容积率修正</t>
  </si>
  <si>
    <t>https://bj.sydc.anjuke.com/xzl-zu/0/?legoHuiDu=0&amp;houseid=1764083963584517&amp;pt=0&amp;zhidingLegoHuiDu=0&amp;uniqid=855a913a8d0d462a8093a51a187c9881&amp;gpos=2&amp;#weizhiFlag</t>
    <phoneticPr fontId="225" type="noConversion"/>
  </si>
  <si>
    <t>https://bj.sydc.anjuke.com/xzl-zu/0/?legoHuiDu=0&amp;houseid=2225805640999944&amp;pt=0&amp;zhidingLegoHuiDu=0&amp;uniqid=8e17e4a66ad74d97be5f8d1337d9c596&amp;gpos=3&amp;</t>
    <phoneticPr fontId="225" type="noConversion"/>
  </si>
  <si>
    <t>https://bj.sydc.anjuke.com/xzl-zu/6111430152/?legoHuiDu=0&amp;houseid=1295356214617097&amp;pt=1&amp;zhidingLegoHuiDu=0&amp;uniqid=835217b73919489eb87c67428fa31db4&amp;gpos=1&amp;</t>
    <phoneticPr fontId="225" type="noConversion"/>
  </si>
  <si>
    <t>科教</t>
  </si>
  <si>
    <t>押一</t>
  </si>
  <si>
    <t>按租金收入计税</t>
  </si>
  <si>
    <t>钢混</t>
  </si>
  <si>
    <t>2013年-2021年土地储备开发项目成本构成表</t>
  </si>
  <si>
    <t>序号1</t>
  </si>
  <si>
    <t>年份</t>
  </si>
  <si>
    <t>期次</t>
  </si>
  <si>
    <t>序号2</t>
  </si>
  <si>
    <t>区县</t>
  </si>
  <si>
    <t>出让方式</t>
  </si>
  <si>
    <t>项目名称</t>
  </si>
  <si>
    <t>主要规划用途</t>
  </si>
  <si>
    <t>市政条件</t>
  </si>
  <si>
    <t>土地面积（公顷）</t>
  </si>
  <si>
    <t>建筑规模  （万平方米）</t>
  </si>
  <si>
    <t>征地水平</t>
  </si>
  <si>
    <t>总用地面积（公顷）</t>
  </si>
  <si>
    <t>建设用地面积（公顷）</t>
  </si>
  <si>
    <t>顺义区</t>
  </si>
  <si>
    <t>公开出让</t>
  </si>
  <si>
    <t>顺义新城项目用地一级开发项目SY00-0013-6028、6032等地块、SY00-0013-6039、6040等地块</t>
  </si>
  <si>
    <t xml:space="preserve">
二类住宅、商业金融
</t>
  </si>
  <si>
    <t>顺义</t>
  </si>
  <si>
    <t>顺义区M15号线新国展北站土地一级开发项目01-1地块</t>
  </si>
  <si>
    <t xml:space="preserve">A21图书展览用地
</t>
  </si>
  <si>
    <t>顺义区国展预留地剩余地块土地一级开发项目SY00-0022-6005-1、SY00-0023-6002地块</t>
  </si>
  <si>
    <t>B4综合性商业金融服务业用地、A21图书展览用地</t>
  </si>
  <si>
    <t>顺义区平各庄旧村改造一期项目SY00-0005-6045、6046地块</t>
  </si>
  <si>
    <t>R2二类居住用地、A334托幼用地</t>
  </si>
  <si>
    <t>估价对象</t>
  </si>
  <si>
    <r>
      <rPr>
        <sz val="10"/>
        <rFont val="仿宋_GB2312"/>
        <family val="3"/>
        <charset val="134"/>
      </rPr>
      <t>估价对象</t>
    </r>
  </si>
  <si>
    <r>
      <rPr>
        <sz val="10"/>
        <rFont val="仿宋_GB2312"/>
        <family val="3"/>
        <charset val="134"/>
      </rPr>
      <t>可比案例</t>
    </r>
    <r>
      <rPr>
        <sz val="10"/>
        <rFont val="Arial"/>
        <family val="2"/>
      </rPr>
      <t>1</t>
    </r>
  </si>
  <si>
    <r>
      <rPr>
        <sz val="10"/>
        <rFont val="仿宋_GB2312"/>
        <family val="3"/>
        <charset val="134"/>
      </rPr>
      <t>可比案例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</si>
  <si>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</si>
  <si>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可比案例</t>
    </r>
    <r>
      <rPr>
        <sz val="10"/>
        <rFont val="Arial"/>
        <family val="2"/>
      </rPr>
      <t>4</t>
    </r>
  </si>
  <si>
    <r>
      <rPr>
        <sz val="10"/>
        <rFont val="仿宋_GB2312"/>
        <family val="3"/>
        <charset val="134"/>
      </rPr>
      <t>可比案例</t>
    </r>
    <r>
      <rPr>
        <sz val="10"/>
        <rFont val="Arial"/>
        <family val="2"/>
      </rPr>
      <t>5</t>
    </r>
  </si>
  <si>
    <t>平均租金（元/平方米·月）</t>
  </si>
  <si>
    <t>待估</t>
  </si>
  <si>
    <t>交易时间</t>
  </si>
  <si>
    <t>2017.6</t>
  </si>
  <si>
    <t>2017.9</t>
  </si>
  <si>
    <t>交易情况</t>
  </si>
  <si>
    <t>正常</t>
  </si>
  <si>
    <t>区域状况</t>
  </si>
  <si>
    <t>一般</t>
  </si>
  <si>
    <t>较好</t>
  </si>
  <si>
    <t>区域位置</t>
  </si>
  <si>
    <t>六环外，距市区较远</t>
  </si>
  <si>
    <t>六环内</t>
  </si>
  <si>
    <t>六环外，距市区较近</t>
  </si>
  <si>
    <t>区域配套设施</t>
  </si>
  <si>
    <t>公用服务设施完善度一般，基本能满足需要</t>
  </si>
  <si>
    <t>公用服务设施较好，较能满足需要</t>
  </si>
  <si>
    <t>2021-4</t>
    <phoneticPr fontId="225" type="noConversion"/>
  </si>
  <si>
    <t>自然环境与景观</t>
  </si>
  <si>
    <t>2021-3</t>
    <phoneticPr fontId="225" type="noConversion"/>
  </si>
  <si>
    <t>实物状况</t>
  </si>
  <si>
    <t>临路状况</t>
  </si>
  <si>
    <t>城市次干道</t>
  </si>
  <si>
    <t>城市主干道</t>
  </si>
  <si>
    <t>2021-2</t>
    <phoneticPr fontId="225" type="noConversion"/>
  </si>
  <si>
    <t>宗地内开发程度</t>
  </si>
  <si>
    <t>五通</t>
  </si>
  <si>
    <t>三通一平</t>
  </si>
  <si>
    <t>2021-1</t>
    <phoneticPr fontId="225" type="noConversion"/>
  </si>
  <si>
    <t>宗地形状</t>
  </si>
  <si>
    <t>规则</t>
  </si>
  <si>
    <t>季度</t>
    <phoneticPr fontId="225" type="noConversion"/>
  </si>
  <si>
    <t>期日修正系数</t>
    <phoneticPr fontId="225" type="noConversion"/>
  </si>
  <si>
    <t>宗地面积（公顷）</t>
  </si>
  <si>
    <r>
      <t>2</t>
    </r>
    <r>
      <rPr>
        <sz val="11"/>
        <color theme="1"/>
        <rFont val="宋体"/>
        <family val="3"/>
        <charset val="134"/>
        <scheme val="minor"/>
      </rPr>
      <t>020-4</t>
    </r>
    <phoneticPr fontId="225" type="noConversion"/>
  </si>
  <si>
    <t>宜居状况</t>
  </si>
  <si>
    <t>物业服务保障</t>
  </si>
  <si>
    <t>有专业物业公司，物业服务保障好</t>
  </si>
  <si>
    <t>管员人员配置</t>
  </si>
  <si>
    <t>配备管理人员</t>
  </si>
  <si>
    <t>出租稳定性</t>
  </si>
  <si>
    <t>出租稳定性好</t>
  </si>
  <si>
    <t>住户的构成</t>
  </si>
  <si>
    <t>出租房屋住户均有备案，居住安全性好</t>
  </si>
  <si>
    <t>出租房屋住户备案较少，居住安全性一般</t>
  </si>
  <si>
    <t>安全监控系统</t>
  </si>
  <si>
    <t>设有小区监控，门禁及呼叫系统</t>
  </si>
  <si>
    <t>绿化环境</t>
  </si>
  <si>
    <t>绿化率约为30%，好</t>
  </si>
  <si>
    <t>配套设施</t>
  </si>
  <si>
    <t>配备活动站、医疗站</t>
  </si>
  <si>
    <t>配备活动站，无医疗站</t>
  </si>
  <si>
    <t>成交单价（元/平米）</t>
  </si>
  <si>
    <t>_____</t>
  </si>
  <si>
    <r>
      <t>2</t>
    </r>
    <r>
      <rPr>
        <sz val="11"/>
        <color theme="1"/>
        <rFont val="宋体"/>
        <family val="3"/>
        <charset val="134"/>
        <scheme val="minor"/>
      </rPr>
      <t>020-3</t>
    </r>
    <phoneticPr fontId="225" type="noConversion"/>
  </si>
  <si>
    <t>比较价值（元/平米）</t>
  </si>
  <si>
    <r>
      <t>2</t>
    </r>
    <r>
      <rPr>
        <sz val="11"/>
        <color theme="1"/>
        <rFont val="宋体"/>
        <family val="3"/>
        <charset val="134"/>
        <scheme val="minor"/>
      </rPr>
      <t>020-2</t>
    </r>
    <phoneticPr fontId="225" type="noConversion"/>
  </si>
  <si>
    <r>
      <t>2</t>
    </r>
    <r>
      <rPr>
        <sz val="11"/>
        <color theme="1"/>
        <rFont val="宋体"/>
        <family val="3"/>
        <charset val="134"/>
        <scheme val="minor"/>
      </rPr>
      <t>020-1</t>
    </r>
    <phoneticPr fontId="225" type="noConversion"/>
  </si>
  <si>
    <r>
      <t>2</t>
    </r>
    <r>
      <rPr>
        <sz val="11"/>
        <color theme="1"/>
        <rFont val="宋体"/>
        <family val="3"/>
        <charset val="134"/>
        <scheme val="minor"/>
      </rPr>
      <t>019-4</t>
    </r>
    <phoneticPr fontId="225" type="noConversion"/>
  </si>
  <si>
    <r>
      <t>2</t>
    </r>
    <r>
      <rPr>
        <sz val="11"/>
        <color theme="1"/>
        <rFont val="宋体"/>
        <family val="3"/>
        <charset val="134"/>
        <scheme val="minor"/>
      </rPr>
      <t>019-3</t>
    </r>
    <phoneticPr fontId="225" type="noConversion"/>
  </si>
  <si>
    <r>
      <t>2</t>
    </r>
    <r>
      <rPr>
        <sz val="11"/>
        <color theme="1"/>
        <rFont val="宋体"/>
        <family val="3"/>
        <charset val="134"/>
        <scheme val="minor"/>
      </rPr>
      <t>019-2</t>
    </r>
    <phoneticPr fontId="225" type="noConversion"/>
  </si>
  <si>
    <r>
      <t>2</t>
    </r>
    <r>
      <rPr>
        <sz val="11"/>
        <color theme="1"/>
        <rFont val="宋体"/>
        <family val="3"/>
        <charset val="134"/>
        <scheme val="minor"/>
      </rPr>
      <t>019-1</t>
    </r>
    <phoneticPr fontId="225" type="noConversion"/>
  </si>
  <si>
    <r>
      <t>2</t>
    </r>
    <r>
      <rPr>
        <sz val="11"/>
        <color theme="1"/>
        <rFont val="宋体"/>
        <family val="3"/>
        <charset val="134"/>
        <scheme val="minor"/>
      </rPr>
      <t>018-4</t>
    </r>
    <phoneticPr fontId="225" type="noConversion"/>
  </si>
  <si>
    <r>
      <t>2</t>
    </r>
    <r>
      <rPr>
        <sz val="11"/>
        <color theme="1"/>
        <rFont val="宋体"/>
        <family val="3"/>
        <charset val="134"/>
        <scheme val="minor"/>
      </rPr>
      <t>018-3</t>
    </r>
    <phoneticPr fontId="225" type="noConversion"/>
  </si>
  <si>
    <r>
      <t>2</t>
    </r>
    <r>
      <rPr>
        <sz val="11"/>
        <color theme="1"/>
        <rFont val="宋体"/>
        <family val="3"/>
        <charset val="134"/>
        <scheme val="minor"/>
      </rPr>
      <t>018-2</t>
    </r>
    <phoneticPr fontId="225" type="noConversion"/>
  </si>
  <si>
    <r>
      <t>2</t>
    </r>
    <r>
      <rPr>
        <sz val="11"/>
        <color theme="1"/>
        <rFont val="宋体"/>
        <family val="3"/>
        <charset val="134"/>
        <scheme val="minor"/>
      </rPr>
      <t>018-1</t>
    </r>
    <phoneticPr fontId="225" type="noConversion"/>
  </si>
  <si>
    <r>
      <t>2</t>
    </r>
    <r>
      <rPr>
        <sz val="11"/>
        <color theme="1"/>
        <rFont val="宋体"/>
        <family val="3"/>
        <charset val="134"/>
        <scheme val="minor"/>
      </rPr>
      <t>017-4</t>
    </r>
    <phoneticPr fontId="225" type="noConversion"/>
  </si>
  <si>
    <r>
      <t>2</t>
    </r>
    <r>
      <rPr>
        <sz val="11"/>
        <color theme="1"/>
        <rFont val="宋体"/>
        <family val="3"/>
        <charset val="134"/>
        <scheme val="minor"/>
      </rPr>
      <t>017-3</t>
    </r>
    <phoneticPr fontId="225" type="noConversion"/>
  </si>
  <si>
    <r>
      <t>2</t>
    </r>
    <r>
      <rPr>
        <sz val="11"/>
        <color theme="1"/>
        <rFont val="宋体"/>
        <family val="3"/>
        <charset val="134"/>
        <scheme val="minor"/>
      </rPr>
      <t>017-2</t>
    </r>
    <phoneticPr fontId="225" type="noConversion"/>
  </si>
  <si>
    <r>
      <t>2</t>
    </r>
    <r>
      <rPr>
        <sz val="11"/>
        <color theme="1"/>
        <rFont val="宋体"/>
        <family val="3"/>
        <charset val="134"/>
        <scheme val="minor"/>
      </rPr>
      <t>017-1</t>
    </r>
    <phoneticPr fontId="225" type="noConversion"/>
  </si>
  <si>
    <t>征拆费用合计（万元）</t>
    <phoneticPr fontId="225" type="noConversion"/>
  </si>
  <si>
    <t>地面单价</t>
    <phoneticPr fontId="225" type="noConversion"/>
  </si>
  <si>
    <t>六通</t>
    <phoneticPr fontId="225" type="noConversion"/>
  </si>
  <si>
    <t>五通</t>
    <phoneticPr fontId="225" type="noConversion"/>
  </si>
  <si>
    <t>临时三通</t>
    <phoneticPr fontId="225" type="noConversion"/>
  </si>
  <si>
    <t>四通</t>
    <phoneticPr fontId="225" type="noConversion"/>
  </si>
  <si>
    <t>2019.5</t>
    <phoneticPr fontId="225" type="noConversion"/>
  </si>
  <si>
    <t>2020.5</t>
    <phoneticPr fontId="225" type="noConversion"/>
  </si>
  <si>
    <t>好</t>
    <phoneticPr fontId="225" type="noConversion"/>
  </si>
  <si>
    <t>办公聚集度</t>
    <phoneticPr fontId="225" type="noConversion"/>
  </si>
  <si>
    <t>地块名称</t>
  </si>
  <si>
    <t>地块编号</t>
  </si>
  <si>
    <t>用地性质</t>
  </si>
  <si>
    <t>建设用地面积(㎡)</t>
  </si>
  <si>
    <t>规划建筑面积(㎡)</t>
  </si>
  <si>
    <t>详细规划</t>
  </si>
  <si>
    <t>成交日期</t>
  </si>
  <si>
    <t>成交状态</t>
  </si>
  <si>
    <t>受让单位</t>
  </si>
  <si>
    <t>成交价(万元)</t>
  </si>
  <si>
    <t>成交楼面价(元/㎡)</t>
  </si>
  <si>
    <t>土地开发建设补偿费（万元）</t>
    <phoneticPr fontId="225" type="noConversion"/>
  </si>
  <si>
    <t>增值收益额（万元）</t>
    <phoneticPr fontId="225" type="noConversion"/>
  </si>
  <si>
    <t xml:space="preserve">北京大兴国际机场临空经济区(北京部分)0205街区DX09-0103-0205地块B4综合性商业金融服务业用地   </t>
  </si>
  <si>
    <t xml:space="preserve"> 京土储挂(兴临空)[2022]019号</t>
  </si>
  <si>
    <t xml:space="preserve"> 商业/办公用地</t>
  </si>
  <si>
    <t xml:space="preserve"> B4综合性商业金融服务业用地</t>
  </si>
  <si>
    <t xml:space="preserve"> 已成交</t>
  </si>
  <si>
    <t xml:space="preserve"> 北京新航城建设实业发展有限公司  </t>
  </si>
  <si>
    <t xml:space="preserve">北京经济技术开发区亦庄新城0902街区JG01-07地块F3其他类多功能用地   </t>
  </si>
  <si>
    <t xml:space="preserve"> 京土整储挂(开)[2021]099号</t>
  </si>
  <si>
    <t xml:space="preserve"> F3其他类多功能用地</t>
  </si>
  <si>
    <t xml:space="preserve"> 中国太平洋人寿保险股份有限公司  </t>
  </si>
  <si>
    <t xml:space="preserve">北京城市副中心0101街区FZX-0101-0902地块F3其他类多功能用地   </t>
  </si>
  <si>
    <t xml:space="preserve"> 京土整储挂(通)[2021]096号</t>
  </si>
  <si>
    <t xml:space="preserve"> 华夏银行股份有限公司  </t>
  </si>
  <si>
    <t>北京市大兴区黄村镇DX00-0201-6001地块B14旅馆用地   32021</t>
  </si>
  <si>
    <t xml:space="preserve"> 京土整储挂(兴)[2021]089号</t>
  </si>
  <si>
    <t xml:space="preserve"> B14旅馆用地</t>
  </si>
  <si>
    <t xml:space="preserve"> 北京大兴宾馆有限责任公司  </t>
  </si>
  <si>
    <t xml:space="preserve">北京市通州区张家湾车辆段综合利用供地项目FZX-1202-0079-02(上盖区)、FZX-1202-0079-03(落地区)、FZX-1202-0079-04(落地区)地块F3其他类多功能用地   </t>
  </si>
  <si>
    <t xml:space="preserve"> 京土整储挂(通)[2021] 077号</t>
  </si>
  <si>
    <t xml:space="preserve"> 北京市基础设施投资有限公司 、北京首都旅游集团有限责任公司 、北京城建集团有限责任公司联合体  </t>
  </si>
  <si>
    <t xml:space="preserve">北京城市副中心FZX-0902-0229、0230地块    </t>
  </si>
  <si>
    <t xml:space="preserve"> 京土整储挂(通)[2021]032号</t>
  </si>
  <si>
    <t xml:space="preserve"> ≤3.1</t>
  </si>
  <si>
    <t xml:space="preserve"> B2商务用地</t>
  </si>
  <si>
    <t xml:space="preserve"> 北京城市副中心投资建设集团有限公司  </t>
  </si>
  <si>
    <t xml:space="preserve">北京城市副中心12组团西北部    </t>
  </si>
  <si>
    <t xml:space="preserve"> 京土整储挂(通)[2021]001号</t>
  </si>
  <si>
    <t xml:space="preserve"> ≤2.15</t>
  </si>
  <si>
    <t xml:space="preserve"> 北京公联鼎成交通枢纽建设发展有限公司  </t>
  </si>
  <si>
    <t xml:space="preserve">北京市房山区长阳镇06、07街区棚户区改造土地开发七片区项目FS10-0107-0005地块F3其他类多功能用地    </t>
  </si>
  <si>
    <t xml:space="preserve"> 京土整储挂(房)[2020]046号</t>
  </si>
  <si>
    <t xml:space="preserve"> ≤3</t>
  </si>
  <si>
    <t xml:space="preserve"> 北京北投新城开发建设有限公司 、北京城市副中心投资基金合伙企业(有限合伙)  </t>
  </si>
  <si>
    <t xml:space="preserve">北京经济技术开发区路东区G4F-4、G6F-1、G6F-5、G7F-1、G7F-2、G7F-3地块F3其他类多功能用地国有建设用地    </t>
  </si>
  <si>
    <t xml:space="preserve"> 京土整储挂(开)[2020]029号</t>
  </si>
  <si>
    <t xml:space="preserve"> g4f-4≤3,g6f-1、g6f-5、g7f-1、g7f-2≤2.5,g7f-3≤1.96</t>
  </si>
  <si>
    <t xml:space="preserve"> 北京通明湖信息城发展有限公司  </t>
  </si>
  <si>
    <t xml:space="preserve">北京市昌平区朱辛庄新区(二期)土地一级开发项目ZXZ-010地块F3其他类多功能用地    </t>
  </si>
  <si>
    <t xml:space="preserve"> 京土整储挂(昌)[2020]005号</t>
  </si>
  <si>
    <t xml:space="preserve"> 北京裕聪置业有限公司  </t>
  </si>
  <si>
    <t xml:space="preserve">北京市通州区潞城镇FZX-0901-0162地块F3其他类多功能用地    </t>
  </si>
  <si>
    <t xml:space="preserve"> 京土整储挂(通)[2019]029号</t>
  </si>
  <si>
    <t xml:space="preserve"> ≤2.5</t>
  </si>
  <si>
    <t xml:space="preserve"> 北京润置商业运营管理有限公司 、北京首都开发股份有限公司联合体  </t>
  </si>
  <si>
    <t xml:space="preserve">北京经济技术开发区河西区X78C2地块B4综合性商业金融服务业用地    </t>
  </si>
  <si>
    <t xml:space="preserve"> 京土整储挂(开)[2019]019号</t>
  </si>
  <si>
    <t xml:space="preserve"> ≤2</t>
  </si>
  <si>
    <t xml:space="preserve"> 北京尚恒锦瑞商业运营管理有限公司  </t>
  </si>
  <si>
    <t xml:space="preserve">北京经济技术开发区南海子郊野公园B片区B-04/ B-06/B-11地块F3其他类多功能用地    </t>
  </si>
  <si>
    <t xml:space="preserve"> 京土整储挂(开)[2019]006号</t>
  </si>
  <si>
    <t xml:space="preserve"> b-04、b-06≤1.5,b-11≤2</t>
  </si>
  <si>
    <t xml:space="preserve"> 北京国苑体育文化投资有限责任公司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</si>
</sst>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000%"/>
    <numFmt numFmtId="197" formatCode="#,##0.00_ "/>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微软雅黑"/>
      <family val="2"/>
      <charset val="134"/>
    </font>
    <font>
      <u/>
      <sz val="11"/>
      <color theme="10"/>
      <name val="宋体"/>
      <family val="3"/>
      <charset val="134"/>
      <scheme val="minor"/>
    </font>
    <font>
      <sz val="11"/>
      <name val="宋体"/>
      <family val="3"/>
      <charset val="134"/>
      <scheme val="minor"/>
    </font>
    <font>
      <sz val="11"/>
      <name val="黑体"/>
      <family val="3"/>
      <charset val="134"/>
    </font>
    <font>
      <b/>
      <sz val="11"/>
      <name val="宋体"/>
      <family val="3"/>
      <charset val="134"/>
      <scheme val="minor"/>
    </font>
    <font>
      <sz val="11"/>
      <color rgb="FF000000"/>
      <name val="宋体"/>
      <family val="3"/>
      <charset val="134"/>
    </font>
    <font>
      <b/>
      <sz val="10.5"/>
      <name val="宋体"/>
      <family val="3"/>
      <charset val="134"/>
    </font>
    <font>
      <sz val="12"/>
      <color rgb="FFFF0000"/>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59999389629810485"/>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282" fillId="0" borderId="0" applyNumberFormat="0" applyFill="0" applyBorder="0" applyAlignment="0" applyProtection="0">
      <alignment vertical="center"/>
    </xf>
  </cellStyleXfs>
  <cellXfs count="38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9" fontId="0" fillId="0" borderId="0" xfId="0" applyNumberFormat="1">
      <alignment vertical="center"/>
    </xf>
    <xf numFmtId="178" fontId="256" fillId="0" borderId="2" xfId="2" applyNumberFormat="1" applyFont="1" applyFill="1" applyBorder="1" applyAlignment="1" applyProtection="1">
      <alignment vertical="center"/>
      <protection locked="0" hidden="1"/>
    </xf>
    <xf numFmtId="183" fontId="281" fillId="0" borderId="2" xfId="0" applyNumberFormat="1" applyFont="1" applyBorder="1" applyAlignment="1" applyProtection="1">
      <alignment horizontal="center" vertical="center"/>
      <protection locked="0"/>
    </xf>
    <xf numFmtId="0" fontId="282" fillId="0" borderId="0" xfId="16">
      <alignment vertical="center"/>
    </xf>
    <xf numFmtId="0" fontId="143" fillId="0" borderId="0" xfId="0" applyFont="1">
      <alignment vertical="center"/>
    </xf>
    <xf numFmtId="0" fontId="283" fillId="0" borderId="0" xfId="0" applyFont="1" applyAlignment="1"/>
    <xf numFmtId="0" fontId="244" fillId="0" borderId="19" xfId="2" applyFont="1" applyBorder="1" applyAlignment="1">
      <alignment horizontal="center" vertical="center" wrapText="1"/>
    </xf>
    <xf numFmtId="0" fontId="130" fillId="0" borderId="2" xfId="3" applyFont="1" applyBorder="1" applyAlignment="1">
      <alignment horizontal="center" vertical="center" wrapText="1"/>
    </xf>
    <xf numFmtId="0" fontId="0" fillId="0" borderId="2" xfId="0" applyBorder="1" applyAlignment="1">
      <alignment horizontal="center" vertical="center"/>
    </xf>
    <xf numFmtId="0" fontId="283" fillId="0" borderId="2" xfId="0" applyFont="1" applyBorder="1" applyAlignment="1">
      <alignment horizontal="center" vertical="center" wrapText="1"/>
    </xf>
    <xf numFmtId="185" fontId="283" fillId="0" borderId="2" xfId="0" applyNumberFormat="1" applyFont="1" applyBorder="1" applyAlignment="1">
      <alignment horizontal="center" vertical="center" wrapText="1"/>
    </xf>
    <xf numFmtId="185" fontId="141" fillId="0" borderId="2" xfId="0" applyNumberFormat="1" applyFont="1" applyBorder="1" applyAlignment="1">
      <alignment horizontal="center" vertical="center" wrapText="1"/>
    </xf>
    <xf numFmtId="177" fontId="141" fillId="0" borderId="2" xfId="0" applyNumberFormat="1" applyFont="1" applyBorder="1" applyAlignment="1">
      <alignment horizontal="center" vertical="center" wrapText="1"/>
    </xf>
    <xf numFmtId="0" fontId="78" fillId="0" borderId="2" xfId="3" applyFont="1" applyBorder="1" applyAlignment="1">
      <alignment horizontal="center" vertical="center" wrapText="1"/>
    </xf>
    <xf numFmtId="185" fontId="78" fillId="0" borderId="2" xfId="3" applyNumberFormat="1" applyFont="1" applyBorder="1" applyAlignment="1">
      <alignment horizontal="center" vertical="center" wrapText="1"/>
    </xf>
    <xf numFmtId="177" fontId="78" fillId="0" borderId="2" xfId="0" applyNumberFormat="1" applyFont="1" applyBorder="1" applyAlignment="1">
      <alignment horizontal="center" vertical="center" wrapText="1"/>
    </xf>
    <xf numFmtId="177" fontId="141" fillId="0" borderId="2" xfId="0" applyNumberFormat="1" applyFont="1" applyBorder="1" applyAlignment="1">
      <alignment horizontal="left" vertical="center" wrapText="1"/>
    </xf>
    <xf numFmtId="0" fontId="78" fillId="0" borderId="2" xfId="0" applyFont="1" applyBorder="1" applyAlignment="1">
      <alignment horizontal="center" vertical="center" readingOrder="1"/>
    </xf>
    <xf numFmtId="177" fontId="141" fillId="0" borderId="2" xfId="0" applyNumberFormat="1" applyFont="1" applyBorder="1" applyAlignment="1">
      <alignment horizontal="center" vertical="center" wrapText="1" readingOrder="1"/>
    </xf>
    <xf numFmtId="185" fontId="0" fillId="0" borderId="2" xfId="0" applyNumberFormat="1" applyBorder="1" applyAlignment="1">
      <alignment horizontal="center" vertical="center"/>
    </xf>
    <xf numFmtId="195" fontId="78" fillId="0" borderId="2" xfId="3" applyNumberFormat="1" applyFont="1" applyBorder="1" applyAlignment="1">
      <alignment horizontal="center" vertical="center" wrapText="1"/>
    </xf>
    <xf numFmtId="0" fontId="286" fillId="0" borderId="2" xfId="3" applyFont="1" applyBorder="1" applyAlignment="1">
      <alignment horizontal="center" vertical="center" wrapText="1"/>
    </xf>
    <xf numFmtId="180" fontId="286" fillId="0" borderId="2" xfId="0" applyNumberFormat="1" applyFont="1" applyBorder="1" applyAlignment="1">
      <alignment horizontal="center" vertical="center" readingOrder="1"/>
    </xf>
    <xf numFmtId="0" fontId="287" fillId="0" borderId="0" xfId="0" applyFont="1" applyAlignment="1">
      <alignment horizontal="center"/>
    </xf>
    <xf numFmtId="0" fontId="103" fillId="8" borderId="0" xfId="0" applyFont="1" applyFill="1" applyProtection="1">
      <alignment vertical="center"/>
      <protection locked="0"/>
    </xf>
    <xf numFmtId="49" fontId="103" fillId="8" borderId="0" xfId="0" applyNumberFormat="1" applyFont="1" applyFill="1" applyProtection="1">
      <alignment vertical="center"/>
      <protection locked="0"/>
    </xf>
    <xf numFmtId="10" fontId="103" fillId="8" borderId="0" xfId="0" applyNumberFormat="1" applyFont="1" applyFill="1" applyProtection="1">
      <alignment vertical="center"/>
      <protection locked="0"/>
    </xf>
    <xf numFmtId="0" fontId="32" fillId="8" borderId="0" xfId="0" applyFont="1" applyFill="1" applyProtection="1">
      <alignment vertical="center"/>
      <protection locked="0"/>
    </xf>
    <xf numFmtId="14" fontId="92" fillId="8" borderId="0" xfId="0" applyNumberFormat="1" applyFont="1" applyFill="1" applyProtection="1">
      <alignment vertical="center"/>
      <protection locked="0"/>
    </xf>
    <xf numFmtId="0" fontId="92" fillId="8" borderId="0" xfId="0" applyFont="1" applyFill="1" applyProtection="1">
      <alignment vertical="center"/>
      <protection locked="0"/>
    </xf>
    <xf numFmtId="196" fontId="92" fillId="8" borderId="0" xfId="0" applyNumberFormat="1" applyFont="1" applyFill="1" applyProtection="1">
      <alignment vertical="center"/>
      <protection locked="0"/>
    </xf>
    <xf numFmtId="184" fontId="83" fillId="0" borderId="2" xfId="4" applyNumberFormat="1" applyFont="1" applyBorder="1" applyAlignment="1">
      <alignment horizontal="center" vertical="center" wrapText="1"/>
    </xf>
    <xf numFmtId="0" fontId="83" fillId="0" borderId="2" xfId="4" applyFont="1" applyBorder="1" applyAlignment="1">
      <alignment horizontal="center" vertical="center"/>
    </xf>
    <xf numFmtId="49" fontId="83" fillId="0" borderId="2" xfId="4" applyNumberFormat="1" applyFont="1" applyBorder="1" applyAlignment="1">
      <alignment horizontal="center" vertical="center" wrapText="1"/>
    </xf>
    <xf numFmtId="49" fontId="92" fillId="8" borderId="0" xfId="0" applyNumberFormat="1" applyFont="1" applyFill="1" applyProtection="1">
      <alignment vertical="center"/>
      <protection locked="0"/>
    </xf>
    <xf numFmtId="0" fontId="40" fillId="0" borderId="2" xfId="4" applyFont="1" applyBorder="1" applyAlignment="1">
      <alignment horizontal="center" vertical="center" wrapText="1"/>
    </xf>
    <xf numFmtId="0" fontId="83" fillId="0" borderId="2" xfId="4" applyFont="1" applyBorder="1" applyAlignment="1">
      <alignment horizontal="center" vertical="center" wrapText="1"/>
    </xf>
    <xf numFmtId="0" fontId="40" fillId="0" borderId="2" xfId="4" applyFont="1" applyBorder="1" applyAlignment="1">
      <alignment vertical="center" wrapText="1"/>
    </xf>
    <xf numFmtId="0" fontId="40" fillId="6" borderId="2" xfId="4" applyFont="1" applyFill="1" applyBorder="1" applyAlignment="1">
      <alignment horizontal="center" vertical="center" wrapText="1"/>
    </xf>
    <xf numFmtId="10" fontId="92" fillId="8" borderId="0" xfId="0" applyNumberFormat="1" applyFont="1" applyFill="1" applyProtection="1">
      <alignment vertical="center"/>
      <protection locked="0"/>
    </xf>
    <xf numFmtId="0" fontId="40" fillId="7" borderId="2" xfId="4" applyFont="1" applyFill="1" applyBorder="1" applyAlignment="1">
      <alignment horizontal="center" vertical="center" wrapText="1"/>
    </xf>
    <xf numFmtId="0" fontId="40" fillId="0" borderId="9" xfId="4" applyFont="1" applyBorder="1" applyAlignment="1">
      <alignment vertical="center" wrapText="1"/>
    </xf>
    <xf numFmtId="0" fontId="83" fillId="6" borderId="2" xfId="4" applyFont="1" applyFill="1" applyBorder="1" applyAlignment="1">
      <alignment horizontal="center" vertical="center" wrapText="1"/>
    </xf>
    <xf numFmtId="49" fontId="142" fillId="21" borderId="2" xfId="0" applyNumberFormat="1" applyFont="1" applyFill="1" applyBorder="1">
      <alignment vertical="center"/>
    </xf>
    <xf numFmtId="10" fontId="0" fillId="0" borderId="0" xfId="0" applyNumberFormat="1">
      <alignment vertical="center"/>
    </xf>
    <xf numFmtId="0" fontId="83" fillId="7" borderId="2" xfId="4" applyFont="1" applyFill="1" applyBorder="1" applyAlignment="1">
      <alignment horizontal="center" vertical="center" wrapText="1"/>
    </xf>
    <xf numFmtId="0" fontId="142" fillId="0" borderId="2" xfId="0" applyFont="1" applyBorder="1">
      <alignment vertical="center"/>
    </xf>
    <xf numFmtId="0" fontId="0" fillId="0" borderId="2" xfId="0" applyBorder="1">
      <alignment vertical="center"/>
    </xf>
    <xf numFmtId="10" fontId="0" fillId="21" borderId="2" xfId="0" applyNumberFormat="1" applyFill="1" applyBorder="1">
      <alignment vertical="center"/>
    </xf>
    <xf numFmtId="0" fontId="0" fillId="21" borderId="2" xfId="0" applyFill="1" applyBorder="1">
      <alignment vertical="center"/>
    </xf>
    <xf numFmtId="49" fontId="0" fillId="0" borderId="2" xfId="0" applyNumberFormat="1" applyBorder="1">
      <alignment vertical="center"/>
    </xf>
    <xf numFmtId="10" fontId="0" fillId="0" borderId="2" xfId="0" applyNumberFormat="1" applyBorder="1">
      <alignment vertical="center"/>
    </xf>
    <xf numFmtId="182" fontId="40" fillId="0" borderId="2" xfId="4" applyNumberFormat="1" applyFont="1" applyBorder="1" applyAlignment="1">
      <alignment horizontal="center" vertical="center" wrapText="1"/>
    </xf>
    <xf numFmtId="0" fontId="83" fillId="9" borderId="2" xfId="4" applyFont="1" applyFill="1" applyBorder="1" applyAlignment="1">
      <alignment horizontal="center" vertical="center" wrapText="1"/>
    </xf>
    <xf numFmtId="49" fontId="142" fillId="0" borderId="2" xfId="0" applyNumberFormat="1" applyFont="1" applyBorder="1">
      <alignment vertical="center"/>
    </xf>
    <xf numFmtId="0" fontId="0" fillId="6" borderId="0" xfId="0" applyFill="1">
      <alignment vertical="center"/>
    </xf>
    <xf numFmtId="0" fontId="124" fillId="6" borderId="2" xfId="4" applyFont="1" applyFill="1" applyBorder="1" applyAlignment="1">
      <alignment horizontal="center" vertical="center" wrapText="1"/>
    </xf>
    <xf numFmtId="14" fontId="0" fillId="0" borderId="0" xfId="0" applyNumberFormat="1" applyAlignment="1"/>
    <xf numFmtId="10" fontId="0" fillId="0" borderId="0" xfId="0" applyNumberFormat="1" applyAlignment="1"/>
    <xf numFmtId="10" fontId="288" fillId="6" borderId="0" xfId="0" applyNumberFormat="1" applyFont="1" applyFill="1" applyAlignment="1"/>
    <xf numFmtId="10" fontId="144" fillId="6" borderId="0" xfId="0" applyNumberFormat="1" applyFont="1" applyFill="1">
      <alignment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30" fillId="0" borderId="5" xfId="3" applyFont="1" applyBorder="1" applyAlignment="1">
      <alignment horizontal="center" vertical="center" wrapText="1"/>
    </xf>
    <xf numFmtId="0" fontId="130" fillId="0" borderId="8" xfId="3" applyFont="1" applyBorder="1" applyAlignment="1">
      <alignment horizontal="center" vertical="center" wrapText="1"/>
    </xf>
    <xf numFmtId="0" fontId="285" fillId="0" borderId="2" xfId="0" applyFont="1" applyBorder="1" applyAlignment="1">
      <alignment horizontal="center" vertical="center"/>
    </xf>
    <xf numFmtId="0" fontId="244" fillId="0" borderId="19" xfId="2" applyFont="1" applyBorder="1" applyAlignment="1">
      <alignment horizontal="center" vertical="center" wrapText="1"/>
    </xf>
    <xf numFmtId="0" fontId="285" fillId="0" borderId="2" xfId="0" applyFont="1" applyBorder="1" applyAlignment="1">
      <alignment horizontal="center" vertical="center" wrapText="1"/>
    </xf>
    <xf numFmtId="0" fontId="284" fillId="0" borderId="19" xfId="2" applyFont="1" applyBorder="1" applyAlignment="1">
      <alignment horizontal="center" vertical="center" wrapText="1"/>
    </xf>
    <xf numFmtId="185" fontId="285" fillId="0" borderId="2" xfId="0" applyNumberFormat="1" applyFont="1" applyBorder="1" applyAlignment="1">
      <alignment horizontal="center" vertical="center"/>
    </xf>
    <xf numFmtId="4" fontId="83" fillId="0" borderId="2" xfId="4" applyNumberFormat="1" applyFont="1" applyBorder="1" applyAlignment="1">
      <alignment horizontal="center" vertical="center" wrapText="1"/>
    </xf>
    <xf numFmtId="0" fontId="124" fillId="0" borderId="0" xfId="4" applyFont="1" applyAlignment="1">
      <alignment horizontal="left"/>
    </xf>
    <xf numFmtId="0" fontId="40" fillId="0" borderId="2" xfId="4" applyFont="1" applyBorder="1" applyAlignment="1">
      <alignment vertical="center" wrapText="1"/>
    </xf>
    <xf numFmtId="0" fontId="83" fillId="0" borderId="2" xfId="4" applyFont="1" applyBorder="1" applyAlignment="1">
      <alignment horizontal="center" vertical="center" wrapText="1"/>
    </xf>
    <xf numFmtId="0" fontId="157" fillId="0" borderId="32" xfId="0" applyFont="1" applyBorder="1" applyAlignment="1">
      <alignment horizontal="center" vertical="center"/>
    </xf>
    <xf numFmtId="0" fontId="157" fillId="0" borderId="18" xfId="0" applyFont="1" applyBorder="1" applyAlignment="1">
      <alignment horizontal="center" vertical="center"/>
    </xf>
    <xf numFmtId="0" fontId="157" fillId="0" borderId="20" xfId="0" applyFont="1" applyBorder="1" applyAlignment="1">
      <alignment horizontal="center" vertical="center"/>
    </xf>
    <xf numFmtId="0" fontId="157" fillId="0" borderId="10" xfId="0" applyFont="1" applyBorder="1" applyAlignment="1">
      <alignment horizontal="center" vertical="center"/>
    </xf>
    <xf numFmtId="0" fontId="157" fillId="0" borderId="3" xfId="0" applyFont="1" applyBorder="1" applyAlignment="1">
      <alignment horizontal="center" vertical="center"/>
    </xf>
    <xf numFmtId="0" fontId="157" fillId="0" borderId="21" xfId="0" applyFont="1" applyBorder="1" applyAlignment="1">
      <alignment horizontal="center" vertical="center"/>
    </xf>
    <xf numFmtId="0" fontId="124" fillId="0" borderId="5" xfId="4" applyFont="1" applyBorder="1" applyAlignment="1">
      <alignment horizontal="center" vertical="center" wrapText="1"/>
    </xf>
    <xf numFmtId="0" fontId="83" fillId="0" borderId="9" xfId="4" applyFont="1" applyBorder="1" applyAlignment="1">
      <alignment horizontal="center" vertical="center" wrapText="1"/>
    </xf>
    <xf numFmtId="0" fontId="40" fillId="0" borderId="5" xfId="4" applyFont="1" applyBorder="1" applyAlignment="1">
      <alignment horizontal="center" vertical="center" wrapText="1"/>
    </xf>
    <xf numFmtId="2" fontId="83" fillId="0" borderId="5" xfId="4" applyNumberFormat="1" applyFont="1" applyBorder="1" applyAlignment="1">
      <alignment horizontal="center" vertical="center" wrapText="1"/>
    </xf>
    <xf numFmtId="2" fontId="83" fillId="0" borderId="9" xfId="4" applyNumberFormat="1" applyFont="1" applyBorder="1" applyAlignment="1">
      <alignment horizontal="center" vertical="center" wrapText="1"/>
    </xf>
    <xf numFmtId="0" fontId="83" fillId="0" borderId="5" xfId="4" applyFont="1" applyBorder="1" applyAlignment="1">
      <alignment horizontal="center" vertical="center" wrapText="1"/>
    </xf>
    <xf numFmtId="0" fontId="287" fillId="0" borderId="0" xfId="0" applyFont="1" applyAlignment="1">
      <alignment horizont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9" fontId="92" fillId="22" borderId="5" xfId="2" applyNumberFormat="1" applyFont="1" applyFill="1" applyBorder="1" applyAlignment="1" applyProtection="1">
      <alignment horizontal="center" vertical="center"/>
      <protection locked="0"/>
    </xf>
    <xf numFmtId="197" fontId="0" fillId="22" borderId="0" xfId="0" applyNumberFormat="1" applyFill="1">
      <alignment vertical="center"/>
    </xf>
  </cellXfs>
  <cellStyles count="17">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超链接" xfId="16" builtinId="8"/>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464436</xdr:colOff>
      <xdr:row>19</xdr:row>
      <xdr:rowOff>101921</xdr:rowOff>
    </xdr:to>
    <xdr:pic>
      <xdr:nvPicPr>
        <xdr:cNvPr id="2" name="图片 1">
          <a:extLst>
            <a:ext uri="{FF2B5EF4-FFF2-40B4-BE49-F238E27FC236}">
              <a16:creationId xmlns:a16="http://schemas.microsoft.com/office/drawing/2014/main" id="{45AC9DBA-93EC-4843-88FE-0F31DFD5CDFE}"/>
            </a:ext>
          </a:extLst>
        </xdr:cNvPr>
        <xdr:cNvPicPr>
          <a:picLocks noChangeAspect="1"/>
        </xdr:cNvPicPr>
      </xdr:nvPicPr>
      <xdr:blipFill>
        <a:blip xmlns:r="http://schemas.openxmlformats.org/officeDocument/2006/relationships" r:embed="rId1"/>
        <a:stretch>
          <a:fillRect/>
        </a:stretch>
      </xdr:blipFill>
      <xdr:spPr>
        <a:xfrm>
          <a:off x="0" y="0"/>
          <a:ext cx="10116436" cy="3560554"/>
        </a:xfrm>
        <a:prstGeom prst="rect">
          <a:avLst/>
        </a:prstGeom>
      </xdr:spPr>
    </xdr:pic>
    <xdr:clientData/>
  </xdr:twoCellAnchor>
  <xdr:twoCellAnchor editAs="oneCell">
    <xdr:from>
      <xdr:col>0</xdr:col>
      <xdr:colOff>127000</xdr:colOff>
      <xdr:row>22</xdr:row>
      <xdr:rowOff>42493</xdr:rowOff>
    </xdr:from>
    <xdr:to>
      <xdr:col>16</xdr:col>
      <xdr:colOff>77097</xdr:colOff>
      <xdr:row>48</xdr:row>
      <xdr:rowOff>48199</xdr:rowOff>
    </xdr:to>
    <xdr:pic>
      <xdr:nvPicPr>
        <xdr:cNvPr id="3" name="图片 2">
          <a:extLst>
            <a:ext uri="{FF2B5EF4-FFF2-40B4-BE49-F238E27FC236}">
              <a16:creationId xmlns:a16="http://schemas.microsoft.com/office/drawing/2014/main" id="{CD2D2954-9A2C-41EE-AFF0-C10F49890D9D}"/>
            </a:ext>
          </a:extLst>
        </xdr:cNvPr>
        <xdr:cNvPicPr>
          <a:picLocks noChangeAspect="1"/>
        </xdr:cNvPicPr>
      </xdr:nvPicPr>
      <xdr:blipFill>
        <a:blip xmlns:r="http://schemas.openxmlformats.org/officeDocument/2006/relationships" r:embed="rId2"/>
        <a:stretch>
          <a:fillRect/>
        </a:stretch>
      </xdr:blipFill>
      <xdr:spPr>
        <a:xfrm>
          <a:off x="127000" y="4047226"/>
          <a:ext cx="10245564" cy="4738573"/>
        </a:xfrm>
        <a:prstGeom prst="rect">
          <a:avLst/>
        </a:prstGeom>
      </xdr:spPr>
    </xdr:pic>
    <xdr:clientData/>
  </xdr:twoCellAnchor>
  <xdr:twoCellAnchor editAs="oneCell">
    <xdr:from>
      <xdr:col>0</xdr:col>
      <xdr:colOff>80432</xdr:colOff>
      <xdr:row>49</xdr:row>
      <xdr:rowOff>45791</xdr:rowOff>
    </xdr:from>
    <xdr:to>
      <xdr:col>14</xdr:col>
      <xdr:colOff>400874</xdr:colOff>
      <xdr:row>72</xdr:row>
      <xdr:rowOff>49260</xdr:rowOff>
    </xdr:to>
    <xdr:pic>
      <xdr:nvPicPr>
        <xdr:cNvPr id="4" name="图片 3">
          <a:extLst>
            <a:ext uri="{FF2B5EF4-FFF2-40B4-BE49-F238E27FC236}">
              <a16:creationId xmlns:a16="http://schemas.microsoft.com/office/drawing/2014/main" id="{0E47A991-9761-4036-A7B0-8EFA0066AFDB}"/>
            </a:ext>
          </a:extLst>
        </xdr:cNvPr>
        <xdr:cNvPicPr>
          <a:picLocks noChangeAspect="1"/>
        </xdr:cNvPicPr>
      </xdr:nvPicPr>
      <xdr:blipFill>
        <a:blip xmlns:r="http://schemas.openxmlformats.org/officeDocument/2006/relationships" r:embed="rId3"/>
        <a:stretch>
          <a:fillRect/>
        </a:stretch>
      </xdr:blipFill>
      <xdr:spPr>
        <a:xfrm>
          <a:off x="80432" y="8965424"/>
          <a:ext cx="9328975" cy="4211403"/>
        </a:xfrm>
        <a:prstGeom prst="rect">
          <a:avLst/>
        </a:prstGeom>
      </xdr:spPr>
    </xdr:pic>
    <xdr:clientData/>
  </xdr:twoCellAnchor>
  <xdr:twoCellAnchor editAs="oneCell">
    <xdr:from>
      <xdr:col>1</xdr:col>
      <xdr:colOff>0</xdr:colOff>
      <xdr:row>74</xdr:row>
      <xdr:rowOff>0</xdr:rowOff>
    </xdr:from>
    <xdr:to>
      <xdr:col>18</xdr:col>
      <xdr:colOff>337257</xdr:colOff>
      <xdr:row>86</xdr:row>
      <xdr:rowOff>167981</xdr:rowOff>
    </xdr:to>
    <xdr:pic>
      <xdr:nvPicPr>
        <xdr:cNvPr id="5" name="图片 4">
          <a:extLst>
            <a:ext uri="{FF2B5EF4-FFF2-40B4-BE49-F238E27FC236}">
              <a16:creationId xmlns:a16="http://schemas.microsoft.com/office/drawing/2014/main" id="{346A7B8A-BB27-4BD8-B06B-94EAE7171D23}"/>
            </a:ext>
          </a:extLst>
        </xdr:cNvPr>
        <xdr:cNvPicPr>
          <a:picLocks noChangeAspect="1"/>
        </xdr:cNvPicPr>
      </xdr:nvPicPr>
      <xdr:blipFill>
        <a:blip xmlns:r="http://schemas.openxmlformats.org/officeDocument/2006/relationships" r:embed="rId4"/>
        <a:stretch>
          <a:fillRect/>
        </a:stretch>
      </xdr:blipFill>
      <xdr:spPr>
        <a:xfrm>
          <a:off x="643467" y="13491633"/>
          <a:ext cx="11276190" cy="2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30333;&#20426;&#26480;\Downloads\&#12304;2021&#12305;&#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KG\Downloads\&#27979;&#31639;&#8212;&#8212;&#27719;&#24635;-&#26472;11-&#26472;&#32418;&#33521;20190709-1419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30333;&#20426;&#26480;\Downloads\0221&#32456;&#29256;&#27979;&#31639;-&#25187;&#38500;&#21487;&#31227;&#21160;&#35774;&#22791;&#35843;&#36712;&#26517;&#21644;&#29123;&#25913;&#27668;&#25104;&#26032;&#25442;&#22303;&#22320;&#19968;&#32423;&#24320;&#21457;&#25104;&#26412;&#26696;&#20363;-&#26446;&#35799;&#38678;20220223-1450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9034;&#20041;&#36890;&#36798;&#23454;&#19994;&#25910;&#20648;&#21010;&#25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0">
          <cell r="F10" t="str">
            <v>顺义区高丽营镇于庄土地一级开发项目03-21、03-31地块</v>
          </cell>
        </row>
        <row r="14">
          <cell r="F14" t="str">
            <v>顺义区国际鲜花港土地一级开发项目A-01地块</v>
          </cell>
        </row>
        <row r="19">
          <cell r="F19" t="str">
            <v>顺义卫星城牛栏山组团东南部土地一级开发项目SY00-0017-6001、1103、1202等地块</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refreshError="1"/>
      <sheetData sheetId="1" refreshError="1"/>
      <sheetData sheetId="2" refreshError="1"/>
      <sheetData sheetId="3" refreshError="1"/>
      <sheetData sheetId="4" refreshError="1"/>
      <sheetData sheetId="5" refreshError="1">
        <row r="6">
          <cell r="H6">
            <v>110.5</v>
          </cell>
        </row>
      </sheetData>
      <sheetData sheetId="6" refreshError="1">
        <row r="6">
          <cell r="H6">
            <v>102</v>
          </cell>
        </row>
      </sheetData>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土地增值收益"/>
      <sheetName val="基准地价"/>
      <sheetName val="剩余法-待开发"/>
      <sheetName val="剩余法-现房"/>
      <sheetName val="比较法-住宅、综合"/>
      <sheetName val="不动产收益法"/>
      <sheetName val="修正"/>
      <sheetName val="区片价"/>
      <sheetName val="容积率修正"/>
      <sheetName val="因素修正幅度"/>
      <sheetName val="基准地价（汇总）"/>
      <sheetName val="收益还原法"/>
      <sheetName val="酒店收入计算"/>
      <sheetName val="工业用房租金案例"/>
      <sheetName val="成本逼近法"/>
      <sheetName val="不动产比较法-住宅"/>
      <sheetName val="不动产比较法-商业"/>
      <sheetName val="不动产比较法-办公"/>
      <sheetName val="比较法-工业"/>
      <sheetName val="比较法-土地取得费"/>
      <sheetName val="Sheet5"/>
      <sheetName val="土地一级开发案例"/>
      <sheetName val="不动产比较法-车位"/>
      <sheetName val="不动产比较法-仓储"/>
      <sheetName val="典型户型修正"/>
      <sheetName val="系统读取表"/>
      <sheetName val="地价"/>
      <sheetName val="对方公司结果"/>
      <sheetName val="123项设备"/>
      <sheetName val="Sheet4"/>
      <sheetName val="测算-机器设备"/>
      <sheetName val="轨道成新"/>
      <sheetName val="测算-机器设备 (2)"/>
      <sheetName val="不可不可移动"/>
      <sheetName val="Sheet2"/>
      <sheetName val="结果汇总"/>
      <sheetName val="Sheet3"/>
      <sheetName val="设备工程清单"/>
      <sheetName val="输机表-建筑物及附属物"/>
      <sheetName val="建筑物分值"/>
      <sheetName val="附属物分值"/>
      <sheetName val="建（构）筑物价格"/>
      <sheetName val="存贷款利率"/>
      <sheetName val="附属物-墙地棚"/>
      <sheetName val="附属物-树木"/>
      <sheetName val="不动产比较法-工业"/>
      <sheetName val="停产停业损失"/>
      <sheetName val="丰怀利润表"/>
      <sheetName val="国地评估结果"/>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26088.75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0">
          <cell r="Q10">
            <v>2.69E-2</v>
          </cell>
        </row>
        <row r="11">
          <cell r="Q11">
            <v>7.000000000000001E-4</v>
          </cell>
        </row>
        <row r="12">
          <cell r="Q12">
            <v>4.6999999999999993E-3</v>
          </cell>
        </row>
        <row r="13">
          <cell r="Q13">
            <v>2.7000000000000001E-3</v>
          </cell>
        </row>
        <row r="14">
          <cell r="Q14">
            <v>4.7999999999999996E-3</v>
          </cell>
        </row>
        <row r="15">
          <cell r="Q15">
            <v>1.03E-2</v>
          </cell>
        </row>
        <row r="16">
          <cell r="Q16">
            <v>1.2500000000000001E-2</v>
          </cell>
        </row>
        <row r="17">
          <cell r="Q17">
            <v>1.1299999999999999E-2</v>
          </cell>
        </row>
        <row r="18">
          <cell r="Q18">
            <v>1.29E-2</v>
          </cell>
        </row>
        <row r="19">
          <cell r="Q19">
            <v>1.7399999999999999E-2</v>
          </cell>
        </row>
        <row r="20">
          <cell r="Q20">
            <v>2.4399999999999998E-2</v>
          </cell>
        </row>
        <row r="21">
          <cell r="Q21">
            <v>2.0099999999999996E-2</v>
          </cell>
        </row>
        <row r="22">
          <cell r="Q22">
            <v>1.43E-2</v>
          </cell>
        </row>
        <row r="23">
          <cell r="Q23">
            <v>1.72E-2</v>
          </cell>
        </row>
        <row r="24">
          <cell r="Q24">
            <v>1.6799999999999999E-2</v>
          </cell>
        </row>
        <row r="25">
          <cell r="Q25">
            <v>1.5800000000000002E-2</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权重表"/>
      <sheetName val="结果表"/>
      <sheetName val="剩余法-待开发"/>
      <sheetName val="剩余法商业"/>
      <sheetName val="不动产收益法商业"/>
      <sheetName val="剩余法办公"/>
      <sheetName val="不动产收益法办公"/>
      <sheetName val="办公租金案例"/>
      <sheetName val="比较法-住宅、综合"/>
      <sheetName val="剩余法工业"/>
      <sheetName val="不动产收益法工业"/>
      <sheetName val="基准地价商业"/>
      <sheetName val="基准地价办公"/>
      <sheetName val="修正"/>
      <sheetName val="区片价"/>
      <sheetName val="容积率修正"/>
      <sheetName val="因素修正幅度"/>
      <sheetName val="基准地价工业"/>
      <sheetName val="地价"/>
      <sheetName val="基准地价（汇总）"/>
      <sheetName val="收益还原法"/>
      <sheetName val="不动产收益法-酒店模型"/>
      <sheetName val="酒店收入计算"/>
      <sheetName val="比较法-工业"/>
      <sheetName val="成本逼近法"/>
      <sheetName val="土地案例"/>
      <sheetName val="成本案例比较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7">
          <cell r="M27">
            <v>4580</v>
          </cell>
        </row>
      </sheetData>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hyperlink" Target="https://bj.sydc.anjuke.com/xzl-zu/6111430152/?legoHuiDu=0&amp;houseid=1295356214617097&amp;pt=1&amp;zhidingLegoHuiDu=0&amp;uniqid=835217b73919489eb87c67428fa31db4&amp;gpos=1&amp;" TargetMode="External"/><Relationship Id="rId2" Type="http://schemas.openxmlformats.org/officeDocument/2006/relationships/hyperlink" Target="https://bj.sydc.anjuke.com/xzl-zu/0/?legoHuiDu=0&amp;houseid=2225805640999944&amp;pt=0&amp;zhidingLegoHuiDu=0&amp;uniqid=8e17e4a66ad74d97be5f8d1337d9c596&amp;gpos=3&amp;" TargetMode="External"/><Relationship Id="rId1" Type="http://schemas.openxmlformats.org/officeDocument/2006/relationships/hyperlink" Target="https://bj.sydc.anjuke.com/xzl-zu/0/?legoHuiDu=0&amp;houseid=1764083963584517&amp;pt=0&amp;zhidingLegoHuiDu=0&amp;uniqid=855a913a8d0d462a8093a51a187c9881&amp;gpos=2&amp;" TargetMode="External"/><Relationship Id="rId4"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375" style="2571" customWidth="1"/>
    <col min="2" max="2" width="78.25" style="2572" customWidth="1"/>
    <col min="3" max="18" width="9" style="2566"/>
    <col min="19" max="19" width="17.875" style="2566" customWidth="1"/>
    <col min="20" max="51" width="9" style="2566"/>
    <col min="52" max="52" width="13.25" style="2566" customWidth="1"/>
    <col min="53" max="53" width="13.375" style="2566" bestFit="1" customWidth="1"/>
    <col min="54" max="54" width="11.625" style="2566" bestFit="1" customWidth="1"/>
    <col min="55" max="55" width="13.375" style="2566" bestFit="1" customWidth="1"/>
    <col min="56" max="16384" width="9" style="2566"/>
  </cols>
  <sheetData>
    <row r="1" spans="1:55" s="2577" customFormat="1" ht="16.5" thickBot="1">
      <c r="A1" s="2575" t="s">
        <v>2609</v>
      </c>
      <c r="B1" s="2576" t="s">
        <v>2706</v>
      </c>
    </row>
    <row r="2" spans="1:55" s="2580" customFormat="1" ht="15" thickTop="1">
      <c r="A2" s="2578" t="s">
        <v>2613</v>
      </c>
      <c r="B2" s="2579" t="str">
        <f>'预评函-封皮'!B37</f>
        <v>出让国有建设用地使用权预评估</v>
      </c>
      <c r="AX2" s="2581"/>
      <c r="AZ2" s="2581"/>
      <c r="BA2" s="2582"/>
      <c r="BC2" s="2582"/>
    </row>
    <row r="3" spans="1:55" s="2583" customFormat="1">
      <c r="A3" s="2562" t="s">
        <v>2614</v>
      </c>
      <c r="B3" s="2565">
        <f>'预评函-封皮'!B40</f>
        <v>0</v>
      </c>
    </row>
    <row r="4" spans="1:55" s="2564" customFormat="1">
      <c r="A4" s="2562" t="s">
        <v>2615</v>
      </c>
      <c r="B4" s="2563" t="str">
        <f>'预评函-封皮'!B46</f>
        <v>土地估价师、土地估价师</v>
      </c>
      <c r="N4" s="2564" t="str">
        <f>'预评函-1'!A28</f>
        <v>本次估价的“抵押净值”是指估价对象“抵押价格”减去估价对象在估价期日以“土地销售收入”为基数计算的预计抵押权实现进行处置时需缴纳的各项费用、税金等相关费用后的价格。</v>
      </c>
    </row>
    <row r="5" spans="1:55" s="2577" customFormat="1" ht="15" thickBot="1">
      <c r="A5" s="2584" t="s">
        <v>2616</v>
      </c>
      <c r="B5" s="2585" t="str">
        <f>'预评函-封皮'!B49</f>
        <v>康正预评字号</v>
      </c>
    </row>
    <row r="6" spans="1:55" s="2586" customFormat="1" ht="15" thickTop="1">
      <c r="A6" s="2578" t="s">
        <v>2658</v>
      </c>
      <c r="B6" s="2579" t="str">
        <f>'预评函-1'!A4</f>
        <v>受贵公司委托，我公司对出让国有建设用地使用权进行了预评估。</v>
      </c>
      <c r="AM6" s="2587"/>
    </row>
    <row r="7" spans="1:55" s="2561" customFormat="1">
      <c r="A7" s="2562" t="s">
        <v>2610</v>
      </c>
      <c r="B7" s="2563" t="str">
        <f>'预评函-1'!A6</f>
        <v>估价对象为使用的、位于出让国有建设用地使用权。根据《国有土地使用证》[]，估价对象（分摊）出让国有建设用地使用权面积为18388.8平方米。根据《建设工程规划许可证》[]、《出让合同》[]，估价对象规划建筑面积为18388.8平方米。</v>
      </c>
    </row>
    <row r="8" spans="1:55" s="2561" customFormat="1">
      <c r="A8" s="2562" t="s">
        <v>2611</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2661</v>
      </c>
      <c r="B9" s="2563" t="str">
        <f>'预评函-1'!A9</f>
        <v>本次评估为委托估价方了解标的物之市场价格提供参考依据而评估出让国有建设用地使用权市场价格。</v>
      </c>
    </row>
    <row r="10" spans="1:55" s="2561" customFormat="1">
      <c r="A10" s="2562" t="s">
        <v>2612</v>
      </c>
      <c r="B10" s="2563" t="str">
        <f>'预评函-1'!A11</f>
        <v>2022年3月3日</v>
      </c>
    </row>
    <row r="11" spans="1:55" s="2561" customFormat="1">
      <c r="A11" s="2562" t="s">
        <v>2618</v>
      </c>
      <c r="B11" s="2563" t="str">
        <f>'预评函-1'!A14</f>
        <v>根据《国有土地使用证》[]，本次评估估价对象证载（地类）用途为。</v>
      </c>
    </row>
    <row r="12" spans="1:55" s="2561" customFormat="1">
      <c r="A12" s="2562" t="s">
        <v>2619</v>
      </c>
      <c r="B12" s="2563" t="str">
        <f>'预评函-1'!A15</f>
        <v>本次评估设定用途即为证载用途。</v>
      </c>
    </row>
    <row r="13" spans="1:55" s="2561" customFormat="1">
      <c r="A13" s="2562" t="s">
        <v>2620</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2621</v>
      </c>
      <c r="B14" s="2563" t="str">
        <f>'预评函-1'!A18</f>
        <v>。本次评估设定土地开发程度为红线外市政基础设施达“七通”、宗地红线内场地平整。</v>
      </c>
    </row>
    <row r="15" spans="1:55" s="2561" customFormat="1">
      <c r="A15" s="2562" t="s">
        <v>2617</v>
      </c>
      <c r="B15" s="2563" t="str">
        <f>'预评函-1'!A20</f>
        <v>根据《国有土地使用证》[]，估价对象（分摊）出让国有建设用地使用权面积为18388.8平方米。根据《建设工程规划许可证》[]、《出让合同》[]，估价对象规划建筑面积为18388.8平方米。</v>
      </c>
    </row>
    <row r="16" spans="1:55" s="2561" customFormat="1">
      <c r="A16" s="2562" t="s">
        <v>2622</v>
      </c>
      <c r="B16" s="256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2080年1月1日。截至估价期日，出让国有建设用地使用权剩余土地使用年限为。</v>
      </c>
    </row>
    <row r="17" spans="1:48" s="2561" customFormat="1">
      <c r="A17" s="2562" t="s">
        <v>2623</v>
      </c>
      <c r="B17" s="2563" t="str">
        <f>'预评函-1'!A23</f>
        <v>本次评估设定估价对象剩余土地使用年限为。</v>
      </c>
    </row>
    <row r="18" spans="1:48" s="2561" customFormat="1">
      <c r="A18" s="2562" t="s">
        <v>2624</v>
      </c>
      <c r="B18" s="2563" t="str">
        <f>'预评函-1'!A25</f>
        <v>本次估价的“出让国有建设用地使用权价格”是指在估价对象土地所有权为国家所有，使用权性质为出让，在公开市场条件下、于估价期日2022年3月3日，在规划利用条件下、设定土地开发程度为红线外“七通”、宗地内场地，设定用途为，剩余土地使用年限为的出让国有建设用地使用权价格。</v>
      </c>
    </row>
    <row r="19" spans="1:48" s="2561" customFormat="1">
      <c r="A19" s="2562" t="s">
        <v>2625</v>
      </c>
      <c r="B19" s="256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61" customFormat="1">
      <c r="A20" s="2562" t="s">
        <v>2626</v>
      </c>
      <c r="B20" s="2563" t="str">
        <f>'预评函-1'!A27</f>
        <v>——</v>
      </c>
    </row>
    <row r="21" spans="1:48" s="2577" customFormat="1" ht="15" thickBot="1">
      <c r="A21" s="2584" t="s">
        <v>2627</v>
      </c>
      <c r="B21" s="258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73" t="s">
        <v>2628</v>
      </c>
      <c r="B22" s="257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62" t="s">
        <v>2629</v>
      </c>
      <c r="B23" s="2563" t="str">
        <f>'预评函-2'!K2</f>
        <v>估价期日：2022年3月3日</v>
      </c>
    </row>
    <row r="24" spans="1:48">
      <c r="A24" s="2562" t="s">
        <v>2630</v>
      </c>
      <c r="B24" s="2563" t="str">
        <f>'预评函-2'!R2</f>
        <v>估价期日的国有建设用地使用权性质：出让</v>
      </c>
    </row>
    <row r="25" spans="1:48">
      <c r="A25" s="2562" t="s">
        <v>2686</v>
      </c>
      <c r="B25" s="2563" t="str">
        <f>'预评函-2'!A3</f>
        <v>估价期日土地使用者</v>
      </c>
    </row>
    <row r="26" spans="1:48">
      <c r="A26" s="2562" t="s">
        <v>2662</v>
      </c>
      <c r="B26" s="2563" t="str">
        <f>'预评函-2'!A5</f>
        <v>中信开发</v>
      </c>
    </row>
    <row r="27" spans="1:48">
      <c r="A27" s="2562" t="s">
        <v>2687</v>
      </c>
      <c r="B27" s="2563" t="str">
        <f>'预评函-2'!B3</f>
        <v>宗地编号/不动产单元号</v>
      </c>
    </row>
    <row r="28" spans="1:48">
      <c r="A28" s="2562" t="s">
        <v>2663</v>
      </c>
      <c r="B28" s="2563" t="str">
        <f>'预评函-2'!B5</f>
        <v>11111111111</v>
      </c>
    </row>
    <row r="29" spans="1:48">
      <c r="A29" s="2562" t="s">
        <v>2689</v>
      </c>
      <c r="B29" s="2563">
        <f>'预评函-2'!C5</f>
        <v>22</v>
      </c>
    </row>
    <row r="30" spans="1:48">
      <c r="A30" s="2562" t="s">
        <v>2690</v>
      </c>
      <c r="B30" s="2563" t="str">
        <f>'预评函-2'!D3</f>
        <v>土地使用证编号/不动产权证书编号</v>
      </c>
    </row>
    <row r="31" spans="1:48">
      <c r="A31" s="2562" t="s">
        <v>2664</v>
      </c>
      <c r="B31" s="2563" t="str">
        <f>'预评函-2'!D5</f>
        <v>京国土字第111号</v>
      </c>
    </row>
    <row r="32" spans="1:48">
      <c r="A32" s="2562" t="s">
        <v>2665</v>
      </c>
      <c r="B32" s="2563">
        <f>'预评函-2'!E5</f>
        <v>0</v>
      </c>
      <c r="AV32" s="2567"/>
    </row>
    <row r="33" spans="1:2">
      <c r="A33" s="2562" t="s">
        <v>2666</v>
      </c>
      <c r="B33" s="2563">
        <f>'预评函-2'!F5</f>
        <v>258</v>
      </c>
    </row>
    <row r="34" spans="1:2">
      <c r="A34" s="2562" t="s">
        <v>2667</v>
      </c>
      <c r="B34" s="2563">
        <f>'预评函-2'!G5</f>
        <v>0</v>
      </c>
    </row>
    <row r="35" spans="1:2">
      <c r="A35" s="2562" t="s">
        <v>2668</v>
      </c>
      <c r="B35" s="2563">
        <f>'预评函-2'!H5</f>
        <v>1.5</v>
      </c>
    </row>
    <row r="36" spans="1:2">
      <c r="A36" s="2562" t="s">
        <v>2669</v>
      </c>
      <c r="B36" s="2563">
        <f>'预评函-2'!I5</f>
        <v>1.5</v>
      </c>
    </row>
    <row r="37" spans="1:2">
      <c r="A37" s="2562" t="s">
        <v>2670</v>
      </c>
      <c r="B37" s="2563">
        <f>'预评函-2'!J5</f>
        <v>1.5</v>
      </c>
    </row>
    <row r="38" spans="1:2">
      <c r="A38" s="2562" t="s">
        <v>2671</v>
      </c>
      <c r="B38" s="2563" t="str">
        <f>'预评函-2'!K5</f>
        <v>红线外七通、宗地红线内</v>
      </c>
    </row>
    <row r="39" spans="1:2">
      <c r="A39" s="2562" t="s">
        <v>2672</v>
      </c>
      <c r="B39" s="2563" t="str">
        <f>'预评函-2'!L5</f>
        <v>红线外七通、宗地红线内场地</v>
      </c>
    </row>
    <row r="40" spans="1:2">
      <c r="A40" s="2562" t="s">
        <v>2691</v>
      </c>
      <c r="B40" s="2563" t="str">
        <f>'预评函-2'!M3</f>
        <v>（剩余）土地使用年限/年</v>
      </c>
    </row>
    <row r="41" spans="1:2">
      <c r="A41" s="2562" t="s">
        <v>2673</v>
      </c>
      <c r="B41" s="2563">
        <f>'预评函-2'!M5</f>
        <v>0</v>
      </c>
    </row>
    <row r="42" spans="1:2">
      <c r="A42" s="2562" t="s">
        <v>2692</v>
      </c>
      <c r="B42" s="2563" t="str">
        <f>'预评函-2'!N3</f>
        <v>（分摊）出让国有建设用地使用权面积/㎡</v>
      </c>
    </row>
    <row r="43" spans="1:2">
      <c r="A43" s="2562" t="s">
        <v>2674</v>
      </c>
      <c r="B43" s="2563">
        <f>'预评函-2'!N5</f>
        <v>18388.8</v>
      </c>
    </row>
    <row r="44" spans="1:2">
      <c r="A44" s="2562" t="s">
        <v>2693</v>
      </c>
      <c r="B44" s="2563" t="str">
        <f>'预评函-2'!O3</f>
        <v>规划建筑面积/㎡</v>
      </c>
    </row>
    <row r="45" spans="1:2">
      <c r="A45" s="2562" t="s">
        <v>2675</v>
      </c>
      <c r="B45" s="2563">
        <f>'预评函-2'!O5</f>
        <v>18388.8</v>
      </c>
    </row>
    <row r="46" spans="1:2">
      <c r="A46" s="2562" t="s">
        <v>2676</v>
      </c>
      <c r="B46" s="2563" t="e">
        <f ca="1">'预评函-2'!P5</f>
        <v>#REF!</v>
      </c>
    </row>
    <row r="47" spans="1:2">
      <c r="A47" s="2562" t="s">
        <v>2677</v>
      </c>
      <c r="B47" s="2563" t="e">
        <f ca="1">'预评函-2'!Q5</f>
        <v>#REF!</v>
      </c>
    </row>
    <row r="48" spans="1:2">
      <c r="A48" s="2562" t="s">
        <v>2678</v>
      </c>
      <c r="B48" s="2563" t="e">
        <f ca="1">'预评函-2'!R5</f>
        <v>#REF!</v>
      </c>
    </row>
    <row r="49" spans="1:2">
      <c r="A49" s="2562" t="s">
        <v>2694</v>
      </c>
      <c r="B49" s="2563" t="str">
        <f>'预评函-2'!A6</f>
        <v>抵押价格</v>
      </c>
    </row>
    <row r="50" spans="1:2">
      <c r="A50" s="2562" t="s">
        <v>2679</v>
      </c>
      <c r="B50" s="2563" t="str">
        <f>'预评函-2'!R6</f>
        <v>——</v>
      </c>
    </row>
    <row r="51" spans="1:2">
      <c r="A51" s="2562" t="s">
        <v>2695</v>
      </c>
      <c r="B51" s="2563" t="str">
        <f>'预评函-2'!A7</f>
        <v>——</v>
      </c>
    </row>
    <row r="52" spans="1:2">
      <c r="A52" s="2562" t="s">
        <v>2680</v>
      </c>
      <c r="B52" s="2563" t="str">
        <f>'预评函-2'!R7</f>
        <v>——</v>
      </c>
    </row>
    <row r="53" spans="1:2">
      <c r="A53" s="2562" t="s">
        <v>2696</v>
      </c>
      <c r="B53" s="2563">
        <f>'预评函-2'!A8</f>
        <v>0</v>
      </c>
    </row>
    <row r="54" spans="1:2" s="2577" customFormat="1" ht="15" thickBot="1">
      <c r="A54" s="2584" t="s">
        <v>2681</v>
      </c>
      <c r="B54" s="2585" t="str">
        <f>'预评函-2'!R8</f>
        <v>——</v>
      </c>
    </row>
    <row r="55" spans="1:2" ht="15" thickTop="1">
      <c r="A55" s="2573" t="s">
        <v>2631</v>
      </c>
      <c r="B55" s="2574" t="str">
        <f>'预评函-3'!A2</f>
        <v>1.权利限制：根据估价对象《不动产权证书》原件、《国有土地使用权》复印件，截至估价期日，估价对象抵押权未见登记。未设定租赁等其他他项权利。</v>
      </c>
    </row>
    <row r="56" spans="1:2">
      <c r="A56" s="2562" t="s">
        <v>2632</v>
      </c>
      <c r="B56" s="2563" t="str">
        <f>'预评函-3'!A3</f>
        <v>2.基础设施条件：估价对象实际开发程度为红线外七通、宗地红线内；本次评估设定开发程度为红线外七通、宗地红线内场地。</v>
      </c>
    </row>
    <row r="57" spans="1:2">
      <c r="A57" s="2562" t="s">
        <v>2633</v>
      </c>
      <c r="B57" s="2563" t="str">
        <f>'预评函-3'!A4</f>
        <v>3.估价规划限制条件：详见《建设工程规划许可证》[]、《出让合同》[]。</v>
      </c>
    </row>
    <row r="58" spans="1:2" s="2577" customFormat="1" ht="15" thickBot="1">
      <c r="A58" s="2584" t="s">
        <v>2682</v>
      </c>
      <c r="B58" s="2585" t="str">
        <f>'预评函-3'!A5</f>
        <v>4.影响价格的其他限定条件：无。</v>
      </c>
    </row>
    <row r="59" spans="1:2" ht="15" thickTop="1">
      <c r="A59" s="2573" t="s">
        <v>2634</v>
      </c>
      <c r="B59" s="2574" t="str">
        <f>'预评函-3'!A8</f>
        <v>2.本次评估设定估价对象宗地权属无争议，未被查封或者以其他形式限制其房地产权利，未设定抵押权等他项权利，不涉及第三方权利义务。</v>
      </c>
    </row>
    <row r="60" spans="1:2">
      <c r="A60" s="2562" t="s">
        <v>2635</v>
      </c>
      <c r="B60" s="2563" t="str">
        <f>'预评函-3'!A9</f>
        <v>——</v>
      </c>
    </row>
    <row r="61" spans="1:2">
      <c r="A61" s="2562" t="s">
        <v>2637</v>
      </c>
      <c r="B61" s="2563" t="str">
        <f>'预评函-3'!A10</f>
        <v>——</v>
      </c>
    </row>
    <row r="62" spans="1:2">
      <c r="A62" s="2562" t="s">
        <v>2636</v>
      </c>
      <c r="B62" s="2563" t="str">
        <f>'预评函-3'!A11</f>
        <v>——</v>
      </c>
    </row>
    <row r="63" spans="1:2">
      <c r="A63" s="2562" t="s">
        <v>2638</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2639</v>
      </c>
      <c r="B64" s="2568" t="str">
        <f>'预评函-3'!A13</f>
        <v>（3）。</v>
      </c>
    </row>
    <row r="65" spans="1:2">
      <c r="A65" s="2562" t="s">
        <v>2640</v>
      </c>
      <c r="B65" s="2569" t="str">
        <f>'预评函-3'!A14</f>
        <v>——</v>
      </c>
    </row>
    <row r="66" spans="1:2">
      <c r="A66" s="2562" t="s">
        <v>2641</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2642</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 thickBot="1">
      <c r="A68" s="2584" t="s">
        <v>2645</v>
      </c>
      <c r="B68" s="2588">
        <f>'预评函-3'!D30</f>
        <v>42558</v>
      </c>
    </row>
    <row r="69" spans="1:2" ht="15" thickTop="1">
      <c r="A69" s="2573" t="s">
        <v>2643</v>
      </c>
      <c r="B69" s="2574" t="str">
        <f>'预评函-3'!A20</f>
        <v>土地估价师</v>
      </c>
    </row>
    <row r="70" spans="1:2">
      <c r="A70" s="2562" t="s">
        <v>2643</v>
      </c>
      <c r="B70" s="2569">
        <f>'预评函-3'!B20</f>
        <v>0</v>
      </c>
    </row>
    <row r="71" spans="1:2">
      <c r="A71" s="2562" t="s">
        <v>2644</v>
      </c>
      <c r="B71" s="2563" t="str">
        <f>'预评函-3'!A21</f>
        <v>土地估价师</v>
      </c>
    </row>
    <row r="72" spans="1:2" s="2577" customFormat="1" ht="15" thickBot="1">
      <c r="A72" s="2584" t="s">
        <v>2644</v>
      </c>
      <c r="B72" s="2590">
        <f>'预评函-3'!B21</f>
        <v>0</v>
      </c>
    </row>
    <row r="73" spans="1:2" ht="15" thickTop="1">
      <c r="A73" s="2573" t="s">
        <v>2703</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2704</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 thickBot="1">
      <c r="A75" s="2584" t="s">
        <v>2705</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1" t="s">
        <v>2739</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C44" sqref="C44"/>
    </sheetView>
  </sheetViews>
  <sheetFormatPr defaultColWidth="10" defaultRowHeight="14.25"/>
  <cols>
    <col min="1" max="1" width="15.375" style="1586" customWidth="1"/>
    <col min="2" max="2" width="11.375" style="1586" customWidth="1"/>
    <col min="3" max="3" width="12.625" style="1586" customWidth="1"/>
    <col min="4" max="4" width="11.875" style="1586" customWidth="1"/>
    <col min="5" max="5" width="12.375" style="1586" customWidth="1"/>
    <col min="6" max="6" width="11.375" style="1586" customWidth="1"/>
    <col min="7" max="7" width="12.375" style="1586" customWidth="1"/>
    <col min="8" max="8" width="10" style="1586" customWidth="1"/>
    <col min="9" max="9" width="12.37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 thickBot="1">
      <c r="A1" s="1559" t="s">
        <v>1904</v>
      </c>
      <c r="B1" s="3537" t="str">
        <f>IF(B10="北京市","北京市",C10)&amp;F10&amp;B16&amp;"国有建设用地使用权"&amp;B9&amp;"预评估"</f>
        <v>出让国有建设用地使用权预评估</v>
      </c>
      <c r="C1" s="3538"/>
      <c r="D1" s="3538"/>
      <c r="E1" s="3538"/>
      <c r="F1" s="3538"/>
      <c r="G1" s="3538"/>
      <c r="H1" s="3538"/>
      <c r="I1" s="3539"/>
      <c r="J1" s="3039"/>
      <c r="K1" s="2280" t="str">
        <f>IF(B10="北京市","北京市",C10)&amp;F10&amp;B16&amp;"国有建设用地使用权"&amp;B9</f>
        <v>出让国有建设用地使用权</v>
      </c>
      <c r="L1" s="3018"/>
      <c r="M1" s="3018"/>
      <c r="N1" s="3019"/>
      <c r="O1" s="3020"/>
      <c r="P1" s="3019"/>
      <c r="Q1" s="3019"/>
      <c r="R1" s="3019"/>
      <c r="S1" s="3019"/>
      <c r="T1" s="3019"/>
      <c r="U1" s="3019"/>
    </row>
    <row r="2" spans="1:21">
      <c r="A2" s="1560" t="s">
        <v>1905</v>
      </c>
      <c r="B2" s="1727"/>
      <c r="D2" s="3039"/>
      <c r="E2" s="3039"/>
      <c r="F2" s="3039"/>
      <c r="G2" s="3039"/>
      <c r="H2" s="3040"/>
      <c r="I2" s="3041"/>
      <c r="J2" s="3039"/>
      <c r="K2" s="2280" t="str">
        <f>IF(B10="北京市","北京市",C10)&amp;F10&amp;B16&amp;"国有建设用地使用权"</f>
        <v>出让国有建设用地使用权</v>
      </c>
      <c r="L2" s="3018"/>
      <c r="M2" s="3018"/>
      <c r="N2" s="3019"/>
      <c r="O2" s="3020"/>
      <c r="P2" s="3019"/>
      <c r="Q2" s="3019"/>
      <c r="R2" s="3019"/>
      <c r="S2" s="3019"/>
      <c r="T2" s="3019"/>
      <c r="U2" s="3019"/>
    </row>
    <row r="3" spans="1:21">
      <c r="A3" s="1561" t="s">
        <v>1906</v>
      </c>
      <c r="B3" s="1562"/>
      <c r="C3" s="2962" t="s">
        <v>1962</v>
      </c>
      <c r="D3" s="1562">
        <v>44623</v>
      </c>
      <c r="E3" s="3039"/>
      <c r="F3" s="3039"/>
      <c r="G3" s="3039"/>
      <c r="H3" s="3040"/>
      <c r="I3" s="3041"/>
      <c r="J3" s="3039"/>
      <c r="K3" s="3022"/>
      <c r="L3" s="3018"/>
      <c r="M3" s="3018"/>
      <c r="N3" s="3019"/>
      <c r="O3" s="3020"/>
      <c r="P3" s="3019"/>
      <c r="Q3" s="3019"/>
      <c r="R3" s="3019"/>
      <c r="S3" s="3019"/>
      <c r="T3" s="3019"/>
      <c r="U3" s="3019"/>
    </row>
    <row r="4" spans="1:21" ht="15"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 thickTop="1">
      <c r="A5" s="1565" t="s">
        <v>1908</v>
      </c>
      <c r="B5" s="1675"/>
      <c r="C5" s="1566"/>
      <c r="D5" s="1567"/>
      <c r="E5" s="3039"/>
      <c r="F5" s="3039"/>
      <c r="G5" s="3039"/>
      <c r="H5" s="3040"/>
      <c r="I5" s="3041"/>
      <c r="J5" s="3039"/>
      <c r="K5" s="3022"/>
      <c r="L5" s="3018"/>
      <c r="M5" s="3018"/>
      <c r="N5" s="3019"/>
      <c r="O5" s="3020"/>
      <c r="P5" s="3019"/>
      <c r="Q5" s="3019"/>
      <c r="R5" s="3019"/>
      <c r="S5" s="3019"/>
      <c r="T5" s="3019"/>
      <c r="U5" s="3019"/>
    </row>
    <row r="6" spans="1:21" ht="26.25">
      <c r="A6" s="1563" t="s">
        <v>2659</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2660</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1909</v>
      </c>
      <c r="B8" s="1570"/>
      <c r="C8" s="1571"/>
      <c r="D8" s="3543" t="s">
        <v>1911</v>
      </c>
      <c r="E8" s="1729"/>
      <c r="F8" s="1572"/>
      <c r="G8" s="3040"/>
      <c r="H8" s="3040"/>
      <c r="I8" s="3043"/>
      <c r="J8" s="3039"/>
      <c r="K8" s="3022"/>
      <c r="L8" s="3018"/>
      <c r="M8" s="3018"/>
      <c r="N8" s="3019"/>
      <c r="O8" s="3020"/>
      <c r="P8" s="3019"/>
      <c r="Q8" s="3019"/>
      <c r="R8" s="3019"/>
      <c r="S8" s="3019"/>
      <c r="T8" s="3019"/>
      <c r="U8" s="3019"/>
    </row>
    <row r="9" spans="1:21" ht="15" thickBot="1">
      <c r="A9" s="2964" t="s">
        <v>1910</v>
      </c>
      <c r="B9" s="1573"/>
      <c r="C9" s="1574"/>
      <c r="D9" s="3544"/>
      <c r="E9" s="1573"/>
      <c r="F9" s="1636"/>
      <c r="G9" s="3044"/>
      <c r="H9" s="3044"/>
      <c r="I9" s="3045"/>
      <c r="J9" s="3039"/>
      <c r="K9" s="3022"/>
      <c r="L9" s="3018"/>
      <c r="M9" s="3018"/>
      <c r="N9" s="3019"/>
      <c r="O9" s="3020"/>
      <c r="P9" s="3019"/>
      <c r="Q9" s="3019"/>
      <c r="R9" s="3019"/>
      <c r="S9" s="3019"/>
      <c r="T9" s="3019"/>
      <c r="U9" s="3019"/>
    </row>
    <row r="10" spans="1:21" ht="15" thickTop="1">
      <c r="A10" s="2965" t="s">
        <v>1966</v>
      </c>
      <c r="B10" s="1612"/>
      <c r="C10" s="1575"/>
      <c r="D10" s="1567"/>
      <c r="E10" s="1576" t="s">
        <v>1913</v>
      </c>
      <c r="F10" s="1577"/>
      <c r="G10" s="1634"/>
      <c r="H10" s="1635"/>
      <c r="I10" s="1567"/>
      <c r="J10" s="3039"/>
      <c r="K10" s="3022"/>
      <c r="L10" s="3018"/>
      <c r="M10" s="3018"/>
      <c r="N10" s="3019"/>
      <c r="O10" s="3020"/>
      <c r="P10" s="3019"/>
      <c r="Q10" s="3019"/>
      <c r="R10" s="3019"/>
      <c r="S10" s="3019"/>
      <c r="T10" s="3019"/>
      <c r="U10" s="3019"/>
    </row>
    <row r="11" spans="1:21">
      <c r="A11" s="2966" t="s">
        <v>1967</v>
      </c>
      <c r="B11" s="1592"/>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2025</v>
      </c>
      <c r="B12" s="3540"/>
      <c r="C12" s="3541"/>
      <c r="D12" s="3542"/>
      <c r="E12" s="1593" t="s">
        <v>2028</v>
      </c>
      <c r="F12" s="3558" t="s">
        <v>2838</v>
      </c>
      <c r="G12" s="3559"/>
      <c r="H12" s="3559"/>
      <c r="I12" s="3560"/>
      <c r="J12" s="3039"/>
      <c r="K12" s="3022"/>
      <c r="L12" s="3018"/>
      <c r="M12" s="3018"/>
      <c r="N12" s="3019"/>
      <c r="O12" s="3020"/>
      <c r="P12" s="3019"/>
      <c r="Q12" s="3019"/>
      <c r="R12" s="3019"/>
      <c r="S12" s="3019"/>
      <c r="T12" s="3019"/>
      <c r="U12" s="3019"/>
    </row>
    <row r="13" spans="1:21">
      <c r="A13" s="1584" t="s">
        <v>2026</v>
      </c>
      <c r="B13" s="3540"/>
      <c r="C13" s="3541"/>
      <c r="D13" s="3542"/>
      <c r="E13" s="1593" t="s">
        <v>2028</v>
      </c>
      <c r="F13" s="3558" t="s">
        <v>2839</v>
      </c>
      <c r="G13" s="3559"/>
      <c r="H13" s="3559"/>
      <c r="I13" s="3560"/>
      <c r="J13" s="3039"/>
      <c r="K13" s="3022"/>
      <c r="L13" s="3018"/>
      <c r="M13" s="3018"/>
      <c r="N13" s="3019"/>
      <c r="O13" s="3020"/>
      <c r="P13" s="3019"/>
      <c r="Q13" s="3019"/>
      <c r="R13" s="3019"/>
      <c r="S13" s="3019"/>
      <c r="T13" s="3019"/>
      <c r="U13" s="3019"/>
    </row>
    <row r="14" spans="1:21">
      <c r="A14" s="1561" t="s">
        <v>2029</v>
      </c>
      <c r="B14" s="1593"/>
      <c r="C14" s="1730"/>
      <c r="D14" s="1626" t="str">
        <f>IF(C14="不一致","是否符合证载地类范围","")</f>
        <v/>
      </c>
      <c r="E14" s="1593"/>
      <c r="F14" s="1676"/>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1916</v>
      </c>
      <c r="E15" s="1655" t="s">
        <v>1917</v>
      </c>
      <c r="F15" s="1655" t="s">
        <v>1918</v>
      </c>
      <c r="G15" s="1583" t="s">
        <v>1919</v>
      </c>
      <c r="H15" s="1583" t="s">
        <v>1920</v>
      </c>
      <c r="I15" s="1583" t="s">
        <v>1921</v>
      </c>
      <c r="J15" s="3039"/>
      <c r="K15" s="3022"/>
      <c r="L15" s="3018"/>
      <c r="M15" s="3018"/>
      <c r="N15" s="3019"/>
      <c r="O15" s="3020"/>
      <c r="P15" s="3019"/>
      <c r="Q15" s="3019"/>
      <c r="R15" s="3019"/>
      <c r="S15" s="3019"/>
      <c r="T15" s="3019"/>
      <c r="U15" s="3019"/>
    </row>
    <row r="16" spans="1:21" ht="28.5">
      <c r="A16" s="2967" t="s">
        <v>1914</v>
      </c>
      <c r="B16" s="1579" t="s">
        <v>3000</v>
      </c>
      <c r="C16" s="1593" t="s">
        <v>1915</v>
      </c>
      <c r="D16" s="2455" t="s">
        <v>1916</v>
      </c>
      <c r="E16" s="1615"/>
      <c r="F16" s="1615" t="s">
        <v>1652</v>
      </c>
      <c r="G16" s="1615"/>
      <c r="H16" s="1615"/>
      <c r="I16" s="1583" t="s">
        <v>1921</v>
      </c>
      <c r="J16" s="3039"/>
      <c r="K16" s="2281" t="str">
        <f>IF(D17="","",D16&amp;TEXT(D17,"yyyy年m月d日;;"))</f>
        <v/>
      </c>
      <c r="L16" s="1593" t="str">
        <f>IF(OR(K16="",M16=""),"","、")</f>
        <v/>
      </c>
      <c r="M16" s="2281" t="str">
        <f>IF(E17="","",E16&amp;TEXT(E17,"yyyy年m月d日;;"))</f>
        <v/>
      </c>
      <c r="N16" s="1593" t="str">
        <f>IF(OR(M16="",O16=""),"","、")</f>
        <v/>
      </c>
      <c r="O16" s="2281" t="str">
        <f>IF(F17="","",F16&amp;TEXT(F17,"yyyy年m月d日;;"))</f>
        <v>办公2080年1月1日</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
      </c>
    </row>
    <row r="17" spans="1:21">
      <c r="A17" s="1652"/>
      <c r="B17" s="1580"/>
      <c r="C17" s="2968" t="s">
        <v>1922</v>
      </c>
      <c r="D17" s="3242"/>
      <c r="E17" s="3242"/>
      <c r="F17" s="3242">
        <v>65746</v>
      </c>
      <c r="G17" s="3242"/>
      <c r="H17" s="3242"/>
      <c r="I17" s="3242"/>
      <c r="J17" s="3039"/>
      <c r="K17" s="3017" t="str">
        <f>CONCATENATE(K16,L16,M16,N16,O16,P16,Q16,R16,S16,T16,,U16)</f>
        <v>办公2080年1月1日</v>
      </c>
      <c r="L17" s="3018"/>
      <c r="M17" s="3018"/>
      <c r="N17" s="3019"/>
      <c r="O17" s="3020"/>
      <c r="P17" s="3019"/>
      <c r="Q17" s="3019"/>
      <c r="R17" s="3019"/>
      <c r="S17" s="3019"/>
      <c r="T17" s="3019"/>
      <c r="U17" s="3019"/>
    </row>
    <row r="18" spans="1:21">
      <c r="A18" s="1652"/>
      <c r="B18" s="1580"/>
      <c r="C18" s="2968" t="s">
        <v>1923</v>
      </c>
      <c r="D18" s="1581"/>
      <c r="E18" s="1581"/>
      <c r="F18" s="1581">
        <v>50</v>
      </c>
      <c r="G18" s="1581"/>
      <c r="H18" s="1581"/>
      <c r="I18" s="1581"/>
      <c r="J18" s="3039"/>
      <c r="K18" s="3022"/>
      <c r="L18" s="3018"/>
      <c r="M18" s="3018"/>
      <c r="N18" s="3019"/>
      <c r="O18" s="3020"/>
      <c r="P18" s="3019"/>
      <c r="Q18" s="3019"/>
      <c r="R18" s="3019"/>
      <c r="S18" s="3019"/>
      <c r="T18" s="3019"/>
      <c r="U18" s="3019"/>
    </row>
    <row r="19" spans="1:21">
      <c r="A19" s="1652"/>
      <c r="B19" s="1580"/>
      <c r="C19" s="1560" t="s">
        <v>1924</v>
      </c>
      <c r="D19" s="1647" t="str">
        <f>IF(B16="出让",IF(D17="","",ROUNDDOWN(MIN((D17-$D$3)/365,D18),2)),D18)</f>
        <v/>
      </c>
      <c r="E19" s="1582" t="str">
        <f>IF(B16="出让",IF(E17="","",ROUNDDOWN(MIN((E17-$D$3)/365,E18),2)),E18)</f>
        <v/>
      </c>
      <c r="F19" s="1582">
        <f>IF(B16="出让",IF(F17="","",ROUNDDOWN(MIN((F17-$D$3)/365,F18),2)),F18)</f>
        <v>50</v>
      </c>
      <c r="G19" s="1582" t="str">
        <f>IF(B16="出让",IF(G17="","",ROUNDDOWN(MIN((G17-$D$3)/365,G18),2)),G18)</f>
        <v/>
      </c>
      <c r="H19" s="1582" t="str">
        <f>IF(B16="出让",IF(H17="","",ROUNDDOWN(MIN((H17-$D$3)/365,H18),2)),H18)</f>
        <v/>
      </c>
      <c r="I19" s="1582" t="str">
        <f>IF(B16="出让",IF(I17="","",ROUNDDOWN(MIN((I17-$D$3)/365,I18),2)),I18)</f>
        <v/>
      </c>
      <c r="J19" s="3039"/>
      <c r="K19" s="3022"/>
      <c r="L19" s="3018"/>
      <c r="M19" s="3018"/>
      <c r="N19" s="3019"/>
      <c r="O19" s="3020"/>
      <c r="P19" s="3019"/>
      <c r="Q19" s="3019"/>
      <c r="R19" s="3019"/>
      <c r="S19" s="3019"/>
      <c r="T19" s="3019"/>
      <c r="U19" s="3019"/>
    </row>
    <row r="20" spans="1:21">
      <c r="A20" s="1672"/>
      <c r="B20" s="1673"/>
      <c r="C20" s="1674" t="s">
        <v>2027</v>
      </c>
      <c r="D20" s="3555"/>
      <c r="E20" s="3556"/>
      <c r="F20" s="3556"/>
      <c r="G20" s="3556"/>
      <c r="H20" s="3556"/>
      <c r="I20" s="3557"/>
      <c r="J20" s="3039"/>
      <c r="K20" s="3022"/>
      <c r="L20" s="3018"/>
      <c r="M20" s="3018"/>
      <c r="N20" s="3019"/>
      <c r="O20" s="3020"/>
      <c r="P20" s="3019"/>
      <c r="Q20" s="3019"/>
      <c r="R20" s="3019"/>
      <c r="S20" s="3019"/>
      <c r="T20" s="3019"/>
      <c r="U20" s="3019"/>
    </row>
    <row r="21" spans="1:21">
      <c r="A21" s="1652" t="s">
        <v>1925</v>
      </c>
      <c r="B21" s="1653" t="s">
        <v>1926</v>
      </c>
      <c r="C21" s="1648">
        <f>'数据-汇总表'!E3</f>
        <v>18388.8</v>
      </c>
      <c r="D21" s="1649" t="s">
        <v>1927</v>
      </c>
      <c r="E21" s="3545" t="s">
        <v>1965</v>
      </c>
      <c r="F21" s="3546"/>
      <c r="G21" s="3546"/>
      <c r="H21" s="3546"/>
      <c r="I21" s="3547"/>
      <c r="J21" s="3039"/>
      <c r="K21" s="3022"/>
      <c r="L21" s="3018"/>
      <c r="M21" s="3018"/>
      <c r="N21" s="3019"/>
      <c r="O21" s="3020"/>
      <c r="P21" s="3019"/>
      <c r="Q21" s="3019"/>
      <c r="R21" s="3019"/>
      <c r="S21" s="3019"/>
      <c r="T21" s="3019"/>
      <c r="U21" s="3019"/>
    </row>
    <row r="22" spans="1:21">
      <c r="A22" s="2767" t="s">
        <v>927</v>
      </c>
      <c r="B22" s="1561" t="s">
        <v>1928</v>
      </c>
      <c r="C22" s="1583">
        <f>'数据-汇总表'!D3</f>
        <v>18388.8</v>
      </c>
      <c r="D22" s="1584" t="s">
        <v>1927</v>
      </c>
      <c r="E22" s="3545" t="s">
        <v>2840</v>
      </c>
      <c r="F22" s="3546"/>
      <c r="G22" s="3546"/>
      <c r="H22" s="3546"/>
      <c r="I22" s="3547"/>
      <c r="J22" s="3039"/>
      <c r="K22" s="3022"/>
      <c r="L22" s="3018"/>
      <c r="M22" s="3018"/>
      <c r="N22" s="3019"/>
      <c r="O22" s="3020"/>
      <c r="P22" s="3019"/>
      <c r="Q22" s="3019"/>
      <c r="R22" s="3019"/>
      <c r="S22" s="3019"/>
      <c r="T22" s="3019"/>
      <c r="U22" s="3019"/>
    </row>
    <row r="23" spans="1:21" ht="43.5" thickBot="1">
      <c r="A23" s="1654" t="s">
        <v>1929</v>
      </c>
      <c r="B23" s="1594" t="s">
        <v>1930</v>
      </c>
      <c r="C23" s="1595"/>
      <c r="D23" s="1596" t="s">
        <v>1931</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1932</v>
      </c>
      <c r="B24" s="3548" t="s">
        <v>1933</v>
      </c>
      <c r="C24" s="3549"/>
      <c r="D24" s="3550" t="s">
        <v>1934</v>
      </c>
      <c r="E24" s="3551"/>
      <c r="F24" s="1601" t="s">
        <v>1935</v>
      </c>
      <c r="G24" s="3039"/>
      <c r="H24" s="3039"/>
      <c r="I24" s="3043"/>
      <c r="J24" s="3039"/>
      <c r="K24" s="3536" t="s">
        <v>1936</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28.5">
      <c r="A25" s="1640"/>
      <c r="B25" s="1637" t="s">
        <v>2290</v>
      </c>
      <c r="C25" s="1602" t="s">
        <v>1937</v>
      </c>
      <c r="D25" s="1603"/>
      <c r="E25" s="1604" t="s">
        <v>927</v>
      </c>
      <c r="F25" s="1605"/>
      <c r="G25" s="3039"/>
      <c r="H25" s="3039"/>
      <c r="I25" s="3043"/>
      <c r="J25" s="3039"/>
      <c r="K25" s="3536"/>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29.25" thickBot="1">
      <c r="A26" s="1641"/>
      <c r="B26" s="1638" t="s">
        <v>1938</v>
      </c>
      <c r="C26" s="1602" t="s">
        <v>2291</v>
      </c>
      <c r="D26" s="3040"/>
      <c r="E26" s="3040"/>
      <c r="F26" s="3046"/>
      <c r="G26" s="3039"/>
      <c r="H26" s="3039"/>
      <c r="I26" s="3043"/>
      <c r="J26" s="3039"/>
      <c r="K26" s="3536"/>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1939</v>
      </c>
      <c r="B27" s="1642" t="s">
        <v>1940</v>
      </c>
      <c r="C27" s="1606"/>
      <c r="D27" s="2460" t="s">
        <v>1940</v>
      </c>
      <c r="E27" s="1607"/>
      <c r="F27" s="3046"/>
      <c r="G27" s="3039"/>
      <c r="H27" s="3039"/>
      <c r="I27" s="3043"/>
      <c r="J27" s="3039"/>
      <c r="K27" s="3022"/>
      <c r="L27" s="3018"/>
      <c r="M27" s="3018"/>
      <c r="N27" s="3019"/>
      <c r="O27" s="3020"/>
      <c r="P27" s="3019"/>
      <c r="Q27" s="3019"/>
      <c r="R27" s="3019"/>
      <c r="S27" s="3019"/>
      <c r="T27" s="3019"/>
      <c r="U27" s="3019"/>
    </row>
    <row r="28" spans="1:21">
      <c r="A28" s="1645"/>
      <c r="B28" s="1642" t="s">
        <v>1941</v>
      </c>
      <c r="C28" s="1608"/>
      <c r="D28" s="2461" t="s">
        <v>1941</v>
      </c>
      <c r="E28" s="1609"/>
      <c r="F28" s="3046"/>
      <c r="G28" s="3039"/>
      <c r="H28" s="3039"/>
      <c r="I28" s="3043"/>
      <c r="J28" s="3039"/>
      <c r="K28" s="3022"/>
      <c r="L28" s="3018"/>
      <c r="M28" s="3018"/>
      <c r="N28" s="3019"/>
      <c r="O28" s="3020"/>
      <c r="P28" s="3019"/>
      <c r="Q28" s="3019"/>
      <c r="R28" s="3019"/>
      <c r="S28" s="3019"/>
      <c r="T28" s="3019"/>
      <c r="U28" s="3019"/>
    </row>
    <row r="29" spans="1:21">
      <c r="A29" s="1645"/>
      <c r="B29" s="1642" t="s">
        <v>1942</v>
      </c>
      <c r="C29" s="1608"/>
      <c r="D29" s="2461" t="s">
        <v>1942</v>
      </c>
      <c r="E29" s="1609"/>
      <c r="F29" s="3046"/>
      <c r="G29" s="3039"/>
      <c r="H29" s="3039"/>
      <c r="I29" s="3043"/>
      <c r="J29" s="3039"/>
      <c r="K29" s="3022"/>
      <c r="L29" s="3018"/>
      <c r="M29" s="3018"/>
      <c r="N29" s="3019"/>
      <c r="O29" s="3020"/>
      <c r="P29" s="3019"/>
      <c r="Q29" s="3019"/>
      <c r="R29" s="3019"/>
      <c r="S29" s="3019"/>
      <c r="T29" s="3019"/>
      <c r="U29" s="3019"/>
    </row>
    <row r="30" spans="1:21" ht="15" thickBot="1">
      <c r="A30" s="1646"/>
      <c r="B30" s="1643" t="s">
        <v>1943</v>
      </c>
      <c r="C30" s="1610"/>
      <c r="D30" s="2462" t="s">
        <v>1943</v>
      </c>
      <c r="E30" s="1611"/>
      <c r="F30" s="3047"/>
      <c r="G30" s="3044"/>
      <c r="H30" s="3044"/>
      <c r="I30" s="3045"/>
      <c r="J30" s="3039"/>
      <c r="K30" s="3022"/>
      <c r="L30" s="3018"/>
      <c r="M30" s="3018"/>
      <c r="N30" s="3019"/>
      <c r="O30" s="3020"/>
      <c r="P30" s="3019"/>
      <c r="Q30" s="3019"/>
      <c r="R30" s="3019"/>
      <c r="S30" s="3019"/>
      <c r="T30" s="3019"/>
      <c r="U30" s="3019"/>
    </row>
    <row r="31" spans="1:21" ht="15" thickTop="1">
      <c r="A31" s="3563" t="s">
        <v>1968</v>
      </c>
      <c r="B31" s="1653" t="s">
        <v>1969</v>
      </c>
      <c r="C31" s="3561"/>
      <c r="D31" s="3562"/>
      <c r="E31" s="3039"/>
      <c r="F31" s="3039"/>
      <c r="G31" s="3039"/>
      <c r="H31" s="3039"/>
      <c r="I31" s="3043"/>
      <c r="J31" s="3039"/>
      <c r="K31" s="3025"/>
      <c r="L31" s="3019"/>
      <c r="M31" s="3019"/>
      <c r="N31" s="3019"/>
      <c r="O31" s="3019"/>
      <c r="P31" s="3019"/>
      <c r="Q31" s="3019"/>
      <c r="R31" s="3019"/>
      <c r="S31" s="3019"/>
      <c r="T31" s="3019"/>
      <c r="U31" s="3019"/>
    </row>
    <row r="32" spans="1:21">
      <c r="A32" s="3563"/>
      <c r="B32" s="1561" t="s">
        <v>1970</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3563"/>
      <c r="B33" s="1561" t="s">
        <v>1971</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3564"/>
      <c r="B34" s="1561" t="s">
        <v>1972</v>
      </c>
      <c r="C34" s="3565"/>
      <c r="D34" s="3566"/>
      <c r="E34" s="3039"/>
      <c r="F34" s="3039"/>
      <c r="G34" s="3039"/>
      <c r="H34" s="3039"/>
      <c r="I34" s="3043"/>
      <c r="J34" s="3039"/>
      <c r="K34" s="3025"/>
      <c r="L34" s="3019"/>
      <c r="M34" s="3019"/>
      <c r="N34" s="3019"/>
      <c r="O34" s="3019"/>
      <c r="P34" s="3019"/>
      <c r="Q34" s="3019"/>
      <c r="R34" s="3019"/>
      <c r="S34" s="3019"/>
      <c r="T34" s="3019"/>
      <c r="U34" s="3019"/>
    </row>
    <row r="35" spans="1:28">
      <c r="A35" s="3567" t="s">
        <v>823</v>
      </c>
      <c r="B35" s="1615"/>
      <c r="C35" s="1662" t="str">
        <f>IF(B35="场地平整","——","具体情况：")</f>
        <v>具体情况：</v>
      </c>
      <c r="D35" s="3569"/>
      <c r="E35" s="3570"/>
      <c r="F35" s="3570"/>
      <c r="G35" s="3570"/>
      <c r="H35" s="3570"/>
      <c r="I35" s="3571"/>
      <c r="J35" s="3039"/>
      <c r="K35" s="3026"/>
      <c r="L35" s="3018"/>
      <c r="M35" s="3018"/>
      <c r="N35" s="3019"/>
      <c r="O35" s="3020"/>
      <c r="P35" s="3019"/>
      <c r="Q35" s="3019"/>
      <c r="R35" s="3019"/>
      <c r="S35" s="3019"/>
      <c r="T35" s="3019"/>
      <c r="U35" s="3019"/>
    </row>
    <row r="36" spans="1:28">
      <c r="A36" s="3563"/>
      <c r="B36" s="3572" t="s">
        <v>2021</v>
      </c>
      <c r="C36" s="3573"/>
      <c r="D36" s="1678"/>
      <c r="E36" s="3574"/>
      <c r="F36" s="3574"/>
      <c r="G36" s="1584" t="str">
        <f>IF(B35="场地未平整","估价结果处理","")</f>
        <v/>
      </c>
      <c r="H36" s="3575"/>
      <c r="I36" s="3575"/>
      <c r="J36" s="3039"/>
      <c r="K36" s="3026"/>
      <c r="L36" s="3018"/>
      <c r="M36" s="3018"/>
      <c r="N36" s="3019"/>
      <c r="O36" s="3020"/>
      <c r="P36" s="3019"/>
      <c r="Q36" s="3019"/>
      <c r="R36" s="3019"/>
      <c r="S36" s="3019"/>
      <c r="T36" s="3019"/>
      <c r="U36" s="3019"/>
    </row>
    <row r="37" spans="1:28" ht="28.5">
      <c r="A37" s="3563"/>
      <c r="B37" s="3552"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3563"/>
      <c r="B38" s="3553"/>
      <c r="C38" s="1569" t="s">
        <v>826</v>
      </c>
      <c r="D38" s="1677">
        <f>ROUNDDOWN(MIN(('数据-取费表'!$B$2-D37)/365,D34),1)</f>
        <v>122.2</v>
      </c>
      <c r="E38" s="1620" t="s">
        <v>827</v>
      </c>
      <c r="F38" s="3039"/>
      <c r="G38" s="3039"/>
      <c r="H38" s="3039"/>
      <c r="I38" s="3043"/>
      <c r="J38" s="3039"/>
      <c r="K38" s="3026"/>
      <c r="L38" s="3019"/>
      <c r="M38" s="3019"/>
      <c r="N38" s="3019"/>
      <c r="O38" s="3019"/>
      <c r="P38" s="3019"/>
      <c r="Q38" s="3019"/>
      <c r="R38" s="3019"/>
      <c r="S38" s="3019"/>
      <c r="T38" s="3019"/>
      <c r="U38" s="3019"/>
    </row>
    <row r="39" spans="1:28">
      <c r="A39" s="3564"/>
      <c r="B39" s="3554"/>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1944</v>
      </c>
      <c r="B40" s="1585"/>
      <c r="C40" s="1585"/>
      <c r="D40" s="1585"/>
      <c r="E40" s="1585"/>
      <c r="F40" s="1585"/>
      <c r="G40" s="1585"/>
      <c r="H40" s="1585"/>
      <c r="I40" s="3043"/>
      <c r="J40" s="3039"/>
      <c r="K40" s="2987">
        <f>COUNTIF(B40:H40,"——")</f>
        <v>0</v>
      </c>
      <c r="L40" s="1593" t="s">
        <v>1945</v>
      </c>
      <c r="M40" s="1590" t="s">
        <v>1946</v>
      </c>
      <c r="N40" s="1590" t="s">
        <v>1947</v>
      </c>
      <c r="O40" s="1590" t="s">
        <v>1948</v>
      </c>
      <c r="P40" s="1590" t="s">
        <v>1949</v>
      </c>
      <c r="Q40" s="1590" t="s">
        <v>1950</v>
      </c>
      <c r="R40" s="1590" t="s">
        <v>1951</v>
      </c>
      <c r="S40" s="3535" t="s">
        <v>1952</v>
      </c>
      <c r="T40" s="1624" t="str">
        <f>NUMBERSTRING(7-K40,1)&amp;"通"</f>
        <v>七通</v>
      </c>
      <c r="U40" s="3019"/>
    </row>
    <row r="41" spans="1:28">
      <c r="A41" s="1563"/>
      <c r="B41" s="3568" t="s">
        <v>1696</v>
      </c>
      <c r="C41" s="3568"/>
      <c r="D41" s="3568"/>
      <c r="E41" s="3568"/>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535"/>
      <c r="T41" s="1626" t="str">
        <f>IF(T40="一通",L41,IF(T40="二通",M41,IF(T40="三通",N41,IF(T40="四通",O41,IF(T40="五通",P41,IF(T40="六通",Q41,R41))))))</f>
        <v>、、、、、、</v>
      </c>
      <c r="U41" s="3019"/>
    </row>
    <row r="42" spans="1:28">
      <c r="A42" s="1628"/>
      <c r="B42" s="1655" t="s">
        <v>1866</v>
      </c>
      <c r="C42" s="1655" t="s">
        <v>1867</v>
      </c>
      <c r="D42" s="1655" t="s">
        <v>1868</v>
      </c>
      <c r="E42" s="1593" t="s">
        <v>1869</v>
      </c>
      <c r="F42" s="1629"/>
      <c r="G42" s="3039"/>
      <c r="H42" s="3039"/>
      <c r="I42" s="3043"/>
      <c r="J42" s="3039"/>
      <c r="K42" s="3022"/>
      <c r="L42" s="3018"/>
      <c r="M42" s="3018"/>
      <c r="N42" s="3019"/>
      <c r="O42" s="3020"/>
      <c r="P42" s="3019"/>
      <c r="Q42" s="3019"/>
      <c r="R42" s="3019"/>
      <c r="S42" s="3019"/>
      <c r="T42" s="3019"/>
      <c r="U42" s="3019"/>
    </row>
    <row r="43" spans="1:28">
      <c r="A43" s="2990" t="s">
        <v>1681</v>
      </c>
      <c r="B43" s="1630"/>
      <c r="C43" s="1630" t="s">
        <v>1390</v>
      </c>
      <c r="D43" s="1630"/>
      <c r="E43" s="1630"/>
      <c r="F43" s="1631"/>
      <c r="G43" s="3039"/>
      <c r="H43" s="3039"/>
      <c r="I43" s="3043"/>
      <c r="J43" s="3039"/>
      <c r="K43" s="3022"/>
      <c r="L43" s="3018"/>
      <c r="M43" s="3018"/>
      <c r="N43" s="3019"/>
      <c r="O43" s="3020"/>
      <c r="P43" s="3019"/>
      <c r="Q43" s="3019"/>
      <c r="R43" s="3019"/>
      <c r="S43" s="3019"/>
      <c r="T43" s="3019"/>
      <c r="U43" s="3019"/>
    </row>
    <row r="44" spans="1:28">
      <c r="A44" s="2990" t="s">
        <v>1682</v>
      </c>
      <c r="B44" s="1630"/>
      <c r="C44" s="1630" t="s">
        <v>1219</v>
      </c>
      <c r="D44" s="1630"/>
      <c r="E44" s="1678"/>
      <c r="F44" s="1631"/>
      <c r="G44" s="3039"/>
      <c r="H44" s="3039"/>
      <c r="I44" s="3043"/>
      <c r="J44" s="3039"/>
      <c r="K44" s="3022"/>
      <c r="L44" s="3018"/>
      <c r="M44" s="3018"/>
      <c r="N44" s="3019"/>
      <c r="O44" s="3020"/>
      <c r="P44" s="3019"/>
      <c r="Q44" s="3019"/>
      <c r="R44" s="3019"/>
      <c r="S44" s="3019"/>
      <c r="T44" s="3019"/>
      <c r="U44" s="3019"/>
    </row>
    <row r="45" spans="1:28" s="2738" customFormat="1" ht="21" thickBot="1">
      <c r="A45" s="2739" t="s">
        <v>2841</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1973</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28.5">
      <c r="A48" s="1593" t="s">
        <v>1974</v>
      </c>
      <c r="B48" s="1583" t="s">
        <v>1975</v>
      </c>
      <c r="C48" s="1583" t="s">
        <v>1976</v>
      </c>
      <c r="D48" s="1583" t="s">
        <v>1977</v>
      </c>
      <c r="E48" s="1583" t="s">
        <v>1978</v>
      </c>
      <c r="F48" s="1583" t="s">
        <v>1979</v>
      </c>
      <c r="G48" s="1583" t="s">
        <v>1980</v>
      </c>
      <c r="H48" s="1583" t="s">
        <v>1981</v>
      </c>
      <c r="I48" s="1583" t="s">
        <v>1982</v>
      </c>
      <c r="J48" s="1661" t="s">
        <v>1983</v>
      </c>
      <c r="K48" s="3032" t="s">
        <v>1984</v>
      </c>
      <c r="L48" s="3032" t="s">
        <v>1985</v>
      </c>
      <c r="M48" s="3032" t="s">
        <v>1986</v>
      </c>
      <c r="N48" s="3033" t="s">
        <v>1987</v>
      </c>
      <c r="O48" s="3033" t="s">
        <v>1988</v>
      </c>
      <c r="P48" s="3033" t="s">
        <v>1989</v>
      </c>
      <c r="Q48" s="3024" t="s">
        <v>1990</v>
      </c>
      <c r="R48" s="3024" t="s">
        <v>1991</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375" style="15" customWidth="1"/>
    <col min="11" max="11" width="11" style="15" customWidth="1"/>
    <col min="12" max="14" width="9.37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375" style="15" customWidth="1"/>
    <col min="47" max="47" width="18.125" style="15" customWidth="1"/>
    <col min="48" max="50" width="9.75" style="15" customWidth="1"/>
    <col min="51" max="55" width="10.375" style="15" bestFit="1" customWidth="1"/>
    <col min="56" max="56" width="9.375" style="15" bestFit="1" customWidth="1"/>
    <col min="57" max="63" width="9.125" style="15" bestFit="1" customWidth="1"/>
    <col min="64" max="64" width="9.375" style="15" bestFit="1" customWidth="1"/>
    <col min="65" max="65" width="9.125" style="15" bestFit="1" customWidth="1"/>
    <col min="66" max="66" width="9.375" style="15" bestFit="1" customWidth="1"/>
    <col min="67" max="69" width="9.125" style="15" bestFit="1" customWidth="1"/>
    <col min="70" max="70" width="9.37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2298</v>
      </c>
      <c r="BA2" s="2190"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v>18388.8</v>
      </c>
      <c r="B3" s="22">
        <f>IF(C3="否",G5-AT5,G5)</f>
        <v>18388.8</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18388.8</v>
      </c>
      <c r="H5" s="27">
        <f t="shared" ref="H5:AT5" si="0">SUM(H13:H641)</f>
        <v>18388.8</v>
      </c>
      <c r="I5" s="27">
        <f t="shared" si="0"/>
        <v>18388.8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18388.8</v>
      </c>
      <c r="BA5" s="29">
        <f t="shared" si="1"/>
        <v>18388.8</v>
      </c>
      <c r="BB5" s="29">
        <f t="shared" si="1"/>
        <v>18388.8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18388.8</v>
      </c>
      <c r="F6" s="27" t="s">
        <v>1</v>
      </c>
      <c r="G6" s="27" t="s">
        <v>2</v>
      </c>
      <c r="H6" s="33">
        <f>SUMIF(I$12:AB$12,"总值",I6:AB6)</f>
        <v>18388.8</v>
      </c>
      <c r="I6" s="27">
        <f t="shared" ref="I6:AB6" si="2">ROUND($A$3*I5/$B$3,2)</f>
        <v>18388.8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18388.8</v>
      </c>
      <c r="AZ6" s="27" t="s">
        <v>3</v>
      </c>
      <c r="BA6" s="27">
        <f>ROUND($AY$6*BA5/$AZ$5,2)</f>
        <v>18388.8</v>
      </c>
      <c r="BB6" s="27">
        <f>ROUND($AY$6*BB5/$AZ$5,2)</f>
        <v>18388.8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9" t="s">
        <v>3126</v>
      </c>
      <c r="J9" s="51"/>
      <c r="K9" s="2699"/>
      <c r="L9" s="51"/>
      <c r="M9" s="269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9" t="s">
        <v>1652</v>
      </c>
      <c r="J10" s="51"/>
      <c r="K10" s="2701"/>
      <c r="L10" s="51"/>
      <c r="M10" s="2701"/>
      <c r="N10" s="51"/>
      <c r="O10" s="66"/>
      <c r="P10" s="51"/>
      <c r="Q10" s="66"/>
      <c r="R10" s="51"/>
      <c r="S10" s="66"/>
      <c r="T10" s="51"/>
      <c r="U10" s="66"/>
      <c r="V10" s="51"/>
      <c r="W10" s="66"/>
      <c r="X10" s="51"/>
      <c r="Y10" s="66"/>
      <c r="Z10" s="51"/>
      <c r="AA10" s="66"/>
      <c r="AB10" s="51"/>
      <c r="AC10" s="55"/>
      <c r="AD10" s="2164" t="s">
        <v>2282</v>
      </c>
      <c r="AE10" s="2186"/>
      <c r="AF10" s="2164" t="s">
        <v>2282</v>
      </c>
      <c r="AG10" s="2186"/>
      <c r="AH10" s="2164" t="s">
        <v>2283</v>
      </c>
      <c r="AI10" s="2186"/>
      <c r="AJ10" s="26" t="s">
        <v>2296</v>
      </c>
      <c r="AK10" s="2183"/>
      <c r="AL10" s="2164" t="s">
        <v>2284</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700"/>
      <c r="J11" s="71"/>
      <c r="K11" s="2700"/>
      <c r="L11" s="71"/>
      <c r="M11" s="70"/>
      <c r="N11" s="71"/>
      <c r="O11" s="70"/>
      <c r="P11" s="71"/>
      <c r="Q11" s="70"/>
      <c r="R11" s="71"/>
      <c r="S11" s="70"/>
      <c r="T11" s="71"/>
      <c r="U11" s="70"/>
      <c r="V11" s="71"/>
      <c r="W11" s="70"/>
      <c r="X11" s="71"/>
      <c r="Y11" s="70"/>
      <c r="Z11" s="71"/>
      <c r="AA11" s="70"/>
      <c r="AB11" s="71"/>
      <c r="AC11" s="55"/>
      <c r="AD11" s="2184" t="s">
        <v>2295</v>
      </c>
      <c r="AE11" s="972"/>
      <c r="AF11" s="2184" t="s">
        <v>2295</v>
      </c>
      <c r="AG11" s="972"/>
      <c r="AH11" s="2184" t="s">
        <v>2294</v>
      </c>
      <c r="AI11" s="2185"/>
      <c r="AJ11" s="2184" t="s">
        <v>2294</v>
      </c>
      <c r="AK11" s="2183"/>
      <c r="AL11" s="970"/>
      <c r="AM11" s="972"/>
      <c r="AN11" s="970"/>
      <c r="AO11" s="972"/>
      <c r="AP11" s="1153"/>
      <c r="AQ11" s="1155"/>
      <c r="AR11" s="1153"/>
      <c r="AS11" s="1155"/>
      <c r="AT11" s="973"/>
      <c r="AU11" s="45"/>
      <c r="AV11" s="55"/>
      <c r="AW11" s="973"/>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94"/>
      <c r="B13" s="2694"/>
      <c r="C13" s="2694"/>
      <c r="D13" s="2695" t="s">
        <v>1653</v>
      </c>
      <c r="E13" s="27">
        <f t="shared" ref="E13:E20" si="6">IF($C$3="是",ROUND($A$3*G13/$B$3,2),ROUND($A$3*(G13-AT13)/$B$3,2))</f>
        <v>18388.8</v>
      </c>
      <c r="F13" s="81"/>
      <c r="G13" s="82">
        <f t="shared" ref="G13:G20" si="7">H13+AC13+AT13</f>
        <v>18388.8</v>
      </c>
      <c r="H13" s="33">
        <f t="shared" ref="H13:H20" si="8">SUMIF(I$12:AB$12,"总值",I13:AB13)</f>
        <v>18388.8</v>
      </c>
      <c r="I13" s="2698">
        <f>A3</f>
        <v>18388.8</v>
      </c>
      <c r="J13" s="2698"/>
      <c r="K13" s="2698"/>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f t="shared" ref="AV13:AX20" si="10">A13</f>
        <v>0</v>
      </c>
      <c r="AW13" s="17">
        <f t="shared" si="10"/>
        <v>0</v>
      </c>
      <c r="AX13" s="17">
        <f t="shared" si="10"/>
        <v>0</v>
      </c>
      <c r="AY13" s="966">
        <f t="shared" ref="AY13:AY20" si="11">ROUND($AY$6*AZ13/$AZ$5,2)</f>
        <v>18388.8</v>
      </c>
      <c r="AZ13" s="27">
        <f t="shared" ref="AZ13:AZ20" si="12">BA13+BL13</f>
        <v>18388.8</v>
      </c>
      <c r="BA13" s="27">
        <f t="shared" ref="BA13:BA20" si="13">SUM(BB13:BK13)</f>
        <v>18388.8</v>
      </c>
      <c r="BB13" s="27">
        <f t="shared" ref="BB13:BB20" si="14">IF($D13="是",I13-J13,0)</f>
        <v>18388.8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4"/>
      <c r="B14" s="2694"/>
      <c r="C14" s="2696"/>
      <c r="D14" s="2695"/>
      <c r="E14" s="27">
        <f t="shared" si="6"/>
        <v>0</v>
      </c>
      <c r="F14" s="81"/>
      <c r="G14" s="82">
        <f t="shared" si="7"/>
        <v>0</v>
      </c>
      <c r="H14" s="33">
        <f t="shared" si="8"/>
        <v>0</v>
      </c>
      <c r="I14" s="2698"/>
      <c r="J14" s="2698"/>
      <c r="K14" s="2698"/>
      <c r="L14" s="2698"/>
      <c r="M14" s="2698"/>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4"/>
      <c r="B15" s="2694"/>
      <c r="C15" s="2696"/>
      <c r="D15" s="2695"/>
      <c r="E15" s="27">
        <f t="shared" si="6"/>
        <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4"/>
      <c r="B16" s="2694"/>
      <c r="C16" s="2696"/>
      <c r="D16" s="2695"/>
      <c r="E16" s="27">
        <f t="shared" si="6"/>
        <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4"/>
      <c r="B17" s="2694"/>
      <c r="C17" s="2696"/>
      <c r="D17" s="2695"/>
      <c r="E17" s="27">
        <f t="shared" si="6"/>
        <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7"/>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375" style="2" bestFit="1" customWidth="1"/>
    <col min="8" max="13" width="9.125" style="2" bestFit="1" customWidth="1"/>
    <col min="14" max="16384" width="9" style="2"/>
  </cols>
  <sheetData>
    <row r="1" spans="1:13" ht="14.25">
      <c r="A1" s="3576" t="s">
        <v>0</v>
      </c>
      <c r="B1" s="3576" t="s">
        <v>4</v>
      </c>
      <c r="C1" s="3576" t="s">
        <v>5</v>
      </c>
      <c r="D1" s="3577" t="s">
        <v>40</v>
      </c>
      <c r="E1" s="3577" t="s">
        <v>41</v>
      </c>
      <c r="F1" s="3577"/>
      <c r="G1" s="3577"/>
      <c r="H1" s="3577"/>
      <c r="I1" s="3577"/>
      <c r="J1" s="3577"/>
      <c r="K1" s="3577"/>
      <c r="L1" s="3577"/>
      <c r="M1" s="3577"/>
    </row>
    <row r="2" spans="1:13" ht="27" customHeight="1">
      <c r="A2" s="3576"/>
      <c r="B2" s="3576"/>
      <c r="C2" s="3576"/>
      <c r="D2" s="3577"/>
      <c r="E2" s="3577" t="s">
        <v>24</v>
      </c>
      <c r="F2" s="3577" t="s">
        <v>25</v>
      </c>
      <c r="G2" s="3577"/>
      <c r="H2" s="3577"/>
      <c r="I2" s="3577"/>
      <c r="J2" s="3577" t="s">
        <v>26</v>
      </c>
      <c r="K2" s="3577"/>
      <c r="L2" s="3577"/>
      <c r="M2" s="3577"/>
    </row>
    <row r="3" spans="1:13" ht="28.5">
      <c r="A3" s="3576"/>
      <c r="B3" s="3576"/>
      <c r="C3" s="3576"/>
      <c r="D3" s="3577"/>
      <c r="E3" s="35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7" t="s">
        <v>42</v>
      </c>
      <c r="B9" s="3577"/>
      <c r="C9" s="35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F20" sqref="F20"/>
    </sheetView>
  </sheetViews>
  <sheetFormatPr defaultColWidth="9.25" defaultRowHeight="14.25"/>
  <cols>
    <col min="1" max="1" width="8.25" style="1870" customWidth="1"/>
    <col min="2" max="2" width="10.25" style="1870" customWidth="1"/>
    <col min="3" max="3" width="18.375" style="1870" customWidth="1"/>
    <col min="4" max="4" width="11.125" style="1870" customWidth="1"/>
    <col min="5" max="5" width="13.375" style="1870" customWidth="1"/>
    <col min="6" max="8" width="11.375" style="1870" customWidth="1"/>
    <col min="9" max="9" width="10.375" style="1870" customWidth="1"/>
    <col min="10" max="10" width="3.125" style="1870" customWidth="1"/>
    <col min="11" max="16" width="11.625" style="1870" customWidth="1"/>
    <col min="17" max="17" width="3.375" style="1870" customWidth="1"/>
    <col min="18" max="16384" width="9.25" style="1870"/>
  </cols>
  <sheetData>
    <row r="1" spans="1:16" ht="18.75">
      <c r="A1" s="104" t="s">
        <v>202</v>
      </c>
      <c r="B1" s="1869"/>
      <c r="C1" s="1869"/>
      <c r="D1" s="1869"/>
      <c r="E1" s="1869"/>
      <c r="F1" s="1869"/>
      <c r="G1" s="1869"/>
      <c r="H1" s="1869"/>
      <c r="I1" s="1869"/>
      <c r="J1" s="1869"/>
      <c r="K1" s="1869"/>
      <c r="L1" s="1869"/>
      <c r="M1" s="1869"/>
      <c r="N1" s="1869"/>
      <c r="O1" s="1869"/>
      <c r="P1" s="1869"/>
    </row>
    <row r="2" spans="1:16" ht="15">
      <c r="A2" s="3587" t="s">
        <v>203</v>
      </c>
      <c r="B2" s="3587"/>
      <c r="C2" s="3587"/>
      <c r="D2" s="1860" t="s">
        <v>204</v>
      </c>
      <c r="E2" s="106" t="s">
        <v>205</v>
      </c>
      <c r="F2" s="3048"/>
      <c r="G2" s="1163"/>
      <c r="H2" s="1164"/>
      <c r="I2" s="1165" t="s">
        <v>833</v>
      </c>
      <c r="J2" s="3048"/>
      <c r="K2" s="3048"/>
      <c r="L2" s="3048"/>
      <c r="M2" s="3048"/>
      <c r="N2" s="3048"/>
      <c r="O2" s="3048"/>
      <c r="P2" s="3048"/>
    </row>
    <row r="3" spans="1:16" ht="15.75" thickBot="1">
      <c r="A3" s="3588" t="s">
        <v>206</v>
      </c>
      <c r="B3" s="3588"/>
      <c r="C3" s="3588"/>
      <c r="D3" s="107">
        <f>'数据-基础表'!AY6</f>
        <v>18388.8</v>
      </c>
      <c r="E3" s="107">
        <f>'数据-基础表'!AZ5</f>
        <v>18388.8</v>
      </c>
      <c r="F3" s="3048"/>
      <c r="G3" s="278" t="s">
        <v>834</v>
      </c>
      <c r="H3" s="273" t="s">
        <v>835</v>
      </c>
      <c r="I3" s="1861">
        <f>ROUND('数据-基础表'!B3/'数据-基础表'!A3,2)</f>
        <v>1</v>
      </c>
      <c r="J3" s="3048"/>
      <c r="K3" s="3048"/>
      <c r="L3" s="3048"/>
      <c r="M3" s="3048"/>
      <c r="N3" s="3048"/>
      <c r="O3" s="3048"/>
      <c r="P3" s="3048"/>
    </row>
    <row r="4" spans="1:16" ht="15">
      <c r="A4" s="3589"/>
      <c r="B4" s="3590"/>
      <c r="C4" s="3591"/>
      <c r="D4" s="108" t="s">
        <v>204</v>
      </c>
      <c r="E4" s="109" t="s">
        <v>205</v>
      </c>
      <c r="F4" s="3048"/>
      <c r="G4" s="1166"/>
      <c r="H4" s="273" t="s">
        <v>836</v>
      </c>
      <c r="I4" s="1861">
        <f>ROUND(SUMIF('数据-基础表'!I9:AS9,"地上",'数据-基础表'!I5:AS5)/'数据-基础表'!A3,2)</f>
        <v>1</v>
      </c>
      <c r="J4" s="3048"/>
      <c r="K4" s="3048"/>
      <c r="L4" s="3048"/>
      <c r="M4" s="3048"/>
      <c r="N4" s="3048"/>
      <c r="O4" s="3048"/>
      <c r="P4" s="3048"/>
    </row>
    <row r="5" spans="1:16">
      <c r="A5" s="110" t="s">
        <v>207</v>
      </c>
      <c r="B5" s="3592" t="s">
        <v>230</v>
      </c>
      <c r="C5" s="3592"/>
      <c r="D5" s="111">
        <f>ROUND($D$3*E5/$E$3,2)</f>
        <v>0</v>
      </c>
      <c r="E5" s="112">
        <f>SUMIF('数据-基础表'!$11:$11,"住宅",'数据-基础表'!$5:$5)</f>
        <v>0</v>
      </c>
      <c r="F5" s="3048"/>
      <c r="G5" s="278" t="s">
        <v>837</v>
      </c>
      <c r="H5" s="273" t="s">
        <v>835</v>
      </c>
      <c r="I5" s="1861">
        <f>ROUND(E31/D31,2)</f>
        <v>1</v>
      </c>
      <c r="J5" s="3048"/>
      <c r="K5" s="3048"/>
      <c r="L5" s="3048"/>
      <c r="M5" s="3048"/>
      <c r="N5" s="3048"/>
      <c r="O5" s="3048"/>
      <c r="P5" s="3048"/>
    </row>
    <row r="6" spans="1:16" ht="15" thickBot="1">
      <c r="A6" s="113"/>
      <c r="B6" s="3592" t="s">
        <v>208</v>
      </c>
      <c r="C6" s="3592"/>
      <c r="D6" s="111">
        <f>ROUND($D$3*E6/$E$3,2)</f>
        <v>18388.8</v>
      </c>
      <c r="E6" s="112">
        <f>E3-E5</f>
        <v>18388.8</v>
      </c>
      <c r="F6" s="3048"/>
      <c r="G6" s="1166"/>
      <c r="H6" s="273" t="s">
        <v>836</v>
      </c>
      <c r="I6" s="1861">
        <f>ROUND(F31/D31,2)</f>
        <v>1</v>
      </c>
      <c r="J6" s="3048"/>
      <c r="K6" s="3048"/>
      <c r="L6" s="3048"/>
      <c r="M6" s="3048"/>
      <c r="N6" s="3048"/>
      <c r="O6" s="3048"/>
      <c r="P6" s="3048"/>
    </row>
    <row r="7" spans="1:16" ht="15">
      <c r="A7" s="3584"/>
      <c r="B7" s="3585"/>
      <c r="C7" s="3586"/>
      <c r="D7" s="108" t="s">
        <v>204</v>
      </c>
      <c r="E7" s="114" t="s">
        <v>231</v>
      </c>
      <c r="F7" s="3048"/>
      <c r="G7" s="1121" t="s">
        <v>1620</v>
      </c>
      <c r="H7" s="1122"/>
      <c r="I7" s="1732"/>
      <c r="J7" s="3048"/>
      <c r="K7" s="3048"/>
      <c r="L7" s="3048"/>
      <c r="M7" s="3048"/>
      <c r="N7" s="3048"/>
      <c r="O7" s="3048"/>
      <c r="P7" s="3048"/>
    </row>
    <row r="8" spans="1:16">
      <c r="A8" s="110" t="s">
        <v>209</v>
      </c>
      <c r="B8" s="115" t="s">
        <v>210</v>
      </c>
      <c r="C8" s="111" t="s">
        <v>211</v>
      </c>
      <c r="D8" s="111">
        <f t="shared" ref="D8:D15" si="0">ROUND($D$3*E8/$E$3,2)</f>
        <v>18388.8</v>
      </c>
      <c r="E8" s="116">
        <f>SUMIF('数据-基础表'!BB10:BK10,"地上",'数据-基础表'!BB5:BK5)</f>
        <v>18388.8</v>
      </c>
      <c r="F8" s="3048"/>
      <c r="G8" s="3049"/>
      <c r="H8" s="3049"/>
      <c r="I8" s="3048"/>
      <c r="J8" s="3048"/>
      <c r="K8" s="3048"/>
      <c r="L8" s="3048"/>
      <c r="M8" s="3048"/>
      <c r="N8" s="3048"/>
      <c r="O8" s="3048"/>
      <c r="P8" s="3048"/>
    </row>
    <row r="9" spans="1:16">
      <c r="A9" s="117"/>
      <c r="B9" s="118"/>
      <c r="C9" s="111" t="s">
        <v>212</v>
      </c>
      <c r="D9" s="111">
        <f t="shared" si="0"/>
        <v>0</v>
      </c>
      <c r="E9" s="119">
        <v>0</v>
      </c>
      <c r="F9" s="3048"/>
      <c r="G9" s="3049"/>
      <c r="H9" s="3049"/>
      <c r="I9" s="3048"/>
      <c r="J9" s="3048"/>
      <c r="K9" s="3048"/>
      <c r="L9" s="3048"/>
      <c r="M9" s="3048"/>
      <c r="N9" s="3048"/>
      <c r="O9" s="3048"/>
      <c r="P9" s="3048"/>
    </row>
    <row r="10" spans="1:16">
      <c r="A10" s="117"/>
      <c r="B10" s="118"/>
      <c r="C10" s="111" t="s">
        <v>213</v>
      </c>
      <c r="D10" s="111">
        <f t="shared" si="0"/>
        <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2292</v>
      </c>
      <c r="D11" s="111">
        <f t="shared" si="0"/>
        <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f t="shared" si="0"/>
        <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2299</v>
      </c>
      <c r="D13" s="111">
        <f t="shared" si="0"/>
        <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f t="shared" si="0"/>
        <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5" thickBot="1">
      <c r="A15" s="117"/>
      <c r="B15" s="118"/>
      <c r="C15" s="111" t="s">
        <v>233</v>
      </c>
      <c r="D15" s="111">
        <f t="shared" si="0"/>
        <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5.75" thickBot="1">
      <c r="A16" s="113"/>
      <c r="B16" s="118"/>
      <c r="C16" s="115" t="s">
        <v>215</v>
      </c>
      <c r="D16" s="115">
        <f>SUM(D8:D15)</f>
        <v>18388.8</v>
      </c>
      <c r="E16" s="120">
        <f>SUM(E8:E15)</f>
        <v>18388.8</v>
      </c>
      <c r="F16" s="3048"/>
      <c r="G16" s="3049"/>
      <c r="H16" s="938" t="s">
        <v>219</v>
      </c>
      <c r="I16" s="939"/>
      <c r="J16" s="1869"/>
      <c r="K16" s="3578" t="s">
        <v>2520</v>
      </c>
      <c r="L16" s="3579"/>
      <c r="M16" s="3579"/>
      <c r="N16" s="3579"/>
      <c r="O16" s="3579"/>
      <c r="P16" s="3580"/>
    </row>
    <row r="17" spans="1:19" ht="15">
      <c r="A17" s="121" t="s">
        <v>216</v>
      </c>
      <c r="B17" s="122" t="s">
        <v>217</v>
      </c>
      <c r="C17" s="2148" t="s">
        <v>2278</v>
      </c>
      <c r="D17" s="108" t="s">
        <v>204</v>
      </c>
      <c r="E17" s="124" t="s">
        <v>205</v>
      </c>
      <c r="F17" s="125"/>
      <c r="G17" s="1293"/>
      <c r="H17" s="940" t="s">
        <v>218</v>
      </c>
      <c r="I17" s="941" t="s">
        <v>2277</v>
      </c>
      <c r="J17" s="1869"/>
      <c r="K17" s="3581" t="s">
        <v>2521</v>
      </c>
      <c r="L17" s="3582"/>
      <c r="M17" s="3583"/>
      <c r="N17" s="3581" t="s">
        <v>2522</v>
      </c>
      <c r="O17" s="3582"/>
      <c r="P17" s="3583"/>
      <c r="R17" s="2149" t="s">
        <v>2276</v>
      </c>
      <c r="S17" s="142"/>
    </row>
    <row r="18" spans="1:19" ht="15">
      <c r="A18" s="117"/>
      <c r="B18" s="128"/>
      <c r="C18" s="129"/>
      <c r="D18" s="2451"/>
      <c r="E18" s="130" t="s">
        <v>220</v>
      </c>
      <c r="F18" s="131" t="s">
        <v>221</v>
      </c>
      <c r="G18" s="1294" t="s">
        <v>222</v>
      </c>
      <c r="H18" s="942" t="s">
        <v>223</v>
      </c>
      <c r="I18" s="943" t="s">
        <v>224</v>
      </c>
      <c r="J18" s="1869"/>
      <c r="K18" s="2416" t="s">
        <v>2523</v>
      </c>
      <c r="L18" s="2417" t="s">
        <v>2524</v>
      </c>
      <c r="M18" s="2418" t="s">
        <v>2525</v>
      </c>
      <c r="N18" s="2416" t="s">
        <v>2523</v>
      </c>
      <c r="O18" s="2417" t="s">
        <v>2524</v>
      </c>
      <c r="P18" s="2418" t="s">
        <v>2525</v>
      </c>
      <c r="R18" s="2150" t="s">
        <v>2274</v>
      </c>
      <c r="S18" s="2150" t="s">
        <v>2275</v>
      </c>
    </row>
    <row r="19" spans="1:19">
      <c r="A19" s="133"/>
      <c r="B19" s="115" t="s">
        <v>225</v>
      </c>
      <c r="C19" s="3444" t="s">
        <v>3135</v>
      </c>
      <c r="D19" s="111">
        <f t="shared" ref="D19:D26" si="1">ROUND($D$3*E19/$E$3,2)</f>
        <v>18388.8</v>
      </c>
      <c r="E19" s="134">
        <f t="shared" ref="E19:E26" si="2">SUM(F19:G19)</f>
        <v>18388.8</v>
      </c>
      <c r="F19" s="3050">
        <f>D3</f>
        <v>18388.8</v>
      </c>
      <c r="G19" s="3051"/>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18388.8</v>
      </c>
      <c r="S19" s="2151">
        <f t="shared" si="5"/>
        <v>18388.8</v>
      </c>
    </row>
    <row r="20" spans="1:19">
      <c r="A20" s="137"/>
      <c r="B20" s="115" t="s">
        <v>226</v>
      </c>
      <c r="C20" s="2705"/>
      <c r="D20" s="111">
        <f t="shared" si="1"/>
        <v>0</v>
      </c>
      <c r="E20" s="134">
        <f t="shared" si="2"/>
        <v>0</v>
      </c>
      <c r="F20" s="3050"/>
      <c r="G20" s="3051"/>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0</v>
      </c>
      <c r="S20" s="2151">
        <f t="shared" si="5"/>
        <v>0</v>
      </c>
    </row>
    <row r="21" spans="1:19">
      <c r="A21" s="137"/>
      <c r="B21" s="115" t="s">
        <v>226</v>
      </c>
      <c r="C21" s="2705"/>
      <c r="D21" s="111">
        <f t="shared" si="1"/>
        <v>0</v>
      </c>
      <c r="E21" s="134">
        <f t="shared" si="2"/>
        <v>0</v>
      </c>
      <c r="F21" s="3050"/>
      <c r="G21" s="3051"/>
      <c r="H21" s="944">
        <f t="shared" si="6"/>
        <v>0</v>
      </c>
      <c r="I21" s="116">
        <f t="shared" si="7"/>
        <v>0</v>
      </c>
      <c r="J21" s="1869"/>
      <c r="K21" s="2419">
        <f t="shared" si="3"/>
        <v>0</v>
      </c>
      <c r="L21" s="273">
        <f t="shared" si="4"/>
        <v>0</v>
      </c>
      <c r="M21" s="2420">
        <f t="shared" si="8"/>
        <v>0</v>
      </c>
      <c r="N21" s="2421"/>
      <c r="O21" s="2422"/>
      <c r="P21" s="2423">
        <f t="shared" si="9"/>
        <v>0</v>
      </c>
      <c r="R21" s="273">
        <f t="shared" si="5"/>
        <v>0</v>
      </c>
      <c r="S21" s="2151">
        <f t="shared" si="5"/>
        <v>0</v>
      </c>
    </row>
    <row r="22" spans="1:19">
      <c r="A22" s="137"/>
      <c r="B22" s="115" t="s">
        <v>226</v>
      </c>
      <c r="C22" s="1292"/>
      <c r="D22" s="111">
        <f t="shared" si="1"/>
        <v>0</v>
      </c>
      <c r="E22" s="134">
        <f t="shared" si="2"/>
        <v>0</v>
      </c>
      <c r="F22" s="3052"/>
      <c r="G22" s="3053"/>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226</v>
      </c>
      <c r="C23" s="138"/>
      <c r="D23" s="111">
        <f>ROUND($D$3*E23/$E$3,2)</f>
        <v>0</v>
      </c>
      <c r="E23" s="134">
        <f>SUM(F23:G23)</f>
        <v>0</v>
      </c>
      <c r="F23" s="3052"/>
      <c r="G23" s="3053"/>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226</v>
      </c>
      <c r="C24" s="138"/>
      <c r="D24" s="111">
        <f>ROUND($D$3*E24/$E$3,2)</f>
        <v>0</v>
      </c>
      <c r="E24" s="134">
        <f>SUM(F24:G24)</f>
        <v>0</v>
      </c>
      <c r="F24" s="3052"/>
      <c r="G24" s="3053"/>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226</v>
      </c>
      <c r="C25" s="138"/>
      <c r="D25" s="111">
        <f t="shared" si="1"/>
        <v>0</v>
      </c>
      <c r="E25" s="134">
        <f t="shared" si="2"/>
        <v>0</v>
      </c>
      <c r="F25" s="3052"/>
      <c r="G25" s="3053"/>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226</v>
      </c>
      <c r="C26" s="140"/>
      <c r="D26" s="111">
        <f t="shared" si="1"/>
        <v>0</v>
      </c>
      <c r="E26" s="134">
        <f t="shared" si="2"/>
        <v>0</v>
      </c>
      <c r="F26" s="3052"/>
      <c r="G26" s="3053"/>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5.75" thickBot="1">
      <c r="A27" s="137"/>
      <c r="B27" s="111"/>
      <c r="C27" s="127" t="s">
        <v>215</v>
      </c>
      <c r="D27" s="134">
        <f>SUM(D19:D26)</f>
        <v>18388.8</v>
      </c>
      <c r="E27" s="141">
        <f>IF(SUM(E19:E26)='数据-基础表'!BA5,SUM(E19:E26),IF(F27="地上面积有误","面积有误","地下面积有误"))</f>
        <v>18388.8</v>
      </c>
      <c r="F27" s="134">
        <f>IF(SUM(F19:F26)=E8,SUM(F19:F26),"地上面积有误")</f>
        <v>18388.8</v>
      </c>
      <c r="G27" s="112">
        <f>SUM(G19:G26)</f>
        <v>0</v>
      </c>
      <c r="H27" s="945">
        <f>SUM(H19:H26)</f>
        <v>0</v>
      </c>
      <c r="I27" s="946">
        <f>SUM(I19:I26)</f>
        <v>0</v>
      </c>
      <c r="J27" s="1869"/>
      <c r="K27" s="2428">
        <f>SUM(K19:K26)</f>
        <v>0</v>
      </c>
      <c r="L27" s="2429">
        <f>SUM(L19:L26)</f>
        <v>0</v>
      </c>
      <c r="M27" s="2430">
        <f>SUM(M19:M26)</f>
        <v>0</v>
      </c>
      <c r="N27" s="2428">
        <f t="shared" ref="N27:O27" si="10">SUM(N19:N26)</f>
        <v>0</v>
      </c>
      <c r="O27" s="2429">
        <f t="shared" si="10"/>
        <v>0</v>
      </c>
      <c r="P27" s="2431">
        <f>SUM(P19:P26)</f>
        <v>0</v>
      </c>
      <c r="R27" s="2155">
        <f>IF(SUM(R19:R26)=$D$3,SUM(R19:R26),SUM(R19:R26)&amp;"误差"&amp;ROUND(SUM(R19:R26)-$D$3,2))</f>
        <v>18388.8</v>
      </c>
      <c r="S27" s="273">
        <f>IF(SUM(S19:S26)=$E$3,SUM(S19:S26),SUM(S19:S26)&amp;"误差"&amp;ROUND(SUM(S19:S26)-E3,2))</f>
        <v>18388.8</v>
      </c>
    </row>
    <row r="28" spans="1:19">
      <c r="A28" s="137"/>
      <c r="B28" s="115" t="s">
        <v>227</v>
      </c>
      <c r="C28" s="135" t="s">
        <v>228</v>
      </c>
      <c r="D28" s="111">
        <f>ROUND($D$3*E28/$E$3,2)</f>
        <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2285</v>
      </c>
      <c r="D29" s="111">
        <f>ROUND($D$3*E29/$E$3,2)</f>
        <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f>SUM(D28:D29)</f>
        <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2287</v>
      </c>
      <c r="D31" s="1297">
        <f>D27+D30</f>
        <v>18388.8</v>
      </c>
      <c r="E31" s="1297">
        <f>E27+E30</f>
        <v>18388.8</v>
      </c>
      <c r="F31" s="1298">
        <f>F27+F30</f>
        <v>18388.8</v>
      </c>
      <c r="G31" s="1299">
        <f>G27+G30</f>
        <v>0</v>
      </c>
      <c r="H31" s="3048"/>
      <c r="I31" s="3048"/>
      <c r="J31" s="3048"/>
      <c r="K31" s="3048"/>
      <c r="L31" s="3048"/>
      <c r="M31" s="3048"/>
      <c r="N31" s="3048"/>
      <c r="O31" s="3048"/>
      <c r="P31" s="3048"/>
    </row>
    <row r="32" spans="1:19">
      <c r="A32" s="1869"/>
      <c r="B32" s="2192" t="s">
        <v>2286</v>
      </c>
      <c r="C32" s="2456"/>
      <c r="D32" s="1166"/>
      <c r="E32" s="1166">
        <f>SUMIF(C19:C26,"*住宅*",E19:E26)</f>
        <v>0</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K30" sqref="K30"/>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375" style="1168" customWidth="1"/>
    <col min="20" max="20" width="12.125" style="1168" customWidth="1"/>
    <col min="21" max="21" width="7.375" style="1168" customWidth="1"/>
    <col min="22" max="22" width="6.375" style="1168" customWidth="1"/>
    <col min="23" max="24" width="6.75" style="1168" customWidth="1"/>
    <col min="25" max="25" width="8.125" style="1168" customWidth="1"/>
    <col min="26" max="30" width="6.75" style="1168" customWidth="1"/>
    <col min="31" max="31" width="6.375" style="1168" customWidth="1"/>
    <col min="32" max="34" width="7.25" style="1168" customWidth="1"/>
    <col min="35" max="39" width="8" style="1168" customWidth="1"/>
    <col min="40" max="41" width="13.75" style="1879"/>
    <col min="42" max="42" width="13.75" style="1879" customWidth="1"/>
    <col min="43" max="83" width="13.75" style="1879"/>
    <col min="84" max="16384" width="13.75" style="1168"/>
  </cols>
  <sheetData>
    <row r="1" spans="1:83" ht="19.5"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75" thickBot="1">
      <c r="A2" s="147" t="s">
        <v>235</v>
      </c>
      <c r="B2" s="2188">
        <f>项目基本情况!D3</f>
        <v>44623</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40.5">
      <c r="A5" s="2154"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3137</v>
      </c>
      <c r="O5" s="161" t="s">
        <v>246</v>
      </c>
      <c r="P5" s="163" t="s">
        <v>247</v>
      </c>
      <c r="Q5" s="164" t="s">
        <v>248</v>
      </c>
      <c r="R5" s="165" t="s">
        <v>249</v>
      </c>
      <c r="S5" s="2432"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6" t="s">
        <v>2335</v>
      </c>
      <c r="AO5" s="3069"/>
      <c r="AP5" s="3054" t="s">
        <v>2941</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6.5">
      <c r="A6" s="2152" t="str">
        <f>'数据-汇总表'!C19</f>
        <v>科教</v>
      </c>
      <c r="B6" s="2187" t="str">
        <f>IF(A6=0,"","经营性")</f>
        <v>经营性</v>
      </c>
      <c r="C6" s="171" t="s">
        <v>1652</v>
      </c>
      <c r="D6" s="2158">
        <f>SUMIF(项目基本情况!D$15:I$15,C6,项目基本情况!D$18:I$18)</f>
        <v>50</v>
      </c>
      <c r="E6" s="2159">
        <f>IF(B6="","",SUMIF(项目基本情况!D$15:I$15,C6,项目基本情况!D$17:I$17))</f>
        <v>65746</v>
      </c>
      <c r="F6" s="172">
        <f>SUMIF(项目基本情况!D$15:I$15,C6,项目基本情况!D$19:I$19)</f>
        <v>50</v>
      </c>
      <c r="G6" s="173">
        <f>IF(ISERROR(ROUND(POWER(1+H6,D6-F6)*(POWER(1+H6,F6)-1)/(POWER(1+H6,D6)-1),3)),0,ROUND(POWER(1+H6,D6-F6)*(POWER(1+H6,F6)-1)/(POWER(1+H6,D6)-1),3))</f>
        <v>0</v>
      </c>
      <c r="H6" s="2706"/>
      <c r="I6" s="2706">
        <v>0.05</v>
      </c>
      <c r="J6" s="174"/>
      <c r="K6" s="177">
        <f>SUMIF('数据-汇总表'!C$19:C$33,'数据-取费表'!A6,'数据-汇总表'!E$19:E$33)</f>
        <v>18388.8</v>
      </c>
      <c r="L6" s="2707">
        <v>3000</v>
      </c>
      <c r="M6" s="175">
        <f t="shared" ref="M6:M14" si="0">ROUND(K6*L6/10000,0)</f>
        <v>5517</v>
      </c>
      <c r="N6" s="2708">
        <v>0</v>
      </c>
      <c r="O6" s="175">
        <f>IF($N$5="成新度","——",ROUND(M6*N6,0))</f>
        <v>0</v>
      </c>
      <c r="P6" s="176">
        <f>IF($N$5="成新度","——",M6-O6)</f>
        <v>5517</v>
      </c>
      <c r="Q6" s="2709">
        <v>0.1</v>
      </c>
      <c r="R6" s="177">
        <f>SUMIF('数据-汇总表'!C$19:C$33,A6,'数据-汇总表'!R$19:R$33)</f>
        <v>18388.8</v>
      </c>
      <c r="S6" s="132">
        <f>IF('数据-汇总表'!$I$17="按面积比例",SUMIF('数据-汇总表'!C$19:C$33,A6,'数据-汇总表'!K$19:K$33),SUMIF('数据-汇总表'!C$19:C$33,A6,'数据-汇总表'!N$19:N$33))</f>
        <v>0</v>
      </c>
      <c r="T6" s="2084" t="str">
        <f>IF($T$4="按面积比例",IF(ISERROR(ROUND($M$14*S6/S$16,0)),"0",ROUND($M$14*S6/S$16,0)),"需自行计算录入")</f>
        <v>0</v>
      </c>
      <c r="U6" s="178">
        <v>1.6</v>
      </c>
      <c r="V6" s="179">
        <v>0.02</v>
      </c>
      <c r="W6" s="179">
        <v>0.15</v>
      </c>
      <c r="X6" s="2171"/>
      <c r="Y6" s="180">
        <v>1</v>
      </c>
      <c r="Z6" s="181"/>
      <c r="AA6" s="174"/>
      <c r="AB6" s="174"/>
      <c r="AC6" s="2174"/>
      <c r="AD6" s="182"/>
      <c r="AE6" s="942">
        <f ca="1">IF(AN6="",0,SUMIF(INDIRECT("'"&amp;AN6&amp;"'"&amp;"!E:E"),$AE$5,INDIRECT("'"&amp;AN6&amp;"'"&amp;"!F:F")))</f>
        <v>50</v>
      </c>
      <c r="AF6" s="139"/>
      <c r="AG6" s="1178">
        <f>IF(AF6="",0,AE6-AF6)</f>
        <v>0</v>
      </c>
      <c r="AH6" s="139"/>
      <c r="AI6" s="185">
        <v>365</v>
      </c>
      <c r="AJ6" s="186"/>
      <c r="AK6" s="187">
        <v>1.4999999999999999E-2</v>
      </c>
      <c r="AL6" s="3445">
        <v>1.5E-3</v>
      </c>
      <c r="AM6" s="2718">
        <v>0.01</v>
      </c>
      <c r="AN6" s="2217" t="s">
        <v>3138</v>
      </c>
      <c r="AO6" s="3058"/>
      <c r="AP6" s="1169">
        <f>ROUND(1-1/(1+H6)^F6,3)</f>
        <v>0</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25">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06"/>
      <c r="I7" s="2706"/>
      <c r="J7" s="174"/>
      <c r="K7" s="177">
        <f>SUMIF('数据-汇总表'!C$19:C$33,'数据-取费表'!A7,'数据-汇总表'!E$19:E$33)</f>
        <v>0</v>
      </c>
      <c r="L7" s="2707"/>
      <c r="M7" s="175">
        <f t="shared" si="0"/>
        <v>0</v>
      </c>
      <c r="N7" s="2708"/>
      <c r="O7" s="175">
        <f t="shared" ref="O7:O14" si="3">IF($N$5="成新度","——",ROUND(M7*N7,0))</f>
        <v>0</v>
      </c>
      <c r="P7" s="176">
        <f t="shared" ref="P7:P14" si="4">IF($N$5="成新度","——",M7-O7)</f>
        <v>0</v>
      </c>
      <c r="Q7" s="2709"/>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58"/>
      <c r="AP7" s="1169">
        <f t="shared" ref="AP7:AP13" si="8">ROUND(1-1/(1+H7)^F7,3)</f>
        <v>0</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706"/>
      <c r="I8" s="2706"/>
      <c r="J8" s="174"/>
      <c r="K8" s="177">
        <f>SUMIF('数据-汇总表'!C$19:C$33,'数据-取费表'!A8,'数据-汇总表'!E$19:E$33)</f>
        <v>0</v>
      </c>
      <c r="L8" s="2707"/>
      <c r="M8" s="175">
        <f>ROUND(K8*L8/10000,0)</f>
        <v>0</v>
      </c>
      <c r="N8" s="2708"/>
      <c r="O8" s="175">
        <f t="shared" si="3"/>
        <v>0</v>
      </c>
      <c r="P8" s="176">
        <f t="shared" si="4"/>
        <v>0</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25">
      <c r="A14" s="2153" t="s">
        <v>2279</v>
      </c>
      <c r="B14" s="2156" t="s">
        <v>1654</v>
      </c>
      <c r="C14" s="2157" t="s">
        <v>2279</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7">
      <c r="A15" s="2162" t="s">
        <v>2281</v>
      </c>
      <c r="B15" s="2156" t="s">
        <v>1654</v>
      </c>
      <c r="C15" s="2157" t="s">
        <v>2280</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18388.8</v>
      </c>
      <c r="L16" s="204">
        <f>ROUND(M16*10000/SUM(K6:K14),0)</f>
        <v>3000</v>
      </c>
      <c r="M16" s="204">
        <f>SUM(M6:M14)</f>
        <v>5517</v>
      </c>
      <c r="N16" s="205">
        <f>ROUND(SUMPRODUCT(M6:M14,N6:N14)/M16,3)</f>
        <v>0</v>
      </c>
      <c r="O16" s="204">
        <f>SUM(O6:O14)</f>
        <v>0</v>
      </c>
      <c r="P16" s="204">
        <f>SUM(P6:P14)</f>
        <v>5517</v>
      </c>
      <c r="Q16" s="206">
        <f>ROUND(SUMPRODUCT(Q6:Q13,K6:K13)/SUMPRODUCT((Q6:Q13&gt;0)*(K6:K13)),2)</f>
        <v>0.1</v>
      </c>
      <c r="R16" s="2161">
        <f>SUM(R6:R13)</f>
        <v>18388.8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t="e">
        <f>ROUND(SUMPRODUCT(AP6:AP13,K6:K13)/SUMPRODUCT((AP6:AP13&gt;0)*(K6:K13)),3)</f>
        <v>#DIV/0!</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25">
      <c r="A19" s="215" t="s">
        <v>264</v>
      </c>
      <c r="B19" s="216">
        <v>1</v>
      </c>
      <c r="C19" s="3070" t="s">
        <v>2954</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25">
      <c r="A20" s="217" t="s">
        <v>265</v>
      </c>
      <c r="B20" s="218">
        <v>1.5</v>
      </c>
      <c r="C20" s="3070" t="s">
        <v>2300</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25">
      <c r="A21" s="219" t="s">
        <v>266</v>
      </c>
      <c r="B21" s="218">
        <v>0</v>
      </c>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25">
      <c r="A22" s="217" t="s">
        <v>267</v>
      </c>
      <c r="B22" s="220">
        <f>B19+B20</f>
        <v>2.5</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25">
      <c r="A23" s="219" t="s">
        <v>268</v>
      </c>
      <c r="B23" s="220">
        <f>B19+B21</f>
        <v>1</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5" thickBot="1">
      <c r="A24" s="221" t="s">
        <v>269</v>
      </c>
      <c r="B24" s="222">
        <f>B20-B21</f>
        <v>1.5</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7.75">
      <c r="A27" s="224" t="s">
        <v>2302</v>
      </c>
      <c r="B27" s="225"/>
      <c r="C27" s="3071" t="s">
        <v>2955</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7.75">
      <c r="A28" s="226" t="s">
        <v>2303</v>
      </c>
      <c r="B28" s="227">
        <v>155</v>
      </c>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8.5" thickBot="1">
      <c r="A29" s="229" t="s">
        <v>2301</v>
      </c>
      <c r="B29" s="230">
        <f>成本逼近法!C13</f>
        <v>285</v>
      </c>
      <c r="C29" s="3072" t="s">
        <v>2304</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7">
      <c r="A30" s="233" t="s">
        <v>273</v>
      </c>
      <c r="B30" s="948"/>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7">
      <c r="A31" s="226" t="s">
        <v>274</v>
      </c>
      <c r="B31" s="228">
        <f>B30-B32</f>
        <v>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7.75" thickBot="1">
      <c r="A32" s="235" t="s">
        <v>275</v>
      </c>
      <c r="B32" s="1303"/>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25">
      <c r="A33" s="224" t="s">
        <v>278</v>
      </c>
      <c r="B33" s="1304">
        <v>0.03</v>
      </c>
      <c r="C33" s="3073" t="s">
        <v>2942</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25">
      <c r="A34" s="226" t="s">
        <v>279</v>
      </c>
      <c r="B34" s="231">
        <v>0</v>
      </c>
      <c r="C34" s="3073" t="s">
        <v>2943</v>
      </c>
      <c r="D34" s="3074" t="s">
        <v>2951</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25">
      <c r="A35" s="226" t="s">
        <v>276</v>
      </c>
      <c r="B35" s="227">
        <v>200</v>
      </c>
      <c r="C35" s="3073" t="s">
        <v>2944</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5" thickBot="1">
      <c r="A36" s="229" t="s">
        <v>277</v>
      </c>
      <c r="B36" s="232">
        <v>1.4999999999999999E-2</v>
      </c>
      <c r="C36" s="3073" t="s">
        <v>2945</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25">
      <c r="A37" s="233" t="s">
        <v>280</v>
      </c>
      <c r="B37" s="234">
        <v>0.01</v>
      </c>
      <c r="C37" s="3073" t="s">
        <v>2946</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25">
      <c r="A38" s="226" t="s">
        <v>281</v>
      </c>
      <c r="B38" s="231">
        <v>0.01</v>
      </c>
      <c r="C38" s="3073" t="s">
        <v>2946</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25">
      <c r="A39" s="2310" t="s">
        <v>2410</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5" thickBot="1">
      <c r="A40" s="2310" t="s">
        <v>2411</v>
      </c>
      <c r="B40" s="2304">
        <f ca="1">存贷款利率!E2</f>
        <v>4.7500000000000001E-2</v>
      </c>
      <c r="C40" s="3073" t="s">
        <v>2947</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25">
      <c r="A41" s="224" t="s">
        <v>282</v>
      </c>
      <c r="B41" s="236">
        <f>B42+B43</f>
        <v>5.6000000000000001E-2</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25">
      <c r="A42" s="949" t="s">
        <v>283</v>
      </c>
      <c r="B42" s="238">
        <v>0.05</v>
      </c>
      <c r="C42" s="3075">
        <f>IF(B2&lt;DATE(2016,5,1),0,B42)</f>
        <v>0.05</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25">
      <c r="A43" s="949" t="s">
        <v>284</v>
      </c>
      <c r="B43" s="239">
        <f>B42*(B44+B45+B46)+B47</f>
        <v>6.000000000000001E-3</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25">
      <c r="A44" s="237" t="s">
        <v>285</v>
      </c>
      <c r="B44" s="240">
        <v>7.0000000000000007E-2</v>
      </c>
      <c r="C44" s="3073" t="s">
        <v>2952</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25">
      <c r="A45" s="237" t="s">
        <v>286</v>
      </c>
      <c r="B45" s="238">
        <v>0.03</v>
      </c>
      <c r="C45" s="3076" t="s">
        <v>2948</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25">
      <c r="A46" s="237" t="s">
        <v>287</v>
      </c>
      <c r="B46" s="238">
        <v>0.02</v>
      </c>
      <c r="C46" s="3076" t="s">
        <v>2949</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5" thickBot="1">
      <c r="A47" s="241" t="s">
        <v>288</v>
      </c>
      <c r="B47" s="242"/>
      <c r="C47" s="3071" t="s">
        <v>2956</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25">
      <c r="A48" s="243" t="s">
        <v>289</v>
      </c>
      <c r="B48" s="244">
        <v>0.03</v>
      </c>
      <c r="C48" s="3076" t="s">
        <v>2948</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5" thickBot="1">
      <c r="A49" s="235" t="s">
        <v>290</v>
      </c>
      <c r="B49" s="238">
        <v>5.0000000000000001E-4</v>
      </c>
      <c r="C49" s="3076" t="s">
        <v>2950</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2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25">
      <c r="A52" s="245" t="s">
        <v>293</v>
      </c>
      <c r="B52" s="248">
        <f>SUMIF(A54:A63,B53,B54:B63)</f>
        <v>1.5</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7">
      <c r="A53" s="226" t="s">
        <v>294</v>
      </c>
      <c r="B53" s="249" t="s">
        <v>1384</v>
      </c>
      <c r="C53" s="3066" t="s">
        <v>2842</v>
      </c>
      <c r="D53" s="3077" t="s">
        <v>2953</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25">
      <c r="A54" s="2740" t="s">
        <v>2843</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25">
      <c r="A55" s="2740" t="s">
        <v>2844</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25">
      <c r="A56" s="2740" t="s">
        <v>2845</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25">
      <c r="A57" s="2740" t="s">
        <v>2846</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25">
      <c r="A58" s="2740" t="s">
        <v>2847</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25">
      <c r="A59" s="2740" t="s">
        <v>2848</v>
      </c>
      <c r="B59" s="184">
        <v>1.5</v>
      </c>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25">
      <c r="A60" s="2740" t="s">
        <v>2849</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25">
      <c r="A61" s="2740" t="s">
        <v>2850</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25">
      <c r="A62" s="2740" t="s">
        <v>2851</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5" thickBot="1">
      <c r="A63" s="2741" t="s">
        <v>2852</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375" style="3089" customWidth="1"/>
    <col min="2" max="2" width="23.375" style="3124" customWidth="1"/>
    <col min="3" max="3" width="32.25" style="3126" customWidth="1"/>
    <col min="4" max="4" width="2.625" style="3126" customWidth="1"/>
    <col min="5" max="5" width="5.875" style="3126" customWidth="1"/>
    <col min="6" max="6" width="23.625" style="3124" customWidth="1"/>
    <col min="7" max="7" width="33.375" style="3125" customWidth="1"/>
    <col min="8" max="8" width="11.875" style="3124" customWidth="1"/>
    <col min="9" max="9" width="16.75" style="3125" customWidth="1"/>
    <col min="10" max="10" width="2.625" style="3126" customWidth="1"/>
    <col min="11" max="11" width="11.875" style="3124" customWidth="1"/>
    <col min="12" max="12" width="16.75" style="3125" customWidth="1"/>
    <col min="13" max="13" width="2.625" style="3126" customWidth="1"/>
    <col min="14" max="14" width="11.875" style="3124" customWidth="1"/>
    <col min="15" max="15" width="16.75" style="3125" customWidth="1"/>
    <col min="16" max="16" width="2.625" style="3126" customWidth="1"/>
    <col min="17" max="17" width="11.875" style="3124" customWidth="1"/>
    <col min="18" max="18" width="16.75" style="3127" customWidth="1"/>
    <col min="19" max="16384" width="9" style="3089"/>
  </cols>
  <sheetData>
    <row r="1" spans="1:18" s="3083" customFormat="1" ht="19.5" thickBot="1">
      <c r="A1" s="3593" t="s">
        <v>1638</v>
      </c>
      <c r="B1" s="3594"/>
      <c r="C1" s="3594"/>
      <c r="D1" s="3594"/>
      <c r="E1" s="3594"/>
      <c r="F1" s="3594"/>
      <c r="G1" s="3594"/>
      <c r="H1" s="3078"/>
      <c r="I1" s="3079"/>
      <c r="J1" s="3080"/>
      <c r="K1" s="3078"/>
      <c r="L1" s="3079"/>
      <c r="M1" s="3080"/>
      <c r="N1" s="3078"/>
      <c r="O1" s="3079"/>
      <c r="P1" s="3080"/>
      <c r="Q1" s="3081"/>
      <c r="R1" s="3082"/>
    </row>
    <row r="2" spans="1:18" ht="14.25" thickBot="1">
      <c r="A2" s="3084"/>
      <c r="B2" s="3085"/>
      <c r="C2" s="3086" t="s">
        <v>1639</v>
      </c>
      <c r="D2" s="3087"/>
      <c r="E2" s="3084"/>
      <c r="F2" s="3088"/>
      <c r="G2" s="3086" t="s">
        <v>1640</v>
      </c>
      <c r="H2" s="3089"/>
      <c r="I2" s="3089"/>
      <c r="J2" s="3089"/>
      <c r="K2" s="3089"/>
      <c r="L2" s="3089"/>
      <c r="M2" s="3089"/>
      <c r="N2" s="3089"/>
      <c r="O2" s="3089"/>
      <c r="P2" s="3089"/>
      <c r="Q2" s="3089"/>
      <c r="R2" s="3089"/>
    </row>
    <row r="3" spans="1:18" ht="40.5">
      <c r="A3" s="3090" t="s">
        <v>1641</v>
      </c>
      <c r="B3" s="3091" t="s">
        <v>1628</v>
      </c>
      <c r="C3" s="3092" t="s">
        <v>2859</v>
      </c>
      <c r="D3" s="3093"/>
      <c r="E3" s="3094" t="s">
        <v>1641</v>
      </c>
      <c r="F3" s="3095" t="s">
        <v>1629</v>
      </c>
      <c r="G3" s="3096" t="s">
        <v>2858</v>
      </c>
      <c r="H3" s="3089"/>
      <c r="I3" s="3089"/>
      <c r="J3" s="3089"/>
      <c r="K3" s="3089"/>
      <c r="L3" s="3089"/>
      <c r="M3" s="3089"/>
      <c r="N3" s="3089"/>
      <c r="O3" s="3089"/>
      <c r="P3" s="3089"/>
      <c r="Q3" s="3089"/>
      <c r="R3" s="3089"/>
    </row>
    <row r="4" spans="1:18" ht="40.5">
      <c r="A4" s="3094"/>
      <c r="B4" s="3097" t="s">
        <v>1642</v>
      </c>
      <c r="C4" s="3098" t="s">
        <v>2860</v>
      </c>
      <c r="D4" s="3093"/>
      <c r="E4" s="3099"/>
      <c r="F4" s="3100" t="s">
        <v>1643</v>
      </c>
      <c r="G4" s="3101" t="s">
        <v>2855</v>
      </c>
      <c r="H4" s="3089"/>
      <c r="I4" s="3089"/>
      <c r="J4" s="3089"/>
      <c r="K4" s="3089"/>
      <c r="L4" s="3089"/>
      <c r="M4" s="3089"/>
      <c r="N4" s="3089"/>
      <c r="O4" s="3089"/>
      <c r="P4" s="3089"/>
      <c r="Q4" s="3089"/>
      <c r="R4" s="3089"/>
    </row>
    <row r="5" spans="1:18" ht="41.25">
      <c r="A5" s="3094"/>
      <c r="B5" s="3097" t="s">
        <v>1644</v>
      </c>
      <c r="C5" s="3098" t="s">
        <v>2861</v>
      </c>
      <c r="D5" s="3093"/>
      <c r="E5" s="3099"/>
      <c r="F5" s="3097" t="s">
        <v>2500</v>
      </c>
      <c r="G5" s="3101" t="s">
        <v>2856</v>
      </c>
      <c r="H5" s="3089"/>
      <c r="I5" s="3089"/>
      <c r="J5" s="3089"/>
      <c r="K5" s="3089"/>
      <c r="L5" s="3089"/>
      <c r="M5" s="3089"/>
      <c r="N5" s="3089"/>
      <c r="O5" s="3089"/>
      <c r="P5" s="3089"/>
      <c r="Q5" s="3089"/>
      <c r="R5" s="3089"/>
    </row>
    <row r="6" spans="1:18" ht="40.5">
      <c r="A6" s="3094"/>
      <c r="B6" s="3097" t="s">
        <v>1630</v>
      </c>
      <c r="C6" s="3101" t="s">
        <v>2855</v>
      </c>
      <c r="D6" s="3093"/>
      <c r="E6" s="3099"/>
      <c r="F6" s="3097" t="s">
        <v>2501</v>
      </c>
      <c r="G6" s="3101" t="s">
        <v>2853</v>
      </c>
      <c r="H6" s="3089"/>
      <c r="I6" s="3089"/>
      <c r="J6" s="3089"/>
      <c r="K6" s="3089"/>
      <c r="L6" s="3089"/>
      <c r="M6" s="3089"/>
      <c r="N6" s="3089"/>
      <c r="O6" s="3089"/>
      <c r="P6" s="3089"/>
      <c r="Q6" s="3089"/>
      <c r="R6" s="3089"/>
    </row>
    <row r="7" spans="1:18" ht="27.75" thickBot="1">
      <c r="A7" s="3094"/>
      <c r="B7" s="3097" t="s">
        <v>2500</v>
      </c>
      <c r="C7" s="3101" t="s">
        <v>2856</v>
      </c>
      <c r="D7" s="3102"/>
      <c r="E7" s="3103"/>
      <c r="F7" s="3104" t="s">
        <v>1645</v>
      </c>
      <c r="G7" s="3105" t="s">
        <v>2857</v>
      </c>
      <c r="H7" s="3089"/>
      <c r="I7" s="3089"/>
      <c r="J7" s="3089"/>
      <c r="K7" s="3089"/>
      <c r="L7" s="3089"/>
      <c r="M7" s="3089"/>
      <c r="N7" s="3089"/>
      <c r="O7" s="3089"/>
      <c r="P7" s="3089"/>
      <c r="Q7" s="3089"/>
      <c r="R7" s="3089"/>
    </row>
    <row r="8" spans="1:18">
      <c r="A8" s="3094"/>
      <c r="B8" s="3097" t="s">
        <v>2501</v>
      </c>
      <c r="C8" s="3101" t="s">
        <v>2853</v>
      </c>
      <c r="D8" s="3102"/>
      <c r="E8" s="3102"/>
      <c r="F8" s="3106"/>
      <c r="G8" s="3106"/>
      <c r="H8" s="3089"/>
      <c r="I8" s="3089"/>
      <c r="J8" s="3089"/>
      <c r="K8" s="3089"/>
      <c r="L8" s="3089"/>
      <c r="M8" s="3089"/>
      <c r="N8" s="3089"/>
      <c r="O8" s="3089"/>
      <c r="P8" s="3089"/>
      <c r="Q8" s="3089"/>
      <c r="R8" s="3089"/>
    </row>
    <row r="9" spans="1:18" ht="27">
      <c r="A9" s="3094"/>
      <c r="B9" s="3097" t="s">
        <v>1631</v>
      </c>
      <c r="C9" s="3098" t="s">
        <v>2854</v>
      </c>
      <c r="D9" s="3093"/>
      <c r="E9" s="3102"/>
      <c r="F9" s="3106"/>
      <c r="G9" s="3106"/>
      <c r="H9" s="3089"/>
      <c r="I9" s="3089"/>
      <c r="J9" s="3089"/>
      <c r="K9" s="3089"/>
      <c r="L9" s="3089"/>
      <c r="M9" s="3089"/>
      <c r="N9" s="3089"/>
      <c r="O9" s="3089"/>
      <c r="P9" s="3089"/>
      <c r="Q9" s="3089"/>
      <c r="R9" s="3089"/>
    </row>
    <row r="10" spans="1:18" s="3113" customFormat="1" ht="15" thickBot="1">
      <c r="A10" s="3107"/>
      <c r="B10" s="3108" t="s">
        <v>1646</v>
      </c>
      <c r="C10" s="3109"/>
      <c r="D10" s="3093"/>
      <c r="E10" s="3093"/>
      <c r="F10" s="3106"/>
      <c r="G10" s="3106"/>
      <c r="H10" s="3110"/>
      <c r="I10" s="3111"/>
      <c r="J10" s="3112"/>
      <c r="K10" s="3110"/>
      <c r="L10" s="3111"/>
      <c r="M10" s="3112"/>
      <c r="N10" s="3110"/>
      <c r="O10" s="3111"/>
      <c r="P10" s="3112"/>
      <c r="Q10" s="3110"/>
      <c r="R10" s="3111"/>
    </row>
    <row r="11" spans="1:18" s="3113" customFormat="1">
      <c r="A11" s="3114"/>
      <c r="B11" s="3102"/>
      <c r="C11" s="3093"/>
      <c r="D11" s="3093"/>
      <c r="E11" s="3093"/>
      <c r="F11" s="3102"/>
      <c r="G11" s="3115"/>
      <c r="H11" s="3110"/>
      <c r="I11" s="3111"/>
      <c r="J11" s="3112"/>
      <c r="K11" s="3110"/>
      <c r="L11" s="3111"/>
      <c r="M11" s="3112"/>
      <c r="N11" s="3110"/>
      <c r="O11" s="3111"/>
      <c r="P11" s="3112"/>
      <c r="Q11" s="3110"/>
      <c r="R11" s="3111"/>
    </row>
    <row r="12" spans="1:18" s="3083" customFormat="1" ht="18.75">
      <c r="A12" s="3114"/>
      <c r="B12" s="3102"/>
      <c r="C12" s="3093"/>
      <c r="D12" s="3116"/>
      <c r="E12" s="3093"/>
      <c r="F12" s="3102"/>
      <c r="G12" s="3115"/>
      <c r="H12" s="3117"/>
      <c r="I12" s="3118"/>
      <c r="J12" s="3117"/>
      <c r="K12" s="3117"/>
      <c r="L12" s="3119"/>
      <c r="M12" s="3117"/>
      <c r="N12" s="3120"/>
      <c r="O12" s="3121"/>
      <c r="P12" s="3122"/>
      <c r="Q12" s="3120"/>
      <c r="R12" s="3082"/>
    </row>
    <row r="13" spans="1:18" ht="19.5" thickBot="1">
      <c r="A13" s="3123" t="s">
        <v>1647</v>
      </c>
      <c r="B13" s="3116"/>
      <c r="C13" s="3116"/>
      <c r="D13" s="3087"/>
      <c r="E13" s="3116"/>
      <c r="F13" s="3116"/>
      <c r="G13" s="3116"/>
    </row>
    <row r="14" spans="1:18" ht="14.25" thickBot="1">
      <c r="A14" s="3128"/>
      <c r="B14" s="3128"/>
      <c r="C14" s="3129" t="s">
        <v>1639</v>
      </c>
      <c r="D14" s="3093"/>
      <c r="E14" s="3130"/>
      <c r="F14" s="3130"/>
      <c r="G14" s="3086" t="s">
        <v>1640</v>
      </c>
    </row>
    <row r="15" spans="1:18" ht="40.5">
      <c r="A15" s="3131" t="s">
        <v>1632</v>
      </c>
      <c r="B15" s="3132" t="s">
        <v>1628</v>
      </c>
      <c r="C15" s="3133" t="str">
        <f>C3</f>
        <v>估价对象周边居住用地比例、居住小区规模和社区发展完善程度，综合评价居住社区成熟度一般</v>
      </c>
      <c r="D15" s="3093"/>
      <c r="E15" s="3134" t="s">
        <v>1633</v>
      </c>
      <c r="F15" s="3132" t="s">
        <v>1648</v>
      </c>
      <c r="G15" s="3135" t="str">
        <f>G3</f>
        <v>估价对象位于XX开发区，园区建设成熟度XX，产业集聚程度XX</v>
      </c>
    </row>
    <row r="16" spans="1:18" ht="40.5">
      <c r="A16" s="3136"/>
      <c r="B16" s="3137" t="s">
        <v>1642</v>
      </c>
      <c r="C16" s="3138" t="str">
        <f>C4</f>
        <v>估价对象位于XX商圈，周边商业氛围成熟，人流量大，商业繁华度好</v>
      </c>
      <c r="D16" s="3093"/>
      <c r="E16" s="3139"/>
      <c r="F16" s="3140" t="s">
        <v>1643</v>
      </c>
      <c r="G16" s="3141" t="str">
        <f>G4</f>
        <v>估价对象周边道路状况、公共交通通达情况、停车便捷程度，综合评价交通便捷度较好</v>
      </c>
    </row>
    <row r="17" spans="1:7" ht="40.5">
      <c r="A17" s="3136"/>
      <c r="B17" s="3137" t="s">
        <v>1644</v>
      </c>
      <c r="C17" s="3138" t="str">
        <f>C5</f>
        <v>估价对象位于XX商圈，周边办公楼项目较多，入驻率高，办公集聚程度较好</v>
      </c>
      <c r="D17" s="3102"/>
      <c r="E17" s="3139"/>
      <c r="F17" s="3140" t="s">
        <v>1649</v>
      </c>
      <c r="G17" s="3142"/>
    </row>
    <row r="18" spans="1:7" ht="40.5">
      <c r="A18" s="3136"/>
      <c r="B18" s="3140" t="s">
        <v>1630</v>
      </c>
      <c r="C18" s="3141" t="str">
        <f>C6</f>
        <v>估价对象周边道路状况、公共交通通达情况、停车便捷程度，综合评价交通便捷度较好</v>
      </c>
      <c r="D18" s="3102"/>
      <c r="E18" s="3139"/>
      <c r="F18" s="3140" t="s">
        <v>1645</v>
      </c>
      <c r="G18" s="3141" t="str">
        <f>G7</f>
        <v>该园区内是否有污染型企业，绿化情况，卫生条件，整体环境状况判断</v>
      </c>
    </row>
    <row r="19" spans="1:7" ht="27">
      <c r="A19" s="3136"/>
      <c r="B19" s="3140" t="s">
        <v>1634</v>
      </c>
      <c r="C19" s="3142"/>
      <c r="D19" s="3093"/>
      <c r="E19" s="3139"/>
      <c r="F19" s="3097" t="s">
        <v>2500</v>
      </c>
      <c r="G19" s="3141" t="str">
        <f>G5</f>
        <v>估价对象所在区域公共配套设施齐备情况</v>
      </c>
    </row>
    <row r="20" spans="1:7" ht="27">
      <c r="A20" s="3136"/>
      <c r="B20" s="3140" t="s">
        <v>1635</v>
      </c>
      <c r="C20" s="3138" t="str">
        <f>C9</f>
        <v>区域自然环境：；人文环境；综合评价环境状况一般</v>
      </c>
      <c r="D20" s="3102"/>
      <c r="E20" s="3139"/>
      <c r="F20" s="3097" t="s">
        <v>2501</v>
      </c>
      <c r="G20" s="3141" t="str">
        <f>G6</f>
        <v>估价对象所在区域基础设施水平</v>
      </c>
    </row>
    <row r="21" spans="1:7" ht="27">
      <c r="A21" s="3136"/>
      <c r="B21" s="3097" t="s">
        <v>2500</v>
      </c>
      <c r="C21" s="3141" t="str">
        <f>C7</f>
        <v>估价对象所在区域公共配套设施齐备情况</v>
      </c>
      <c r="D21" s="3093"/>
      <c r="E21" s="3139"/>
      <c r="F21" s="3140" t="s">
        <v>1636</v>
      </c>
      <c r="G21" s="3143"/>
    </row>
    <row r="22" spans="1:7" ht="14.25">
      <c r="A22" s="3136"/>
      <c r="B22" s="3097" t="s">
        <v>2501</v>
      </c>
      <c r="C22" s="3141" t="str">
        <f>C8</f>
        <v>估价对象所在区域基础设施水平</v>
      </c>
      <c r="D22" s="3093"/>
      <c r="E22" s="3139"/>
      <c r="F22" s="3140" t="s">
        <v>1646</v>
      </c>
      <c r="G22" s="3142"/>
    </row>
    <row r="23" spans="1:7" ht="15" thickBot="1">
      <c r="A23" s="3136"/>
      <c r="B23" s="3140" t="s">
        <v>1636</v>
      </c>
      <c r="C23" s="3143"/>
      <c r="E23" s="3144"/>
      <c r="F23" s="3145" t="s">
        <v>1650</v>
      </c>
      <c r="G23" s="3146"/>
    </row>
    <row r="24" spans="1:7" ht="14.25" thickBot="1">
      <c r="A24" s="3147"/>
      <c r="B24" s="3145" t="s">
        <v>1637</v>
      </c>
      <c r="C24" s="3148">
        <f>C10</f>
        <v>0</v>
      </c>
      <c r="E24" s="3149"/>
      <c r="F24" s="3149"/>
      <c r="G24" s="3150"/>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52" customWidth="1"/>
    <col min="2" max="16384" width="14.625" style="3152"/>
  </cols>
  <sheetData>
    <row r="1" spans="1:10" ht="16.5">
      <c r="A1" s="3151" t="s">
        <v>2793</v>
      </c>
      <c r="B1" s="3151">
        <f>SUM(B14:B23)</f>
        <v>18388.8</v>
      </c>
      <c r="C1" s="3160"/>
      <c r="D1" s="3160"/>
      <c r="E1" s="3160"/>
      <c r="F1" s="3160"/>
      <c r="G1" s="3161"/>
      <c r="H1" s="3161"/>
      <c r="I1" s="3161"/>
      <c r="J1" s="3161"/>
    </row>
    <row r="2" spans="1:10" ht="16.5">
      <c r="A2" s="3151" t="s">
        <v>2794</v>
      </c>
      <c r="B2" s="3151">
        <f>SUM(C14:C23)</f>
        <v>18388.8</v>
      </c>
      <c r="C2" s="3160"/>
      <c r="D2" s="3160"/>
      <c r="E2" s="3160"/>
      <c r="F2" s="3160"/>
      <c r="G2" s="3161"/>
      <c r="H2" s="3161"/>
      <c r="I2" s="3161"/>
      <c r="J2" s="3161"/>
    </row>
    <row r="3" spans="1:10" ht="16.5">
      <c r="A3" s="3151" t="s">
        <v>2795</v>
      </c>
      <c r="B3" s="3153">
        <f>项目基本情况!D3</f>
        <v>44623</v>
      </c>
      <c r="C3" s="3160"/>
      <c r="D3" s="3160"/>
      <c r="E3" s="3160"/>
      <c r="F3" s="3160"/>
      <c r="G3" s="3161"/>
      <c r="H3" s="3161"/>
      <c r="I3" s="3161"/>
      <c r="J3" s="3161"/>
    </row>
    <row r="4" spans="1:10" ht="33">
      <c r="A4" s="3151" t="s">
        <v>2796</v>
      </c>
      <c r="B4" s="3151" t="s">
        <v>2797</v>
      </c>
      <c r="C4" s="3151" t="s">
        <v>2798</v>
      </c>
      <c r="D4" s="3151" t="s">
        <v>2799</v>
      </c>
      <c r="E4" s="3160"/>
      <c r="F4" s="3160"/>
      <c r="G4" s="3161"/>
      <c r="H4" s="3161"/>
      <c r="I4" s="3161"/>
      <c r="J4" s="3161"/>
    </row>
    <row r="5" spans="1:10" ht="16.5">
      <c r="A5" s="3151" t="s">
        <v>2800</v>
      </c>
      <c r="B5" s="3151" t="e">
        <f ca="1">SUM(D14:D23)</f>
        <v>#REF!</v>
      </c>
      <c r="C5" s="3151" t="e">
        <f ca="1">ROUND(B5*10000/$B$1,0)</f>
        <v>#REF!</v>
      </c>
      <c r="D5" s="3151" t="e">
        <f ca="1">ROUND(B5*10000/$B$2,0)</f>
        <v>#REF!</v>
      </c>
      <c r="E5" s="3160"/>
      <c r="F5" s="3160"/>
      <c r="G5" s="3161"/>
      <c r="H5" s="3161"/>
      <c r="I5" s="3161"/>
      <c r="J5" s="3161"/>
    </row>
    <row r="6" spans="1:10" ht="16.5">
      <c r="A6" s="3151" t="s">
        <v>2801</v>
      </c>
      <c r="B6" s="3151">
        <f>SUM(G14:G23)</f>
        <v>0</v>
      </c>
      <c r="C6" s="3151">
        <f t="shared" ref="C6:C8" si="0">ROUND(B6*10000/$B$1,0)</f>
        <v>0</v>
      </c>
      <c r="D6" s="3151">
        <f t="shared" ref="D6:D8" si="1">ROUND(B6*10000/$B$2,0)</f>
        <v>0</v>
      </c>
      <c r="E6" s="3160"/>
      <c r="F6" s="3160"/>
      <c r="G6" s="3161"/>
      <c r="H6" s="3161"/>
      <c r="I6" s="3161"/>
      <c r="J6" s="3161"/>
    </row>
    <row r="7" spans="1:10" ht="16.5">
      <c r="A7" s="3151" t="s">
        <v>2802</v>
      </c>
      <c r="B7" s="3151">
        <f>SUM(H14:H23)</f>
        <v>0</v>
      </c>
      <c r="C7" s="3151">
        <f t="shared" si="0"/>
        <v>0</v>
      </c>
      <c r="D7" s="3151">
        <f t="shared" si="1"/>
        <v>0</v>
      </c>
      <c r="E7" s="3160"/>
      <c r="F7" s="3160"/>
      <c r="G7" s="3161"/>
      <c r="H7" s="3161"/>
      <c r="I7" s="3161"/>
      <c r="J7" s="3161"/>
    </row>
    <row r="8" spans="1:10" ht="16.5">
      <c r="A8" s="3151" t="s">
        <v>2803</v>
      </c>
      <c r="B8" s="3151">
        <f>SUM(I14:I23)</f>
        <v>0</v>
      </c>
      <c r="C8" s="3151">
        <f t="shared" si="0"/>
        <v>0</v>
      </c>
      <c r="D8" s="3151">
        <f t="shared" si="1"/>
        <v>0</v>
      </c>
      <c r="E8" s="3160"/>
      <c r="F8" s="3160"/>
      <c r="G8" s="3161"/>
      <c r="H8" s="3161"/>
      <c r="I8" s="3161"/>
      <c r="J8" s="3161"/>
    </row>
    <row r="9" spans="1:10" ht="16.5">
      <c r="A9" s="3151" t="s">
        <v>2804</v>
      </c>
      <c r="B9" s="3159"/>
      <c r="C9" s="3160"/>
      <c r="D9" s="3160"/>
      <c r="E9" s="3160"/>
      <c r="F9" s="3160"/>
      <c r="G9" s="3161"/>
      <c r="H9" s="3161"/>
      <c r="I9" s="3161"/>
      <c r="J9" s="3161"/>
    </row>
    <row r="10" spans="1:10" ht="16.5">
      <c r="A10" s="3151" t="s">
        <v>2805</v>
      </c>
      <c r="B10" s="3159"/>
      <c r="C10" s="3160"/>
      <c r="D10" s="3160"/>
      <c r="E10" s="3160"/>
      <c r="F10" s="3160"/>
      <c r="G10" s="3161"/>
      <c r="H10" s="3161"/>
      <c r="I10" s="3161"/>
      <c r="J10" s="3161"/>
    </row>
    <row r="11" spans="1:10" ht="16.5">
      <c r="A11" s="3151" t="s">
        <v>2822</v>
      </c>
      <c r="B11" s="3159"/>
      <c r="C11" s="3160"/>
      <c r="D11" s="3160"/>
      <c r="E11" s="3160"/>
      <c r="F11" s="3160"/>
      <c r="G11" s="3161"/>
      <c r="H11" s="3161"/>
      <c r="I11" s="3161"/>
      <c r="J11" s="3161"/>
    </row>
    <row r="12" spans="1:10" ht="16.5">
      <c r="A12" s="3160"/>
      <c r="B12" s="3160"/>
      <c r="C12" s="3160"/>
      <c r="D12" s="3160"/>
      <c r="E12" s="3160"/>
      <c r="F12" s="3160"/>
      <c r="G12" s="3161"/>
      <c r="H12" s="3161"/>
      <c r="I12" s="3161"/>
      <c r="J12" s="3161"/>
    </row>
    <row r="13" spans="1:10" ht="33">
      <c r="A13" s="3154" t="s">
        <v>2821</v>
      </c>
      <c r="B13" s="3155" t="s">
        <v>2793</v>
      </c>
      <c r="C13" s="3155" t="s">
        <v>2794</v>
      </c>
      <c r="D13" s="3155" t="s">
        <v>2806</v>
      </c>
      <c r="E13" s="3151" t="s">
        <v>2820</v>
      </c>
      <c r="F13" s="3151" t="s">
        <v>2799</v>
      </c>
      <c r="G13" s="3155" t="s">
        <v>2807</v>
      </c>
      <c r="H13" s="3155" t="s">
        <v>2808</v>
      </c>
      <c r="I13" s="3155" t="s">
        <v>2809</v>
      </c>
      <c r="J13" s="3161"/>
    </row>
    <row r="14" spans="1:10" ht="16.5">
      <c r="A14" s="3156" t="s">
        <v>2819</v>
      </c>
      <c r="B14" s="3157">
        <f>结果表!L38</f>
        <v>18388.8</v>
      </c>
      <c r="C14" s="3157">
        <f>结果表!K38</f>
        <v>18388.8</v>
      </c>
      <c r="D14" s="3157" t="e">
        <f ca="1">结果表!C42</f>
        <v>#REF!</v>
      </c>
      <c r="E14" s="3157" t="e">
        <f ca="1">ROUND(D14*10000/B14,0)</f>
        <v>#REF!</v>
      </c>
      <c r="F14" s="3157" t="e">
        <f ca="1">ROUND(D14*10000/C14,0)</f>
        <v>#REF!</v>
      </c>
      <c r="G14" s="3157" t="str">
        <f>结果表!C44</f>
        <v>——</v>
      </c>
      <c r="H14" s="3157" t="str">
        <f>结果表!C45</f>
        <v>——</v>
      </c>
      <c r="I14" s="3157" t="str">
        <f>结果表!C46</f>
        <v>——</v>
      </c>
      <c r="J14" s="3161"/>
    </row>
    <row r="15" spans="1:10" ht="16.5">
      <c r="A15" s="3156" t="s">
        <v>2810</v>
      </c>
      <c r="B15" s="3158"/>
      <c r="C15" s="3158"/>
      <c r="D15" s="3158"/>
      <c r="E15" s="3157" t="e">
        <f t="shared" ref="E15:E23" si="2">ROUND(D15*10000/B15,0)</f>
        <v>#DIV/0!</v>
      </c>
      <c r="F15" s="3157" t="e">
        <f t="shared" ref="F15:F23" si="3">ROUND(D15*10000/C15,0)</f>
        <v>#DIV/0!</v>
      </c>
      <c r="G15" s="2723"/>
      <c r="H15" s="2723"/>
      <c r="I15" s="3158"/>
      <c r="J15" s="3161"/>
    </row>
    <row r="16" spans="1:10" ht="16.5">
      <c r="A16" s="3156" t="s">
        <v>2811</v>
      </c>
      <c r="B16" s="3158"/>
      <c r="C16" s="3158"/>
      <c r="D16" s="3158"/>
      <c r="E16" s="3157" t="e">
        <f t="shared" si="2"/>
        <v>#DIV/0!</v>
      </c>
      <c r="F16" s="3157" t="e">
        <f t="shared" si="3"/>
        <v>#DIV/0!</v>
      </c>
      <c r="G16" s="2723"/>
      <c r="H16" s="2723"/>
      <c r="I16" s="3158"/>
      <c r="J16" s="3161"/>
    </row>
    <row r="17" spans="1:10" ht="16.5">
      <c r="A17" s="3156" t="s">
        <v>2812</v>
      </c>
      <c r="B17" s="3158"/>
      <c r="C17" s="3158"/>
      <c r="D17" s="3158"/>
      <c r="E17" s="3157" t="e">
        <f t="shared" si="2"/>
        <v>#DIV/0!</v>
      </c>
      <c r="F17" s="3157" t="e">
        <f t="shared" si="3"/>
        <v>#DIV/0!</v>
      </c>
      <c r="G17" s="2723"/>
      <c r="H17" s="2723"/>
      <c r="I17" s="3158"/>
      <c r="J17" s="3161"/>
    </row>
    <row r="18" spans="1:10" ht="16.5">
      <c r="A18" s="3156" t="s">
        <v>2813</v>
      </c>
      <c r="B18" s="3158"/>
      <c r="C18" s="3158"/>
      <c r="D18" s="3158"/>
      <c r="E18" s="3157" t="e">
        <f t="shared" si="2"/>
        <v>#DIV/0!</v>
      </c>
      <c r="F18" s="3157" t="e">
        <f t="shared" si="3"/>
        <v>#DIV/0!</v>
      </c>
      <c r="G18" s="3158"/>
      <c r="H18" s="3158"/>
      <c r="I18" s="3158"/>
      <c r="J18" s="3161"/>
    </row>
    <row r="19" spans="1:10" ht="16.5">
      <c r="A19" s="3156" t="s">
        <v>2814</v>
      </c>
      <c r="B19" s="3158"/>
      <c r="C19" s="3158"/>
      <c r="D19" s="3158"/>
      <c r="E19" s="3157" t="e">
        <f t="shared" si="2"/>
        <v>#DIV/0!</v>
      </c>
      <c r="F19" s="3157" t="e">
        <f t="shared" si="3"/>
        <v>#DIV/0!</v>
      </c>
      <c r="G19" s="3158"/>
      <c r="H19" s="3158"/>
      <c r="I19" s="3158"/>
      <c r="J19" s="3161"/>
    </row>
    <row r="20" spans="1:10" ht="16.5">
      <c r="A20" s="3156" t="s">
        <v>2815</v>
      </c>
      <c r="B20" s="3158"/>
      <c r="C20" s="3158"/>
      <c r="D20" s="3158"/>
      <c r="E20" s="3157" t="e">
        <f t="shared" si="2"/>
        <v>#DIV/0!</v>
      </c>
      <c r="F20" s="3157" t="e">
        <f t="shared" si="3"/>
        <v>#DIV/0!</v>
      </c>
      <c r="G20" s="3158"/>
      <c r="H20" s="3158"/>
      <c r="I20" s="3158"/>
      <c r="J20" s="3161"/>
    </row>
    <row r="21" spans="1:10" ht="16.5">
      <c r="A21" s="3156" t="s">
        <v>2816</v>
      </c>
      <c r="B21" s="3158"/>
      <c r="C21" s="3158"/>
      <c r="D21" s="3158"/>
      <c r="E21" s="3157" t="e">
        <f t="shared" si="2"/>
        <v>#DIV/0!</v>
      </c>
      <c r="F21" s="3157" t="e">
        <f t="shared" si="3"/>
        <v>#DIV/0!</v>
      </c>
      <c r="G21" s="3158"/>
      <c r="H21" s="3158"/>
      <c r="I21" s="3158"/>
      <c r="J21" s="3161"/>
    </row>
    <row r="22" spans="1:10" ht="16.5">
      <c r="A22" s="3156" t="s">
        <v>2817</v>
      </c>
      <c r="B22" s="3158"/>
      <c r="C22" s="3158"/>
      <c r="D22" s="3158"/>
      <c r="E22" s="3157" t="e">
        <f t="shared" si="2"/>
        <v>#DIV/0!</v>
      </c>
      <c r="F22" s="3157" t="e">
        <f t="shared" si="3"/>
        <v>#DIV/0!</v>
      </c>
      <c r="G22" s="3158"/>
      <c r="H22" s="3158"/>
      <c r="I22" s="3158"/>
      <c r="J22" s="3161"/>
    </row>
    <row r="23" spans="1:10" ht="16.5">
      <c r="A23" s="3156" t="s">
        <v>2818</v>
      </c>
      <c r="B23" s="3158"/>
      <c r="C23" s="3158"/>
      <c r="D23" s="3158"/>
      <c r="E23" s="3159" t="e">
        <f t="shared" si="2"/>
        <v>#DIV/0!</v>
      </c>
      <c r="F23" s="3159" t="e">
        <f t="shared" si="3"/>
        <v>#DIV/0!</v>
      </c>
      <c r="G23" s="3158"/>
      <c r="H23" s="3158"/>
      <c r="I23" s="3158"/>
      <c r="J23" s="3161"/>
    </row>
    <row r="24" spans="1:10">
      <c r="A24" s="3161"/>
      <c r="B24" s="3161"/>
      <c r="C24" s="3161"/>
      <c r="D24" s="3161"/>
      <c r="E24" s="3161"/>
      <c r="F24" s="3161"/>
      <c r="G24" s="3161"/>
      <c r="H24" s="3161"/>
      <c r="I24" s="3161"/>
      <c r="J24" s="3161"/>
    </row>
    <row r="25" spans="1:10">
      <c r="A25" s="3161"/>
      <c r="B25" s="3161"/>
      <c r="C25" s="3161"/>
      <c r="D25" s="3161"/>
      <c r="E25" s="3161"/>
      <c r="F25" s="3161"/>
      <c r="G25" s="3161"/>
      <c r="H25" s="3161"/>
      <c r="I25" s="3161"/>
      <c r="J25" s="3161"/>
    </row>
    <row r="26" spans="1:10">
      <c r="A26" s="3161"/>
      <c r="B26" s="3161"/>
      <c r="C26" s="3161"/>
      <c r="D26" s="3161"/>
      <c r="E26" s="3161"/>
      <c r="F26" s="3161"/>
      <c r="G26" s="3161"/>
      <c r="H26" s="3161"/>
      <c r="I26" s="3161"/>
      <c r="J26" s="316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B0478-08A1-4CC7-A27E-9DC1E954D2E9}">
  <sheetPr>
    <tabColor rgb="FFFF0000"/>
  </sheetPr>
  <dimension ref="A1:P22"/>
  <sheetViews>
    <sheetView tabSelected="1" topLeftCell="C1" workbookViewId="0">
      <selection activeCell="G7" sqref="G7"/>
    </sheetView>
  </sheetViews>
  <sheetFormatPr defaultRowHeight="13.5"/>
  <cols>
    <col min="4" max="4" width="13.625" customWidth="1"/>
    <col min="5" max="6" width="11.875" customWidth="1"/>
    <col min="8" max="8" width="11" customWidth="1"/>
    <col min="9" max="9" width="15" customWidth="1"/>
  </cols>
  <sheetData>
    <row r="1" spans="1:16">
      <c r="B1" s="3213" t="s">
        <v>3127</v>
      </c>
      <c r="C1" s="3213" t="s">
        <v>3128</v>
      </c>
      <c r="D1" s="3213" t="s">
        <v>3131</v>
      </c>
      <c r="E1" s="3213" t="s">
        <v>3132</v>
      </c>
      <c r="F1" s="3213" t="s">
        <v>3133</v>
      </c>
      <c r="G1" s="3447" t="s">
        <v>3129</v>
      </c>
      <c r="H1" s="3447" t="s">
        <v>2888</v>
      </c>
      <c r="I1" s="3447" t="s">
        <v>3134</v>
      </c>
    </row>
    <row r="2" spans="1:16">
      <c r="A2" s="3213" t="s">
        <v>3129</v>
      </c>
      <c r="B2">
        <f ca="1">基准地价!C29</f>
        <v>5338</v>
      </c>
      <c r="C2">
        <f ca="1">'剩余法-待开发'!B3</f>
        <v>3400</v>
      </c>
      <c r="D2">
        <f ca="1">ROUND(B3*B2+C3*C2,0)</f>
        <v>4757</v>
      </c>
      <c r="E2" s="3503">
        <f>O22</f>
        <v>0.3003769230769231</v>
      </c>
      <c r="F2">
        <f ca="1">成本逼近法!B3</f>
        <v>5506</v>
      </c>
      <c r="G2" s="3447"/>
      <c r="H2" s="3447"/>
      <c r="I2" s="3447"/>
    </row>
    <row r="3" spans="1:16">
      <c r="A3" s="3213" t="s">
        <v>3130</v>
      </c>
      <c r="B3" s="3443">
        <v>0.7</v>
      </c>
      <c r="C3" s="3443">
        <f>1-B3</f>
        <v>0.30000000000000004</v>
      </c>
      <c r="E3" s="3443">
        <v>0.3</v>
      </c>
      <c r="F3" s="3443">
        <f>1-E3</f>
        <v>0.7</v>
      </c>
      <c r="G3" s="3447">
        <f ca="1">ROUND(E4*E3+F3*F2,0)</f>
        <v>4853</v>
      </c>
      <c r="H3" s="3447">
        <f>'数据-汇总表'!D3</f>
        <v>18388.8</v>
      </c>
      <c r="I3" s="3447">
        <f ca="1">H3*G3/10000</f>
        <v>8924.0846399999991</v>
      </c>
    </row>
    <row r="4" spans="1:16">
      <c r="B4">
        <f ca="1">B2/C2</f>
        <v>1.57</v>
      </c>
      <c r="C4">
        <f ca="1">C2/B2</f>
        <v>0.63694267515923564</v>
      </c>
      <c r="E4">
        <f ca="1">ROUND(D2*(1-E2),0)</f>
        <v>3328</v>
      </c>
      <c r="G4" s="3447">
        <f ca="1">G3*666.67/10000</f>
        <v>323.53495099999998</v>
      </c>
    </row>
    <row r="8" spans="1:16" s="2624" customFormat="1">
      <c r="A8" s="2624" t="s">
        <v>3262</v>
      </c>
      <c r="B8" s="2624" t="s">
        <v>3263</v>
      </c>
      <c r="C8" s="2624" t="s">
        <v>3264</v>
      </c>
      <c r="D8" s="2624" t="s">
        <v>3265</v>
      </c>
      <c r="E8" s="2624" t="s">
        <v>3266</v>
      </c>
      <c r="F8" s="2624" t="s">
        <v>1999</v>
      </c>
      <c r="G8" s="2624" t="s">
        <v>3267</v>
      </c>
      <c r="H8" s="2624" t="s">
        <v>3268</v>
      </c>
      <c r="I8" s="2624" t="s">
        <v>3269</v>
      </c>
      <c r="J8" s="2624" t="s">
        <v>3270</v>
      </c>
      <c r="K8" s="2624" t="s">
        <v>3271</v>
      </c>
      <c r="L8" s="2624" t="s">
        <v>3272</v>
      </c>
      <c r="M8" s="2624" t="s">
        <v>3273</v>
      </c>
      <c r="N8" s="2624" t="s">
        <v>3274</v>
      </c>
      <c r="O8" s="2624" t="s">
        <v>3132</v>
      </c>
    </row>
    <row r="9" spans="1:16" s="2624" customFormat="1">
      <c r="A9" s="2624" t="s">
        <v>3275</v>
      </c>
      <c r="B9" s="2624" t="s">
        <v>3276</v>
      </c>
      <c r="C9" s="2624" t="s">
        <v>3277</v>
      </c>
      <c r="D9" s="2624">
        <v>12066.9</v>
      </c>
      <c r="E9" s="2624">
        <v>18100.349999999999</v>
      </c>
      <c r="F9" s="2624">
        <v>1.5</v>
      </c>
      <c r="G9" s="2624" t="s">
        <v>3278</v>
      </c>
      <c r="H9" s="3500">
        <v>44621.000497685185</v>
      </c>
      <c r="I9" s="2624" t="s">
        <v>3279</v>
      </c>
      <c r="J9" s="2624" t="s">
        <v>3280</v>
      </c>
      <c r="K9" s="2624">
        <v>9400</v>
      </c>
      <c r="L9" s="2624">
        <v>5193</v>
      </c>
      <c r="M9" s="2624">
        <v>1712.57</v>
      </c>
      <c r="N9" s="2624">
        <f>K9-M9</f>
        <v>7687.43</v>
      </c>
      <c r="O9" s="3501">
        <f>ROUND(N9/K9,4)</f>
        <v>0.81779999999999997</v>
      </c>
    </row>
    <row r="10" spans="1:16" s="2624" customFormat="1">
      <c r="A10" s="2624" t="s">
        <v>3281</v>
      </c>
      <c r="B10" s="2624" t="s">
        <v>3282</v>
      </c>
      <c r="C10" s="2624" t="s">
        <v>3277</v>
      </c>
      <c r="D10" s="2624">
        <v>15178.6</v>
      </c>
      <c r="E10" s="2624">
        <v>45535.8</v>
      </c>
      <c r="F10" s="2624">
        <v>3</v>
      </c>
      <c r="G10" s="2624" t="s">
        <v>3283</v>
      </c>
      <c r="H10" s="3500">
        <v>44600.000497685185</v>
      </c>
      <c r="I10" s="2624" t="s">
        <v>3279</v>
      </c>
      <c r="J10" s="2624" t="s">
        <v>3284</v>
      </c>
      <c r="K10" s="2624">
        <v>58400</v>
      </c>
      <c r="L10" s="2624">
        <v>12825</v>
      </c>
      <c r="M10" s="2624">
        <v>44325.64</v>
      </c>
      <c r="N10" s="2624">
        <f t="shared" ref="N10:N21" si="0">K10-M10</f>
        <v>14074.36</v>
      </c>
      <c r="O10" s="3501">
        <f t="shared" ref="O10:O21" si="1">ROUND(N10/K10,4)</f>
        <v>0.24099999999999999</v>
      </c>
      <c r="P10" s="3501">
        <f>O10</f>
        <v>0.24099999999999999</v>
      </c>
    </row>
    <row r="11" spans="1:16" s="2624" customFormat="1">
      <c r="A11" s="2624" t="s">
        <v>3285</v>
      </c>
      <c r="B11" s="2624" t="s">
        <v>3286</v>
      </c>
      <c r="C11" s="2624" t="s">
        <v>3277</v>
      </c>
      <c r="D11" s="2624">
        <v>29991.73</v>
      </c>
      <c r="E11" s="2624">
        <v>119966.93</v>
      </c>
      <c r="F11" s="2624">
        <v>4</v>
      </c>
      <c r="G11" s="2624" t="s">
        <v>3283</v>
      </c>
      <c r="H11" s="3500">
        <v>44566.000497685185</v>
      </c>
      <c r="I11" s="2624" t="s">
        <v>3279</v>
      </c>
      <c r="J11" s="2624" t="s">
        <v>3287</v>
      </c>
      <c r="K11" s="2624">
        <v>165300</v>
      </c>
      <c r="L11" s="2624">
        <v>13779</v>
      </c>
      <c r="M11" s="2624">
        <v>132000</v>
      </c>
      <c r="N11" s="2624">
        <f t="shared" si="0"/>
        <v>33300</v>
      </c>
      <c r="O11" s="3501">
        <f t="shared" si="1"/>
        <v>0.20150000000000001</v>
      </c>
      <c r="P11" s="3501">
        <f t="shared" ref="P11:P21" si="2">O11</f>
        <v>0.20150000000000001</v>
      </c>
    </row>
    <row r="12" spans="1:16" s="2624" customFormat="1">
      <c r="A12" s="2624" t="s">
        <v>3288</v>
      </c>
      <c r="B12" s="2624" t="s">
        <v>3289</v>
      </c>
      <c r="C12" s="2624" t="s">
        <v>3277</v>
      </c>
      <c r="D12" s="2624">
        <v>15197.52</v>
      </c>
      <c r="E12" s="2624">
        <v>30395.05</v>
      </c>
      <c r="F12" s="2624">
        <v>2</v>
      </c>
      <c r="G12" s="2624" t="s">
        <v>3290</v>
      </c>
      <c r="H12" s="3500">
        <v>44554.000497685185</v>
      </c>
      <c r="I12" s="2624" t="s">
        <v>3279</v>
      </c>
      <c r="J12" s="2624" t="s">
        <v>3291</v>
      </c>
      <c r="K12" s="2624">
        <v>42600</v>
      </c>
      <c r="L12" s="2624">
        <v>14015</v>
      </c>
      <c r="M12" s="2624">
        <v>28927.01</v>
      </c>
      <c r="N12" s="2624">
        <f t="shared" si="0"/>
        <v>13672.990000000002</v>
      </c>
      <c r="O12" s="3501">
        <f t="shared" si="1"/>
        <v>0.32100000000000001</v>
      </c>
      <c r="P12" s="3501">
        <f t="shared" si="2"/>
        <v>0.32100000000000001</v>
      </c>
    </row>
    <row r="13" spans="1:16" s="2624" customFormat="1">
      <c r="A13" s="2624" t="s">
        <v>3292</v>
      </c>
      <c r="B13" s="2624" t="s">
        <v>3293</v>
      </c>
      <c r="C13" s="2624" t="s">
        <v>3277</v>
      </c>
      <c r="D13" s="2624">
        <v>204418.11</v>
      </c>
      <c r="E13" s="2624">
        <v>302000</v>
      </c>
      <c r="F13" s="2624">
        <v>1.5</v>
      </c>
      <c r="G13" s="2624" t="s">
        <v>3283</v>
      </c>
      <c r="H13" s="3500">
        <v>44495.000497685185</v>
      </c>
      <c r="I13" s="2624" t="s">
        <v>3279</v>
      </c>
      <c r="J13" s="2624" t="s">
        <v>3294</v>
      </c>
      <c r="K13" s="2624">
        <v>506700</v>
      </c>
      <c r="L13" s="2624">
        <v>16778</v>
      </c>
      <c r="M13" s="2624">
        <v>434880</v>
      </c>
      <c r="N13" s="2624">
        <f t="shared" si="0"/>
        <v>71820</v>
      </c>
      <c r="O13" s="3501">
        <f t="shared" si="1"/>
        <v>0.14169999999999999</v>
      </c>
      <c r="P13" s="3501"/>
    </row>
    <row r="14" spans="1:16" s="2624" customFormat="1">
      <c r="A14" s="2624" t="s">
        <v>3295</v>
      </c>
      <c r="B14" s="2624" t="s">
        <v>3296</v>
      </c>
      <c r="C14" s="2624" t="s">
        <v>3277</v>
      </c>
      <c r="D14" s="2624">
        <v>17147.95</v>
      </c>
      <c r="E14" s="2624">
        <v>53158.65</v>
      </c>
      <c r="F14" s="2624" t="s">
        <v>3297</v>
      </c>
      <c r="G14" s="2624" t="s">
        <v>3298</v>
      </c>
      <c r="H14" s="3500">
        <v>44335.000497685185</v>
      </c>
      <c r="I14" s="2624" t="s">
        <v>3279</v>
      </c>
      <c r="J14" s="2624" t="s">
        <v>3299</v>
      </c>
      <c r="K14" s="2624">
        <v>69200</v>
      </c>
      <c r="L14" s="2624">
        <v>13018</v>
      </c>
      <c r="M14" s="2624">
        <v>55529.53</v>
      </c>
      <c r="N14" s="2624">
        <f t="shared" si="0"/>
        <v>13670.470000000001</v>
      </c>
      <c r="O14" s="3501">
        <f t="shared" si="1"/>
        <v>0.1976</v>
      </c>
      <c r="P14" s="3501">
        <f t="shared" si="2"/>
        <v>0.1976</v>
      </c>
    </row>
    <row r="15" spans="1:16" s="2624" customFormat="1">
      <c r="A15" s="2624" t="s">
        <v>3300</v>
      </c>
      <c r="B15" s="2624" t="s">
        <v>3301</v>
      </c>
      <c r="C15" s="2624" t="s">
        <v>3277</v>
      </c>
      <c r="D15" s="2624">
        <v>22058.78</v>
      </c>
      <c r="E15" s="2624">
        <v>47390</v>
      </c>
      <c r="F15" s="2624" t="s">
        <v>3302</v>
      </c>
      <c r="G15" s="2624" t="s">
        <v>3283</v>
      </c>
      <c r="H15" s="3500">
        <v>44234.000497685185</v>
      </c>
      <c r="I15" s="2624" t="s">
        <v>3279</v>
      </c>
      <c r="J15" s="2624" t="s">
        <v>3303</v>
      </c>
      <c r="K15" s="2624">
        <v>32700</v>
      </c>
      <c r="L15" s="2624">
        <v>6900</v>
      </c>
      <c r="M15" s="2624">
        <v>24374.6</v>
      </c>
      <c r="N15" s="2624">
        <f t="shared" si="0"/>
        <v>8325.4000000000015</v>
      </c>
      <c r="O15" s="3501">
        <f t="shared" si="1"/>
        <v>0.25459999999999999</v>
      </c>
      <c r="P15" s="3501">
        <f t="shared" si="2"/>
        <v>0.25459999999999999</v>
      </c>
    </row>
    <row r="16" spans="1:16" s="2624" customFormat="1">
      <c r="A16" s="2624" t="s">
        <v>3304</v>
      </c>
      <c r="B16" s="2624" t="s">
        <v>3305</v>
      </c>
      <c r="C16" s="2624" t="s">
        <v>3277</v>
      </c>
      <c r="D16" s="2624">
        <v>25224.15</v>
      </c>
      <c r="E16" s="2624">
        <v>75672.45</v>
      </c>
      <c r="F16" s="2624" t="s">
        <v>3306</v>
      </c>
      <c r="G16" s="2624" t="s">
        <v>3283</v>
      </c>
      <c r="H16" s="3500">
        <v>44193.000497685185</v>
      </c>
      <c r="I16" s="2624" t="s">
        <v>3279</v>
      </c>
      <c r="J16" s="2624" t="s">
        <v>3307</v>
      </c>
      <c r="K16" s="2624">
        <v>60800</v>
      </c>
      <c r="L16" s="2624">
        <v>8035</v>
      </c>
      <c r="M16" s="2624">
        <v>45403</v>
      </c>
      <c r="N16" s="2624">
        <f t="shared" si="0"/>
        <v>15397</v>
      </c>
      <c r="O16" s="3501">
        <f t="shared" si="1"/>
        <v>0.25319999999999998</v>
      </c>
      <c r="P16" s="3501">
        <f t="shared" si="2"/>
        <v>0.25319999999999998</v>
      </c>
    </row>
    <row r="17" spans="1:16" s="2624" customFormat="1">
      <c r="A17" s="2624" t="s">
        <v>3308</v>
      </c>
      <c r="B17" s="2624" t="s">
        <v>3309</v>
      </c>
      <c r="C17" s="2624" t="s">
        <v>3277</v>
      </c>
      <c r="D17" s="2624">
        <v>265269.8</v>
      </c>
      <c r="E17" s="2624">
        <v>665975.69999999995</v>
      </c>
      <c r="F17" s="2624" t="s">
        <v>3310</v>
      </c>
      <c r="G17" s="2624" t="s">
        <v>3283</v>
      </c>
      <c r="H17" s="3500">
        <v>44046.000497685185</v>
      </c>
      <c r="I17" s="2624" t="s">
        <v>3279</v>
      </c>
      <c r="J17" s="2624" t="s">
        <v>3311</v>
      </c>
      <c r="K17" s="2624">
        <v>699300</v>
      </c>
      <c r="L17" s="2624">
        <v>10500</v>
      </c>
      <c r="M17" s="2624">
        <v>532780.46</v>
      </c>
      <c r="N17" s="2624">
        <f t="shared" si="0"/>
        <v>166519.54000000004</v>
      </c>
      <c r="O17" s="3501">
        <f t="shared" si="1"/>
        <v>0.23810000000000001</v>
      </c>
      <c r="P17" s="3501">
        <f t="shared" si="2"/>
        <v>0.23810000000000001</v>
      </c>
    </row>
    <row r="18" spans="1:16" s="2624" customFormat="1">
      <c r="A18" s="2624" t="s">
        <v>3312</v>
      </c>
      <c r="B18" s="2624" t="s">
        <v>3313</v>
      </c>
      <c r="C18" s="2624" t="s">
        <v>3277</v>
      </c>
      <c r="D18" s="2624">
        <v>12501.51</v>
      </c>
      <c r="E18" s="2624">
        <v>37505</v>
      </c>
      <c r="F18" s="2624" t="s">
        <v>3306</v>
      </c>
      <c r="G18" s="2624" t="s">
        <v>3283</v>
      </c>
      <c r="H18" s="3500">
        <v>43923.000497685185</v>
      </c>
      <c r="I18" s="2624" t="s">
        <v>3279</v>
      </c>
      <c r="J18" s="2624" t="s">
        <v>3314</v>
      </c>
      <c r="K18" s="2624">
        <v>56000</v>
      </c>
      <c r="L18" s="2624">
        <v>14931</v>
      </c>
      <c r="M18" s="2624">
        <v>37500</v>
      </c>
      <c r="N18" s="2624">
        <f t="shared" si="0"/>
        <v>18500</v>
      </c>
      <c r="O18" s="3501">
        <f t="shared" si="1"/>
        <v>0.33040000000000003</v>
      </c>
      <c r="P18" s="3501">
        <f t="shared" si="2"/>
        <v>0.33040000000000003</v>
      </c>
    </row>
    <row r="19" spans="1:16" s="2624" customFormat="1">
      <c r="A19" s="2624" t="s">
        <v>3315</v>
      </c>
      <c r="B19" s="2624" t="s">
        <v>3316</v>
      </c>
      <c r="C19" s="2624" t="s">
        <v>3277</v>
      </c>
      <c r="D19" s="2624">
        <v>28003.32</v>
      </c>
      <c r="E19" s="2624">
        <v>70008</v>
      </c>
      <c r="F19" s="2624" t="s">
        <v>3317</v>
      </c>
      <c r="G19" s="2624" t="s">
        <v>3283</v>
      </c>
      <c r="H19" s="3500">
        <v>43755.000497685185</v>
      </c>
      <c r="I19" s="2624" t="s">
        <v>3279</v>
      </c>
      <c r="J19" s="2624" t="s">
        <v>3318</v>
      </c>
      <c r="K19" s="2624">
        <v>97800</v>
      </c>
      <c r="L19" s="2624">
        <v>13970</v>
      </c>
      <c r="M19" s="2624">
        <v>73124.03</v>
      </c>
      <c r="N19" s="2624">
        <f t="shared" si="0"/>
        <v>24675.97</v>
      </c>
      <c r="O19" s="3501">
        <f t="shared" si="1"/>
        <v>0.25230000000000002</v>
      </c>
      <c r="P19" s="3501">
        <f t="shared" si="2"/>
        <v>0.25230000000000002</v>
      </c>
    </row>
    <row r="20" spans="1:16" s="2624" customFormat="1">
      <c r="A20" s="2624" t="s">
        <v>3319</v>
      </c>
      <c r="B20" s="2624" t="s">
        <v>3320</v>
      </c>
      <c r="C20" s="2624" t="s">
        <v>3277</v>
      </c>
      <c r="D20" s="2624">
        <v>42276.47</v>
      </c>
      <c r="E20" s="2624">
        <v>84552.93</v>
      </c>
      <c r="F20" s="2624" t="s">
        <v>3321</v>
      </c>
      <c r="G20" s="2624" t="s">
        <v>3278</v>
      </c>
      <c r="H20" s="3500">
        <v>43706.000497685185</v>
      </c>
      <c r="I20" s="2624" t="s">
        <v>3279</v>
      </c>
      <c r="J20" s="2624" t="s">
        <v>3322</v>
      </c>
      <c r="K20" s="2624">
        <v>96500</v>
      </c>
      <c r="L20" s="2624">
        <v>11413</v>
      </c>
      <c r="M20" s="2624">
        <v>52188.72</v>
      </c>
      <c r="N20" s="2624">
        <f t="shared" si="0"/>
        <v>44311.28</v>
      </c>
      <c r="O20" s="3501">
        <f t="shared" si="1"/>
        <v>0.4592</v>
      </c>
      <c r="P20" s="3501">
        <f t="shared" si="2"/>
        <v>0.4592</v>
      </c>
    </row>
    <row r="21" spans="1:16" s="2624" customFormat="1">
      <c r="A21" s="2624" t="s">
        <v>3323</v>
      </c>
      <c r="B21" s="2624" t="s">
        <v>3324</v>
      </c>
      <c r="C21" s="2624" t="s">
        <v>3277</v>
      </c>
      <c r="D21" s="2624">
        <v>51736.9</v>
      </c>
      <c r="E21" s="2624">
        <v>81600.05</v>
      </c>
      <c r="F21" s="2624" t="s">
        <v>3325</v>
      </c>
      <c r="G21" s="2624" t="s">
        <v>3283</v>
      </c>
      <c r="H21" s="3500">
        <v>43613.000497685185</v>
      </c>
      <c r="I21" s="2624" t="s">
        <v>3279</v>
      </c>
      <c r="J21" s="2624" t="s">
        <v>3326</v>
      </c>
      <c r="K21" s="2624">
        <v>150000</v>
      </c>
      <c r="L21" s="2624">
        <v>18382</v>
      </c>
      <c r="M21" s="2624">
        <v>120526.45</v>
      </c>
      <c r="N21" s="2624">
        <f t="shared" si="0"/>
        <v>29473.550000000003</v>
      </c>
      <c r="O21" s="3501">
        <f t="shared" si="1"/>
        <v>0.19650000000000001</v>
      </c>
      <c r="P21" s="3501">
        <f t="shared" si="2"/>
        <v>0.19650000000000001</v>
      </c>
    </row>
    <row r="22" spans="1:16" s="2624" customFormat="1" ht="14.25">
      <c r="O22" s="3501">
        <f>AVERAGE(O9:O21)</f>
        <v>0.3003769230769231</v>
      </c>
      <c r="P22" s="3502">
        <f>AVERAGE(P9:P21)</f>
        <v>0.26776363636363637</v>
      </c>
    </row>
  </sheetData>
  <phoneticPr fontId="22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3" t="s">
        <v>2022</v>
      </c>
      <c r="B1" s="1664"/>
      <c r="C1" s="1692" t="s">
        <v>2023</v>
      </c>
      <c r="D1" s="1693"/>
      <c r="E1" s="1692" t="s">
        <v>2024</v>
      </c>
      <c r="F1" s="1694"/>
      <c r="G1" s="309"/>
      <c r="H1" s="309"/>
      <c r="I1" s="309"/>
      <c r="J1" s="1883"/>
      <c r="K1" s="1883"/>
      <c r="L1" s="1883"/>
      <c r="M1" s="1883"/>
      <c r="N1" s="1883"/>
      <c r="O1" s="1883"/>
      <c r="P1" s="1883"/>
      <c r="Q1" s="1883"/>
      <c r="R1" s="1883"/>
      <c r="S1" s="1883"/>
      <c r="T1" s="1883"/>
      <c r="U1" s="1883"/>
      <c r="V1" s="1883"/>
    </row>
    <row r="2" spans="1:22" ht="21.75" customHeight="1" thickBot="1">
      <c r="A2" s="3639" t="str">
        <f>项目基本情况!K2</f>
        <v>出让国有建设用地使用权</v>
      </c>
      <c r="B2" s="3640"/>
      <c r="C2" s="3641"/>
      <c r="D2" s="3641"/>
      <c r="E2" s="3641"/>
      <c r="F2" s="3641"/>
      <c r="G2" s="3640"/>
      <c r="H2" s="3640"/>
      <c r="I2" s="3642"/>
      <c r="J2" s="1884"/>
      <c r="K2" s="1883"/>
      <c r="L2" s="1883"/>
      <c r="M2" s="1883"/>
      <c r="N2" s="1883"/>
      <c r="O2" s="1883"/>
      <c r="P2" s="1883"/>
      <c r="Q2" s="1883"/>
      <c r="R2" s="1883"/>
      <c r="S2" s="1883"/>
      <c r="T2" s="1883"/>
      <c r="U2" s="1883"/>
      <c r="V2" s="1883"/>
    </row>
    <row r="3" spans="1:22" ht="14.25">
      <c r="A3" s="3650" t="s">
        <v>298</v>
      </c>
      <c r="B3" s="3651"/>
      <c r="C3" s="3651"/>
      <c r="D3" s="3651"/>
      <c r="E3" s="3651"/>
      <c r="F3" s="3651"/>
      <c r="G3" s="3651"/>
      <c r="H3" s="3651"/>
      <c r="I3" s="3651"/>
      <c r="J3" s="1884"/>
      <c r="K3" s="1883"/>
      <c r="L3" s="1883"/>
      <c r="M3" s="1883"/>
      <c r="N3" s="1883"/>
      <c r="O3" s="1883"/>
      <c r="P3" s="1883"/>
      <c r="Q3" s="1883"/>
      <c r="R3" s="1883"/>
      <c r="S3" s="1883"/>
      <c r="T3" s="1883"/>
      <c r="U3" s="1883"/>
      <c r="V3" s="1883"/>
    </row>
    <row r="4" spans="1:22" ht="14.25">
      <c r="A4" s="256" t="s">
        <v>299</v>
      </c>
      <c r="B4" s="257" t="s">
        <v>300</v>
      </c>
      <c r="C4" s="258"/>
      <c r="D4" s="258"/>
      <c r="E4" s="3614" t="s">
        <v>301</v>
      </c>
      <c r="F4" s="3656"/>
      <c r="G4" s="3656"/>
      <c r="H4" s="3656"/>
      <c r="I4" s="3615"/>
      <c r="J4" s="1884"/>
      <c r="K4" s="1883"/>
      <c r="L4" s="3162"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3"/>
      <c r="O4" s="1883"/>
      <c r="P4" s="1883"/>
      <c r="Q4" s="1883"/>
      <c r="R4" s="1883"/>
      <c r="S4" s="1883"/>
      <c r="T4" s="1883"/>
      <c r="U4" s="1883"/>
      <c r="V4" s="1883"/>
    </row>
    <row r="5" spans="1:22" ht="14.25">
      <c r="A5" s="3643" t="s">
        <v>302</v>
      </c>
      <c r="B5" s="3644">
        <v>25</v>
      </c>
      <c r="C5" s="3652"/>
      <c r="D5" s="3655"/>
      <c r="E5" s="259" t="s">
        <v>303</v>
      </c>
      <c r="F5" s="260"/>
      <c r="G5" s="260"/>
      <c r="H5" s="260"/>
      <c r="I5" s="261"/>
      <c r="J5" s="1884"/>
      <c r="K5" s="1883"/>
      <c r="L5" s="1883"/>
      <c r="M5" s="1883"/>
      <c r="N5" s="1883"/>
      <c r="O5" s="1883"/>
      <c r="P5" s="1883"/>
      <c r="Q5" s="1883"/>
      <c r="R5" s="1883"/>
      <c r="S5" s="1883"/>
      <c r="T5" s="1883"/>
      <c r="U5" s="1883"/>
      <c r="V5" s="1883"/>
    </row>
    <row r="6" spans="1:22" ht="14.25">
      <c r="A6" s="3643"/>
      <c r="B6" s="3644"/>
      <c r="C6" s="3653"/>
      <c r="D6" s="3655"/>
      <c r="E6" s="259" t="s">
        <v>304</v>
      </c>
      <c r="F6" s="260"/>
      <c r="G6" s="260"/>
      <c r="H6" s="260"/>
      <c r="I6" s="261"/>
      <c r="J6" s="1884"/>
      <c r="K6" s="1883"/>
      <c r="L6" s="1883"/>
      <c r="M6" s="1883"/>
      <c r="N6" s="1883"/>
      <c r="O6" s="1883"/>
      <c r="P6" s="1883"/>
      <c r="Q6" s="1883"/>
      <c r="R6" s="1883"/>
      <c r="S6" s="1883"/>
      <c r="T6" s="1883"/>
      <c r="U6" s="1883"/>
      <c r="V6" s="1883"/>
    </row>
    <row r="7" spans="1:22" ht="14.25">
      <c r="A7" s="3643"/>
      <c r="B7" s="3644"/>
      <c r="C7" s="3654"/>
      <c r="D7" s="3655"/>
      <c r="E7" s="259" t="s">
        <v>305</v>
      </c>
      <c r="F7" s="260"/>
      <c r="G7" s="260"/>
      <c r="H7" s="260"/>
      <c r="I7" s="261"/>
      <c r="J7" s="1884"/>
      <c r="K7" s="1883"/>
      <c r="L7" s="1883"/>
      <c r="M7" s="1883"/>
      <c r="N7" s="1883"/>
      <c r="O7" s="1883"/>
      <c r="P7" s="1883"/>
      <c r="Q7" s="1883"/>
      <c r="R7" s="1883"/>
      <c r="S7" s="1883"/>
      <c r="T7" s="1883"/>
      <c r="U7" s="1883"/>
      <c r="V7" s="1883"/>
    </row>
    <row r="8" spans="1:22" ht="14.25">
      <c r="A8" s="3643" t="s">
        <v>306</v>
      </c>
      <c r="B8" s="3644">
        <v>15</v>
      </c>
      <c r="C8" s="3652"/>
      <c r="D8" s="3655"/>
      <c r="E8" s="259" t="s">
        <v>307</v>
      </c>
      <c r="F8" s="260"/>
      <c r="G8" s="260"/>
      <c r="H8" s="260"/>
      <c r="I8" s="261"/>
      <c r="J8" s="1884"/>
      <c r="K8" s="1883"/>
      <c r="L8" s="1883"/>
      <c r="M8" s="1883"/>
      <c r="N8" s="1883"/>
      <c r="O8" s="1883"/>
      <c r="P8" s="1883"/>
      <c r="Q8" s="1883"/>
      <c r="R8" s="1883"/>
      <c r="S8" s="1883"/>
      <c r="T8" s="1883"/>
      <c r="U8" s="1883"/>
      <c r="V8" s="1883"/>
    </row>
    <row r="9" spans="1:22" ht="14.25">
      <c r="A9" s="3643"/>
      <c r="B9" s="3644"/>
      <c r="C9" s="3654"/>
      <c r="D9" s="3655"/>
      <c r="E9" s="259" t="s">
        <v>308</v>
      </c>
      <c r="F9" s="260"/>
      <c r="G9" s="260"/>
      <c r="H9" s="260"/>
      <c r="I9" s="261"/>
      <c r="J9" s="1884"/>
      <c r="K9" s="1883"/>
      <c r="L9" s="1883"/>
      <c r="M9" s="1883"/>
      <c r="N9" s="1883"/>
      <c r="O9" s="1883"/>
      <c r="P9" s="1883"/>
      <c r="Q9" s="1883"/>
      <c r="R9" s="1883"/>
      <c r="S9" s="1883"/>
      <c r="T9" s="1883"/>
      <c r="U9" s="1883"/>
      <c r="V9" s="1883"/>
    </row>
    <row r="10" spans="1:22" ht="14.25">
      <c r="A10" s="3643" t="s">
        <v>309</v>
      </c>
      <c r="B10" s="3644">
        <v>15</v>
      </c>
      <c r="C10" s="3652"/>
      <c r="D10" s="3655"/>
      <c r="E10" s="259" t="s">
        <v>310</v>
      </c>
      <c r="F10" s="260"/>
      <c r="G10" s="260"/>
      <c r="H10" s="260"/>
      <c r="I10" s="261"/>
      <c r="J10" s="1884"/>
      <c r="K10" s="1883"/>
      <c r="L10" s="1883"/>
      <c r="M10" s="1883"/>
      <c r="N10" s="1883"/>
      <c r="O10" s="1883"/>
      <c r="P10" s="1883"/>
      <c r="Q10" s="1883"/>
      <c r="R10" s="1883"/>
      <c r="S10" s="1883"/>
      <c r="T10" s="1883"/>
      <c r="U10" s="1883"/>
      <c r="V10" s="1883"/>
    </row>
    <row r="11" spans="1:22" ht="14.25">
      <c r="A11" s="3643"/>
      <c r="B11" s="3644"/>
      <c r="C11" s="3654"/>
      <c r="D11" s="3655"/>
      <c r="E11" s="259" t="s">
        <v>311</v>
      </c>
      <c r="F11" s="260"/>
      <c r="G11" s="260"/>
      <c r="H11" s="260"/>
      <c r="I11" s="261"/>
      <c r="J11" s="1884"/>
      <c r="K11" s="1883"/>
      <c r="L11" s="1883"/>
      <c r="M11" s="1883"/>
      <c r="N11" s="1883"/>
      <c r="O11" s="1883"/>
      <c r="P11" s="1883"/>
      <c r="Q11" s="1883"/>
      <c r="R11" s="1883"/>
      <c r="S11" s="1883"/>
      <c r="T11" s="1883"/>
      <c r="U11" s="1883"/>
      <c r="V11" s="1883"/>
    </row>
    <row r="12" spans="1:22" ht="14.25">
      <c r="A12" s="3643" t="s">
        <v>312</v>
      </c>
      <c r="B12" s="3644">
        <v>15</v>
      </c>
      <c r="C12" s="3652"/>
      <c r="D12" s="3655"/>
      <c r="E12" s="259" t="s">
        <v>313</v>
      </c>
      <c r="F12" s="260"/>
      <c r="G12" s="260"/>
      <c r="H12" s="260"/>
      <c r="I12" s="261"/>
      <c r="J12" s="1884"/>
      <c r="K12" s="1883"/>
      <c r="L12" s="1883"/>
      <c r="M12" s="1883"/>
      <c r="N12" s="1883"/>
      <c r="O12" s="1883"/>
      <c r="P12" s="1883"/>
      <c r="Q12" s="1883"/>
      <c r="R12" s="1883"/>
      <c r="S12" s="1883"/>
      <c r="T12" s="1883"/>
      <c r="U12" s="1883"/>
      <c r="V12" s="1883"/>
    </row>
    <row r="13" spans="1:22" ht="14.25">
      <c r="A13" s="3643"/>
      <c r="B13" s="3644"/>
      <c r="C13" s="3654"/>
      <c r="D13" s="3655"/>
      <c r="E13" s="259" t="s">
        <v>314</v>
      </c>
      <c r="F13" s="260"/>
      <c r="G13" s="260"/>
      <c r="H13" s="260"/>
      <c r="I13" s="261"/>
      <c r="J13" s="1884"/>
      <c r="K13" s="1883"/>
      <c r="L13" s="1883"/>
      <c r="M13" s="1883"/>
      <c r="N13" s="1883"/>
      <c r="O13" s="1883"/>
      <c r="P13" s="1883"/>
      <c r="Q13" s="1883"/>
      <c r="R13" s="1883"/>
      <c r="S13" s="1883"/>
      <c r="T13" s="1883"/>
      <c r="U13" s="1883"/>
      <c r="V13" s="1883"/>
    </row>
    <row r="14" spans="1:22" ht="14.25">
      <c r="A14" s="3643" t="s">
        <v>315</v>
      </c>
      <c r="B14" s="3644">
        <v>30</v>
      </c>
      <c r="C14" s="3652"/>
      <c r="D14" s="3655"/>
      <c r="E14" s="259" t="s">
        <v>316</v>
      </c>
      <c r="F14" s="260"/>
      <c r="G14" s="260"/>
      <c r="H14" s="260"/>
      <c r="I14" s="261"/>
      <c r="J14" s="1884"/>
      <c r="K14" s="1883"/>
      <c r="L14" s="1883"/>
      <c r="M14" s="1883"/>
      <c r="N14" s="1883"/>
      <c r="O14" s="1883"/>
      <c r="P14" s="1883"/>
      <c r="Q14" s="1883"/>
      <c r="R14" s="1883"/>
      <c r="S14" s="1883"/>
      <c r="T14" s="1883"/>
      <c r="U14" s="1883"/>
      <c r="V14" s="1883"/>
    </row>
    <row r="15" spans="1:22" ht="14.25">
      <c r="A15" s="3643"/>
      <c r="B15" s="3644"/>
      <c r="C15" s="3653"/>
      <c r="D15" s="3655"/>
      <c r="E15" s="259" t="s">
        <v>317</v>
      </c>
      <c r="F15" s="260"/>
      <c r="G15" s="260"/>
      <c r="H15" s="260"/>
      <c r="I15" s="261"/>
      <c r="J15" s="1884"/>
      <c r="K15" s="1883"/>
      <c r="L15" s="1883"/>
      <c r="M15" s="1883"/>
      <c r="N15" s="1883"/>
      <c r="O15" s="1883"/>
      <c r="P15" s="1883"/>
      <c r="Q15" s="1883"/>
      <c r="R15" s="1883"/>
      <c r="S15" s="1883"/>
      <c r="T15" s="1883"/>
      <c r="U15" s="1883"/>
      <c r="V15" s="1883"/>
    </row>
    <row r="16" spans="1:22" ht="14.25">
      <c r="A16" s="3643"/>
      <c r="B16" s="3644"/>
      <c r="C16" s="3654"/>
      <c r="D16" s="3655"/>
      <c r="E16" s="259" t="s">
        <v>318</v>
      </c>
      <c r="F16" s="260"/>
      <c r="G16" s="260"/>
      <c r="H16" s="260"/>
      <c r="I16" s="261"/>
      <c r="J16" s="1884"/>
      <c r="K16" s="1883"/>
      <c r="L16" s="1883"/>
      <c r="M16" s="1883"/>
      <c r="N16" s="1883"/>
      <c r="O16" s="1883"/>
      <c r="P16" s="1883"/>
      <c r="Q16" s="1883"/>
      <c r="R16" s="1883"/>
      <c r="S16" s="1883"/>
      <c r="T16" s="1883"/>
      <c r="U16" s="1883"/>
      <c r="V16" s="1883"/>
    </row>
    <row r="17" spans="1:26" ht="15">
      <c r="A17" s="262" t="s">
        <v>319</v>
      </c>
      <c r="B17" s="142"/>
      <c r="C17" s="263">
        <f>SUM(C5:C16)</f>
        <v>0</v>
      </c>
      <c r="D17" s="263">
        <f>SUM(D5:D16)</f>
        <v>0</v>
      </c>
      <c r="E17" s="309"/>
      <c r="F17" s="309"/>
      <c r="G17" s="309"/>
      <c r="H17" s="309"/>
      <c r="I17" s="309"/>
      <c r="J17" s="1884"/>
      <c r="K17" s="1883"/>
      <c r="L17" s="1883"/>
      <c r="M17" s="1883"/>
      <c r="N17" s="1883"/>
      <c r="O17" s="1883"/>
      <c r="P17" s="1883"/>
      <c r="Q17" s="1883"/>
      <c r="R17" s="1883"/>
      <c r="S17" s="1883"/>
      <c r="T17" s="1883"/>
      <c r="U17" s="1883"/>
      <c r="V17" s="1883"/>
    </row>
    <row r="18" spans="1:26" ht="32.450000000000003" customHeight="1" thickBot="1">
      <c r="A18" s="264" t="s">
        <v>320</v>
      </c>
      <c r="B18" s="105"/>
      <c r="C18" s="265" t="e">
        <f>ROUND(C17/SUM(C17:D17),2)</f>
        <v>#DIV/0!</v>
      </c>
      <c r="D18" s="265" t="e">
        <f>1-C18</f>
        <v>#DIV/0!</v>
      </c>
      <c r="E18" s="3657" t="s">
        <v>2930</v>
      </c>
      <c r="F18" s="3658"/>
      <c r="G18" s="3658"/>
      <c r="H18" s="3658"/>
      <c r="I18" s="3658"/>
      <c r="J18" s="1883"/>
      <c r="K18" s="1883"/>
      <c r="L18" s="1883"/>
      <c r="M18" s="1883"/>
      <c r="N18" s="1883"/>
      <c r="O18" s="1883"/>
      <c r="P18" s="1883"/>
      <c r="Q18" s="1883"/>
      <c r="R18" s="1883"/>
      <c r="S18" s="1883"/>
      <c r="T18" s="1883"/>
      <c r="U18" s="1883"/>
      <c r="V18" s="1883"/>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83"/>
      <c r="K19" s="1883"/>
      <c r="L19" s="1883"/>
      <c r="M19" s="1883"/>
      <c r="N19" s="1883"/>
      <c r="O19" s="1883"/>
      <c r="P19" s="1883"/>
      <c r="Q19" s="1883"/>
      <c r="R19" s="1883"/>
      <c r="S19" s="1883"/>
      <c r="T19" s="1883"/>
      <c r="U19" s="1883"/>
      <c r="V19" s="1883"/>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87" t="s">
        <v>326</v>
      </c>
      <c r="I21" s="309"/>
      <c r="J21" s="1883"/>
      <c r="K21" s="1883"/>
      <c r="L21" s="1883"/>
      <c r="M21" s="1883"/>
      <c r="N21" s="1883"/>
      <c r="O21" s="1883"/>
      <c r="P21" s="1883"/>
      <c r="Q21" s="1883"/>
      <c r="R21" s="1883"/>
      <c r="S21" s="1883"/>
      <c r="T21" s="1883"/>
      <c r="U21" s="1883"/>
      <c r="V21" s="1883"/>
    </row>
    <row r="22" spans="1:26" ht="15.75" thickBot="1">
      <c r="A22" s="126" t="s">
        <v>328</v>
      </c>
      <c r="B22" s="1188"/>
      <c r="C22" s="1189"/>
      <c r="D22" s="281" t="e">
        <f ca="1">IF(C19&lt;D19,D19/C19-1,C19/D19-1)</f>
        <v>#REF!</v>
      </c>
      <c r="E22" s="282"/>
      <c r="F22" s="283"/>
      <c r="G22" s="284" t="e">
        <f ca="1">ROUND(G19/('数据-汇总表'!D3/666.67),0)</f>
        <v>#REF!</v>
      </c>
      <c r="H22" s="285" t="s">
        <v>329</v>
      </c>
      <c r="I22" s="309"/>
      <c r="J22" s="1883"/>
      <c r="K22" s="1883"/>
      <c r="L22" s="1883"/>
      <c r="M22" s="1883"/>
      <c r="N22" s="1883"/>
      <c r="O22" s="1883"/>
      <c r="P22" s="1883"/>
      <c r="Q22" s="1883"/>
      <c r="R22" s="1883"/>
      <c r="S22" s="1883"/>
      <c r="T22" s="1883"/>
      <c r="U22" s="1883"/>
      <c r="V22" s="1883"/>
    </row>
    <row r="23" spans="1:26" ht="13.5"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5" thickBot="1">
      <c r="A24" s="3616"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8">
      <c r="A25" s="3663"/>
      <c r="B25" s="1257" t="s">
        <v>331</v>
      </c>
      <c r="C25" s="288">
        <f>IF(B30=0,0,C30)</f>
        <v>0</v>
      </c>
      <c r="D25" s="289"/>
      <c r="E25" s="309"/>
      <c r="F25" s="309"/>
      <c r="G25" s="309"/>
      <c r="H25" s="309"/>
      <c r="I25" s="309"/>
      <c r="J25" s="1883"/>
      <c r="K25" s="1191" t="e">
        <f ca="1">项目基本情况!B16&amp;"国有建设用地使用权价格："&amp;O38&amp;"万元"</f>
        <v>#REF!</v>
      </c>
      <c r="L25" s="1192"/>
      <c r="M25" s="1192"/>
      <c r="N25" s="1192"/>
      <c r="O25" s="1193"/>
      <c r="P25" s="1883"/>
      <c r="Q25" s="1883"/>
      <c r="R25" s="1883"/>
      <c r="S25" s="1883"/>
      <c r="T25" s="1883"/>
      <c r="U25" s="1883"/>
      <c r="V25" s="1883"/>
    </row>
    <row r="26" spans="1:26" s="1190" customFormat="1" ht="18">
      <c r="A26" s="291" t="s">
        <v>332</v>
      </c>
      <c r="B26" s="292" t="s">
        <v>333</v>
      </c>
      <c r="C26" s="292" t="s">
        <v>334</v>
      </c>
      <c r="D26" s="293" t="s">
        <v>335</v>
      </c>
      <c r="E26" s="309"/>
      <c r="F26" s="309"/>
      <c r="G26" s="309"/>
      <c r="H26" s="309"/>
      <c r="I26" s="309"/>
      <c r="J26" s="1883"/>
      <c r="K26" s="1194" t="e">
        <f ca="1">"大写金额：人民币"&amp;NUMBERSTRING(INT(O38*10000),2)&amp;"元整"</f>
        <v>#REF!</v>
      </c>
      <c r="L26" s="1188"/>
      <c r="M26" s="1188"/>
      <c r="N26" s="1188"/>
      <c r="O26" s="1187"/>
      <c r="P26" s="1883"/>
      <c r="Q26" s="1883"/>
      <c r="R26" s="1883"/>
      <c r="S26" s="1883"/>
      <c r="T26" s="1883"/>
      <c r="U26" s="1883"/>
      <c r="V26" s="1883"/>
      <c r="W26" s="290"/>
      <c r="X26" s="290"/>
      <c r="Y26" s="290"/>
      <c r="Z26" s="290"/>
    </row>
    <row r="27" spans="1:26" ht="18">
      <c r="A27" s="291"/>
      <c r="B27" s="292"/>
      <c r="C27" s="292"/>
      <c r="D27" s="293"/>
      <c r="E27" s="309"/>
      <c r="F27" s="309"/>
      <c r="G27" s="309"/>
      <c r="H27" s="309"/>
      <c r="I27" s="309"/>
      <c r="J27" s="1883"/>
      <c r="K27" s="1194" t="e">
        <f ca="1">"单位面积地价："&amp;M38&amp;"元/平方米"</f>
        <v>#REF!</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e">
        <f ca="1">"楼面地价："&amp;N38&amp;"元/平方米"</f>
        <v>#REF!</v>
      </c>
      <c r="L28" s="1188"/>
      <c r="M28" s="1188"/>
      <c r="N28" s="1188"/>
      <c r="O28" s="1187"/>
      <c r="P28" s="1883"/>
      <c r="V28" s="1883"/>
    </row>
    <row r="29" spans="1:26" ht="18">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75" thickBot="1">
      <c r="A30" s="2766" t="s">
        <v>336</v>
      </c>
      <c r="B30" s="307"/>
      <c r="C30" s="307"/>
      <c r="D30" s="308"/>
      <c r="E30" s="2969" t="s">
        <v>2931</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659" t="s">
        <v>2932</v>
      </c>
      <c r="B31" s="3659"/>
      <c r="C31" s="3659"/>
      <c r="D31" s="3659"/>
      <c r="E31" s="3659"/>
      <c r="F31" s="3659"/>
      <c r="G31" s="3659"/>
      <c r="H31" s="3659"/>
      <c r="I31" s="3659"/>
      <c r="J31" s="1883"/>
      <c r="K31" s="2293" t="str">
        <f>IF(项目基本情况!E8="抵押价格","——","抵押担保权已注销时的抵押价格："&amp;O40&amp;"万元")</f>
        <v>抵押担保权已注销时的抵押价格：——万元</v>
      </c>
      <c r="L31" s="2289"/>
      <c r="M31" s="2289"/>
      <c r="N31" s="2289"/>
      <c r="O31" s="2290"/>
      <c r="P31" s="1883"/>
      <c r="V31" s="1883"/>
    </row>
    <row r="32" spans="1:26" ht="19.5" thickTop="1" thickBot="1">
      <c r="A32" s="272" t="s">
        <v>337</v>
      </c>
      <c r="B32" s="2970" t="s">
        <v>1663</v>
      </c>
      <c r="C32" s="264" t="e">
        <f ca="1">G19-C24</f>
        <v>#REF!</v>
      </c>
      <c r="D32" s="2971" t="s">
        <v>1664</v>
      </c>
      <c r="E32" s="309"/>
      <c r="F32" s="309"/>
      <c r="G32" s="309"/>
      <c r="H32" s="309"/>
      <c r="I32" s="309"/>
      <c r="J32" s="1883"/>
      <c r="K32" s="2288" t="e">
        <f>IF(K31="——","——","大写金额：人民币"&amp;NUMBERSTRING(INT(O40*10000),2)&amp;"元整")</f>
        <v>#VALUE!</v>
      </c>
      <c r="L32" s="2291"/>
      <c r="M32" s="2291"/>
      <c r="N32" s="2291"/>
      <c r="O32" s="2292"/>
      <c r="P32" s="1883"/>
      <c r="V32" s="1883"/>
    </row>
    <row r="33" spans="1:26" ht="18.75" thickBot="1">
      <c r="A33" s="296" t="s">
        <v>340</v>
      </c>
      <c r="B33" s="1307" t="s">
        <v>1665</v>
      </c>
      <c r="C33" s="262" t="e">
        <f ca="1">ROUND(C32*10000/'数据-汇总表'!E3,0)</f>
        <v>#REF!</v>
      </c>
      <c r="D33" s="1308" t="s">
        <v>1666</v>
      </c>
      <c r="E33" s="3616"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75" thickBot="1">
      <c r="A34" s="298"/>
      <c r="B34" s="1309" t="s">
        <v>1667</v>
      </c>
      <c r="C34" s="262" t="e">
        <f ca="1">ROUND(C32*10000/'数据-汇总表'!D3,0)</f>
        <v>#REF!</v>
      </c>
      <c r="D34" s="1310" t="s">
        <v>1666</v>
      </c>
      <c r="E34" s="3617"/>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5.75" thickBot="1">
      <c r="A35" s="282"/>
      <c r="B35" s="1311"/>
      <c r="C35" s="1312" t="e">
        <f ca="1">ROUND(C32/('数据-汇总表'!D3/666.67),0)</f>
        <v>#REF!</v>
      </c>
      <c r="D35" s="1313" t="s">
        <v>1668</v>
      </c>
      <c r="E35" s="3618"/>
      <c r="F35" s="299" t="s">
        <v>342</v>
      </c>
      <c r="G35" s="952"/>
      <c r="H35" s="951" t="s">
        <v>343</v>
      </c>
      <c r="I35" s="309"/>
      <c r="J35" s="1883"/>
      <c r="K35" s="3622" t="s">
        <v>350</v>
      </c>
      <c r="L35" s="3622" t="s">
        <v>351</v>
      </c>
      <c r="M35" s="1200" t="s">
        <v>352</v>
      </c>
      <c r="N35" s="3622" t="s">
        <v>353</v>
      </c>
      <c r="O35" s="3622" t="s">
        <v>354</v>
      </c>
      <c r="P35" s="1883"/>
      <c r="V35" s="1883"/>
    </row>
    <row r="36" spans="1:26" ht="16.5" customHeight="1">
      <c r="A36" s="301" t="s">
        <v>344</v>
      </c>
      <c r="B36" s="302" t="s">
        <v>333</v>
      </c>
      <c r="C36" s="303" t="s">
        <v>345</v>
      </c>
      <c r="D36" s="303" t="s">
        <v>346</v>
      </c>
      <c r="E36" s="304" t="s">
        <v>347</v>
      </c>
      <c r="F36" s="309"/>
      <c r="G36" s="309"/>
      <c r="H36" s="309"/>
      <c r="I36" s="309"/>
      <c r="J36" s="1885"/>
      <c r="K36" s="3623"/>
      <c r="L36" s="3623"/>
      <c r="M36" s="1202" t="s">
        <v>355</v>
      </c>
      <c r="N36" s="3623"/>
      <c r="O36" s="3623"/>
      <c r="P36" s="1883"/>
      <c r="V36" s="1883"/>
    </row>
    <row r="37" spans="1:26" ht="16.5" customHeight="1" thickBot="1">
      <c r="A37" s="1196" t="s">
        <v>348</v>
      </c>
      <c r="B37" s="305"/>
      <c r="C37" s="292"/>
      <c r="D37" s="292"/>
      <c r="E37" s="293"/>
      <c r="F37" s="309"/>
      <c r="G37" s="309"/>
      <c r="H37" s="309"/>
      <c r="I37" s="309"/>
      <c r="J37" s="1885"/>
      <c r="K37" s="3624"/>
      <c r="L37" s="3624"/>
      <c r="M37" s="1203"/>
      <c r="N37" s="3624"/>
      <c r="O37" s="3624"/>
      <c r="P37" s="1883"/>
      <c r="V37" s="1883"/>
    </row>
    <row r="38" spans="1:26" ht="16.5" customHeight="1" thickBot="1">
      <c r="A38" s="1196" t="s">
        <v>349</v>
      </c>
      <c r="B38" s="305"/>
      <c r="C38" s="292"/>
      <c r="D38" s="292"/>
      <c r="E38" s="293"/>
      <c r="F38" s="309"/>
      <c r="G38" s="309"/>
      <c r="H38" s="309"/>
      <c r="I38" s="309"/>
      <c r="J38" s="1885"/>
      <c r="K38" s="1204">
        <f>'数据-汇总表'!D3</f>
        <v>18388.8</v>
      </c>
      <c r="L38" s="1205">
        <f>'数据-汇总表'!E3</f>
        <v>18388.8</v>
      </c>
      <c r="M38" s="1205" t="e">
        <f ca="1">C34</f>
        <v>#REF!</v>
      </c>
      <c r="N38" s="1205" t="e">
        <f ca="1">C33</f>
        <v>#REF!</v>
      </c>
      <c r="O38" s="1206" t="e">
        <f ca="1">C32</f>
        <v>#REF!</v>
      </c>
      <c r="P38" s="1883"/>
      <c r="V38" s="1883"/>
    </row>
    <row r="39" spans="1:26" ht="16.5" customHeight="1" thickBot="1">
      <c r="A39" s="1201"/>
      <c r="B39" s="306"/>
      <c r="C39" s="307"/>
      <c r="D39" s="307"/>
      <c r="E39" s="308"/>
      <c r="F39" s="309"/>
      <c r="G39" s="309"/>
      <c r="H39" s="309"/>
      <c r="I39" s="309"/>
      <c r="J39" s="1885"/>
      <c r="K39" s="3635" t="str">
        <f>MID(A44,3,LEN(A44)-2)</f>
        <v/>
      </c>
      <c r="L39" s="3636"/>
      <c r="M39" s="3636"/>
      <c r="N39" s="3637"/>
      <c r="O39" s="1315" t="str">
        <f>C44</f>
        <v>——</v>
      </c>
      <c r="P39" s="1883"/>
      <c r="V39" s="1883"/>
    </row>
    <row r="40" spans="1:26" ht="19.5" thickBot="1">
      <c r="A40" s="104" t="s">
        <v>848</v>
      </c>
      <c r="B40" s="309"/>
      <c r="C40" s="309"/>
      <c r="D40" s="309"/>
      <c r="E40" s="309"/>
      <c r="F40" s="309"/>
      <c r="G40" s="309"/>
      <c r="H40" s="309"/>
      <c r="I40" s="309"/>
      <c r="J40" s="1885"/>
      <c r="K40" s="3635" t="str">
        <f t="shared" ref="K40:K41" si="0">MID(A45,3,LEN(A45)-2)</f>
        <v/>
      </c>
      <c r="L40" s="3636"/>
      <c r="M40" s="3636"/>
      <c r="N40" s="3637"/>
      <c r="O40" s="1315" t="str">
        <f>C45</f>
        <v>——</v>
      </c>
      <c r="P40" s="1883"/>
      <c r="V40" s="1883"/>
    </row>
    <row r="41" spans="1:26" ht="16.5" thickBot="1">
      <c r="A41" s="310" t="s">
        <v>356</v>
      </c>
      <c r="B41" s="311"/>
      <c r="C41" s="312" t="s">
        <v>357</v>
      </c>
      <c r="D41" s="313" t="s">
        <v>358</v>
      </c>
      <c r="E41" s="313" t="s">
        <v>359</v>
      </c>
      <c r="F41" s="314" t="s">
        <v>360</v>
      </c>
      <c r="G41" s="309"/>
      <c r="H41" s="309"/>
      <c r="I41" s="309"/>
      <c r="J41" s="1885"/>
      <c r="K41" s="3635" t="str">
        <f t="shared" si="0"/>
        <v/>
      </c>
      <c r="L41" s="3636"/>
      <c r="M41" s="3636"/>
      <c r="N41" s="3637"/>
      <c r="O41" s="1315" t="str">
        <f>C46</f>
        <v>——</v>
      </c>
      <c r="P41" s="1883"/>
      <c r="V41" s="1883"/>
    </row>
    <row r="42" spans="1:26" ht="29.25">
      <c r="A42" s="3664" t="s">
        <v>2034</v>
      </c>
      <c r="B42" s="3665"/>
      <c r="C42" s="262" t="e">
        <f ca="1">C32</f>
        <v>#REF!</v>
      </c>
      <c r="D42" s="315" t="e">
        <f ca="1">C33</f>
        <v>#REF!</v>
      </c>
      <c r="E42" s="315" t="e">
        <f ca="1">C34</f>
        <v>#REF!</v>
      </c>
      <c r="F42" s="316" t="e">
        <f ca="1">C35</f>
        <v>#REF!</v>
      </c>
      <c r="G42" s="309"/>
      <c r="H42" s="309"/>
      <c r="I42" s="317"/>
      <c r="J42" s="1885"/>
      <c r="K42" s="1207" t="s">
        <v>361</v>
      </c>
      <c r="L42" s="1902" t="s">
        <v>362</v>
      </c>
      <c r="M42" s="1208" t="s">
        <v>363</v>
      </c>
      <c r="N42" s="1903" t="s">
        <v>364</v>
      </c>
      <c r="O42" s="1904" t="s">
        <v>365</v>
      </c>
      <c r="P42" s="1883"/>
      <c r="V42" s="1883"/>
    </row>
    <row r="43" spans="1:26" ht="18">
      <c r="A43" s="3674" t="s">
        <v>2683</v>
      </c>
      <c r="B43" s="3675"/>
      <c r="C43" s="262">
        <f>IF(H33="正常操作",G33+G34+G35,G34+G35)</f>
        <v>0</v>
      </c>
      <c r="D43" s="315" t="s">
        <v>43</v>
      </c>
      <c r="E43" s="315" t="s">
        <v>44</v>
      </c>
      <c r="F43" s="316" t="s">
        <v>44</v>
      </c>
      <c r="G43" s="2551" t="s">
        <v>927</v>
      </c>
      <c r="H43" s="309"/>
      <c r="I43" s="317"/>
      <c r="J43" s="1885"/>
      <c r="K43" s="1209">
        <f>C4</f>
        <v>0</v>
      </c>
      <c r="L43" s="1210" t="e">
        <f ca="1">IF(L42="估价结果/万元",C19,C20)</f>
        <v>#REF!</v>
      </c>
      <c r="M43" s="1211" t="e">
        <f>C18</f>
        <v>#DIV/0!</v>
      </c>
      <c r="N43" s="1212" t="e">
        <f ca="1">IF(N42="测算结果/万元",G19,G20)</f>
        <v>#REF!</v>
      </c>
      <c r="O43" s="1213" t="e">
        <f ca="1">IF(O42="最终结果/万元",C32,C33)</f>
        <v>#REF!</v>
      </c>
      <c r="P43" s="1883"/>
      <c r="V43" s="1883"/>
    </row>
    <row r="44" spans="1:26" ht="18.75" thickBot="1">
      <c r="A44" s="3664" t="str">
        <f>IF(OR(项目基本情况!E8="抵押价格",项目基本情况!E8="已注销及未注销"),"3.抵押价格","——")</f>
        <v>——</v>
      </c>
      <c r="B44" s="3665"/>
      <c r="C44" s="262" t="str">
        <f>IF(A44="——","——",C42-C43)</f>
        <v>——</v>
      </c>
      <c r="D44" s="315" t="e">
        <f>ROUND(C44*10000/'数据-汇总表'!E3,0)</f>
        <v>#VALUE!</v>
      </c>
      <c r="E44" s="315" t="e">
        <f>ROUND(C44*10000/'数据-汇总表'!D3,0)</f>
        <v>#VALUE!</v>
      </c>
      <c r="F44" s="316" t="e">
        <f>ROUND(C44/('数据-汇总表'!D3/666.67),0)</f>
        <v>#VALUE!</v>
      </c>
      <c r="G44" s="309"/>
      <c r="H44" s="309"/>
      <c r="I44" s="317"/>
      <c r="J44" s="1885"/>
      <c r="K44" s="1214">
        <f>D4</f>
        <v>0</v>
      </c>
      <c r="L44" s="1215" t="e">
        <f ca="1">IF(L42="估价结果/万元",D19,D20)</f>
        <v>#REF!</v>
      </c>
      <c r="M44" s="1216" t="e">
        <f>D18</f>
        <v>#DIV/0!</v>
      </c>
      <c r="N44" s="1217"/>
      <c r="O44" s="1218"/>
      <c r="P44" s="1883"/>
      <c r="V44" s="1883"/>
    </row>
    <row r="45" spans="1:26" ht="15">
      <c r="A45" s="3669" t="str">
        <f>IF(项目基本情况!E8="已注销及未注销","4.抵押担保权已注销时的抵押价格",IF(项目基本情况!E8="已注销","3.抵押担保权已注销时的抵押价格","——"))</f>
        <v>——</v>
      </c>
      <c r="B45" s="3670"/>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5"/>
      <c r="K45" s="1883"/>
      <c r="L45" s="1883"/>
      <c r="M45" s="1883"/>
      <c r="N45" s="1883"/>
      <c r="O45" s="1883"/>
      <c r="P45" s="1883"/>
      <c r="V45" s="1883"/>
    </row>
    <row r="46" spans="1:26" ht="15.75" thickBot="1">
      <c r="A46" s="3666" t="str">
        <f>IF(项目基本情况!E9="抵押净值",IF(A45="——","4.抵押净值","5.抵押净值"),"——")</f>
        <v>——</v>
      </c>
      <c r="B46" s="3667"/>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7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7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7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7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7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7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2.75">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2.75">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7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2.75">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2.75">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2.75">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2.75">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7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2.75">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75">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627" t="s">
        <v>374</v>
      </c>
      <c r="B63" s="3628"/>
      <c r="C63" s="3629"/>
      <c r="D63" s="339" t="e">
        <f ca="1">ROUND(C42*F63,0)</f>
        <v>#REF!</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3671" t="s">
        <v>378</v>
      </c>
      <c r="B64" s="3672"/>
      <c r="C64" s="3672"/>
      <c r="D64" s="3672"/>
      <c r="E64" s="3672"/>
      <c r="F64" s="3672"/>
      <c r="G64" s="3673"/>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5.5">
      <c r="A66" s="3668" t="s">
        <v>386</v>
      </c>
      <c r="B66" s="3634"/>
      <c r="C66" s="3634"/>
      <c r="D66" s="259" t="b">
        <f>IF(H66="情况1",0,IF(H66="情况2",D70,IF(H66="情况3",D71,IF(H66="情况4",D72))))</f>
        <v>0</v>
      </c>
      <c r="E66" s="963" t="str">
        <f>IF(H66="情况4","(销售额-原购置价)×税（费）率","销售额×税（费）率")</f>
        <v>销售额×税（费）率</v>
      </c>
      <c r="F66" s="348">
        <f>IF(H66="情况1","免征",'数据-取费表'!B41)</f>
        <v>5.6000000000000001E-2</v>
      </c>
      <c r="G66" s="349" t="s">
        <v>387</v>
      </c>
      <c r="H66" s="189"/>
      <c r="I66" s="1224"/>
      <c r="J66" s="1889"/>
      <c r="K66" s="1227">
        <v>1</v>
      </c>
      <c r="L66" s="3595" t="s">
        <v>385</v>
      </c>
      <c r="M66" s="3596"/>
      <c r="N66" s="2283"/>
      <c r="O66" s="2284"/>
      <c r="P66" s="2285"/>
      <c r="Q66" s="1883"/>
      <c r="R66" s="1883"/>
      <c r="S66" s="1883"/>
      <c r="T66" s="1883"/>
      <c r="U66" s="1883"/>
      <c r="V66" s="1883"/>
    </row>
    <row r="67" spans="1:22" ht="25.5" customHeight="1">
      <c r="A67" s="350" t="s">
        <v>389</v>
      </c>
      <c r="B67" s="3646" t="s">
        <v>390</v>
      </c>
      <c r="C67" s="3646"/>
      <c r="D67" s="351">
        <v>0</v>
      </c>
      <c r="E67" s="41" t="s">
        <v>391</v>
      </c>
      <c r="F67" s="62" t="s">
        <v>21</v>
      </c>
      <c r="G67" s="3630"/>
      <c r="H67" s="2972" t="s">
        <v>2933</v>
      </c>
      <c r="I67" s="2974"/>
      <c r="J67" s="1890"/>
      <c r="K67" s="1862">
        <v>2</v>
      </c>
      <c r="L67" s="3600" t="s">
        <v>388</v>
      </c>
      <c r="M67" s="3600"/>
      <c r="N67" s="1261">
        <f>'数据-取费表'!B2</f>
        <v>44623</v>
      </c>
      <c r="O67" s="1261"/>
      <c r="P67" s="1261"/>
      <c r="Q67" s="1883"/>
      <c r="R67" s="1883"/>
      <c r="S67" s="1883"/>
      <c r="T67" s="1883"/>
      <c r="U67" s="1883"/>
      <c r="V67" s="1883"/>
    </row>
    <row r="68" spans="1:22" ht="25.5" customHeight="1">
      <c r="A68" s="352"/>
      <c r="B68" s="3646" t="s">
        <v>393</v>
      </c>
      <c r="C68" s="3646"/>
      <c r="D68" s="353"/>
      <c r="E68" s="77"/>
      <c r="F68" s="354"/>
      <c r="G68" s="3631"/>
      <c r="H68" s="2973" t="s">
        <v>2934</v>
      </c>
      <c r="I68" s="2974"/>
      <c r="J68" s="1890"/>
      <c r="K68" s="1862">
        <v>3</v>
      </c>
      <c r="L68" s="3600" t="s">
        <v>392</v>
      </c>
      <c r="M68" s="3600"/>
      <c r="N68" s="1229" t="e">
        <f ca="1">C42</f>
        <v>#REF!</v>
      </c>
      <c r="O68" s="1229"/>
      <c r="P68" s="1229"/>
      <c r="Q68" s="1883"/>
      <c r="R68" s="1883"/>
      <c r="S68" s="1883"/>
      <c r="T68" s="1883"/>
      <c r="U68" s="1883"/>
      <c r="V68" s="1883"/>
    </row>
    <row r="69" spans="1:22" ht="23.45" customHeight="1">
      <c r="A69" s="355"/>
      <c r="B69" s="3646" t="s">
        <v>394</v>
      </c>
      <c r="C69" s="3646"/>
      <c r="D69" s="356"/>
      <c r="E69" s="73"/>
      <c r="F69" s="354"/>
      <c r="G69" s="3632"/>
      <c r="H69" s="2973" t="s">
        <v>2935</v>
      </c>
      <c r="I69" s="2974"/>
      <c r="J69" s="1890"/>
      <c r="K69" s="1230">
        <v>4</v>
      </c>
      <c r="L69" s="3601" t="s">
        <v>2832</v>
      </c>
      <c r="M69" s="3602"/>
      <c r="N69" s="1231" t="str">
        <f>C44</f>
        <v>——</v>
      </c>
      <c r="O69" s="1231"/>
      <c r="P69" s="1231"/>
      <c r="Q69" s="1883"/>
      <c r="R69" s="1883"/>
      <c r="S69" s="1883"/>
      <c r="T69" s="1883"/>
      <c r="U69" s="1883"/>
      <c r="V69" s="1883"/>
    </row>
    <row r="70" spans="1:22" ht="24" customHeight="1">
      <c r="A70" s="357" t="s">
        <v>395</v>
      </c>
      <c r="B70" s="3646" t="s">
        <v>396</v>
      </c>
      <c r="C70" s="3646"/>
      <c r="D70" s="356" t="e">
        <f ca="1">ROUND(D63*'数据-取费表'!B41/(1+'数据-取费表'!C42),0)</f>
        <v>#REF!</v>
      </c>
      <c r="E70" s="17" t="s">
        <v>397</v>
      </c>
      <c r="F70" s="358">
        <f>'数据-取费表'!B41</f>
        <v>5.6000000000000001E-2</v>
      </c>
      <c r="G70" s="359"/>
      <c r="H70" s="309"/>
      <c r="I70" s="1228"/>
      <c r="J70" s="1890"/>
      <c r="K70" s="2731"/>
      <c r="L70" s="2732"/>
      <c r="M70" s="2732"/>
      <c r="N70" s="2733" t="s">
        <v>2836</v>
      </c>
      <c r="O70" s="2732"/>
      <c r="P70" s="2734"/>
      <c r="Q70" s="1883"/>
      <c r="R70" s="1883"/>
      <c r="S70" s="1883"/>
      <c r="T70" s="1883"/>
      <c r="U70" s="1883"/>
      <c r="V70" s="1883"/>
    </row>
    <row r="71" spans="1:22" ht="12" customHeight="1">
      <c r="A71" s="357" t="s">
        <v>403</v>
      </c>
      <c r="B71" s="3645" t="s">
        <v>2964</v>
      </c>
      <c r="C71" s="3662"/>
      <c r="D71" s="356" t="e">
        <f ca="1">ROUND(D63*'数据-取费表'!B41/(1+'数据-取费表'!C42),0)</f>
        <v>#REF!</v>
      </c>
      <c r="E71" s="17" t="s">
        <v>397</v>
      </c>
      <c r="F71" s="358">
        <f>'数据-取费表'!B41</f>
        <v>5.6000000000000001E-2</v>
      </c>
      <c r="G71" s="359"/>
      <c r="H71" s="309"/>
      <c r="I71" s="1228"/>
      <c r="J71" s="1890"/>
      <c r="K71" s="2730" t="s">
        <v>398</v>
      </c>
      <c r="L71" s="3603" t="s">
        <v>399</v>
      </c>
      <c r="M71" s="3603"/>
      <c r="N71" s="2730" t="s">
        <v>400</v>
      </c>
      <c r="O71" s="2730" t="s">
        <v>401</v>
      </c>
      <c r="P71" s="2730" t="s">
        <v>402</v>
      </c>
      <c r="Q71" s="1883"/>
      <c r="R71" s="1883"/>
      <c r="S71" s="1883"/>
      <c r="T71" s="1883"/>
      <c r="U71" s="1883"/>
      <c r="V71" s="1883"/>
    </row>
    <row r="72" spans="1:22" ht="12" customHeight="1">
      <c r="A72" s="357" t="s">
        <v>405</v>
      </c>
      <c r="B72" s="3645" t="s">
        <v>2965</v>
      </c>
      <c r="C72" s="3662"/>
      <c r="D72" s="356" t="e">
        <f ca="1">C86</f>
        <v>#REF!</v>
      </c>
      <c r="E72" s="73" t="s">
        <v>406</v>
      </c>
      <c r="F72" s="358">
        <f>'数据-取费表'!B41</f>
        <v>5.6000000000000001E-2</v>
      </c>
      <c r="G72" s="359"/>
      <c r="H72" s="1234"/>
      <c r="I72" s="1228"/>
      <c r="J72" s="1890"/>
      <c r="K72" s="1862">
        <v>1</v>
      </c>
      <c r="L72" s="3599" t="s">
        <v>404</v>
      </c>
      <c r="M72" s="3599"/>
      <c r="N72" s="1232" t="b">
        <f>D66</f>
        <v>0</v>
      </c>
      <c r="O72" s="1746" t="str">
        <f>E66</f>
        <v>销售额×税（费）率</v>
      </c>
      <c r="P72" s="1233">
        <f>F66</f>
        <v>5.6000000000000001E-2</v>
      </c>
      <c r="Q72" s="1883"/>
      <c r="R72" s="1883"/>
      <c r="S72" s="1883"/>
      <c r="T72" s="1883"/>
      <c r="U72" s="1883"/>
      <c r="V72" s="1883"/>
    </row>
    <row r="73" spans="1:22" ht="24" customHeight="1">
      <c r="A73" s="3633" t="s">
        <v>408</v>
      </c>
      <c r="B73" s="3634"/>
      <c r="C73" s="3634"/>
      <c r="D73" s="360" t="e">
        <f ca="1">IF(H73="个人住宅",0,ROUND(D63*I73,0))</f>
        <v>#REF!</v>
      </c>
      <c r="E73" s="17" t="s">
        <v>409</v>
      </c>
      <c r="F73" s="358" t="str">
        <f>IF(H73="正常",I73,"免征")</f>
        <v>免征</v>
      </c>
      <c r="G73" s="359"/>
      <c r="H73" s="189"/>
      <c r="I73" s="358">
        <f>'数据-取费表'!B49</f>
        <v>5.0000000000000001E-4</v>
      </c>
      <c r="J73" s="1890"/>
      <c r="K73" s="1862">
        <v>2</v>
      </c>
      <c r="L73" s="3599" t="s">
        <v>407</v>
      </c>
      <c r="M73" s="3599"/>
      <c r="N73" s="1232" t="e">
        <f t="shared" ref="N73:P74" ca="1" si="1">D73</f>
        <v>#REF!</v>
      </c>
      <c r="O73" s="1746" t="str">
        <f t="shared" si="1"/>
        <v>销售额×税（费）率</v>
      </c>
      <c r="P73" s="1233" t="str">
        <f t="shared" si="1"/>
        <v>免征</v>
      </c>
      <c r="Q73" s="1883"/>
      <c r="R73" s="1883"/>
      <c r="S73" s="1883"/>
      <c r="T73" s="1883"/>
      <c r="U73" s="1883"/>
      <c r="V73" s="1883"/>
    </row>
    <row r="74" spans="1:22" ht="24.75">
      <c r="A74" s="3633" t="s">
        <v>411</v>
      </c>
      <c r="B74" s="3634"/>
      <c r="C74" s="3634"/>
      <c r="D74" s="360" t="e">
        <f ca="1">IF(H74="个人住宅",D75,D76)</f>
        <v>#REF!</v>
      </c>
      <c r="E74" s="17" t="s">
        <v>412</v>
      </c>
      <c r="F74" s="358" t="str">
        <f>IF(H74="正常",F76,"免征")</f>
        <v>免征</v>
      </c>
      <c r="G74" s="953" t="s">
        <v>413</v>
      </c>
      <c r="H74" s="361"/>
      <c r="I74" s="42"/>
      <c r="J74" s="1890"/>
      <c r="K74" s="1862">
        <v>3</v>
      </c>
      <c r="L74" s="3599" t="s">
        <v>410</v>
      </c>
      <c r="M74" s="3599"/>
      <c r="N74" s="1232" t="e">
        <f t="shared" ca="1" si="1"/>
        <v>#REF!</v>
      </c>
      <c r="O74" s="1746" t="str">
        <f t="shared" si="1"/>
        <v>增值额×税（费）率</v>
      </c>
      <c r="P74" s="1235" t="str">
        <f t="shared" si="1"/>
        <v>免征</v>
      </c>
      <c r="Q74" s="1883"/>
      <c r="R74" s="1883"/>
      <c r="S74" s="1883"/>
      <c r="T74" s="1883"/>
      <c r="U74" s="1883"/>
      <c r="V74" s="1883"/>
    </row>
    <row r="75" spans="1:22" ht="12.75">
      <c r="A75" s="357" t="s">
        <v>414</v>
      </c>
      <c r="B75" s="3614" t="s">
        <v>415</v>
      </c>
      <c r="C75" s="3615"/>
      <c r="D75" s="362">
        <v>0</v>
      </c>
      <c r="E75" s="41" t="s">
        <v>416</v>
      </c>
      <c r="F75" s="363"/>
      <c r="G75" s="359"/>
      <c r="H75" s="42"/>
      <c r="I75" s="42"/>
      <c r="J75" s="1890"/>
      <c r="K75" s="2724">
        <f>IF(H77="非个人房产","",4)</f>
        <v>4</v>
      </c>
      <c r="L75" s="3599" t="str">
        <f>IF(H77="非个人房产","——","个人所得税")</f>
        <v>个人所得税</v>
      </c>
      <c r="M75" s="3599"/>
      <c r="N75" s="1236">
        <f>D77</f>
        <v>0</v>
      </c>
      <c r="O75" s="1759" t="str">
        <f>E77</f>
        <v>差额计税</v>
      </c>
      <c r="P75" s="1237">
        <f>F77</f>
        <v>0.01</v>
      </c>
      <c r="Q75" s="1883"/>
      <c r="R75" s="1883"/>
      <c r="S75" s="1883"/>
      <c r="T75" s="1883"/>
      <c r="U75" s="1883"/>
      <c r="V75" s="1883"/>
    </row>
    <row r="76" spans="1:22" ht="24.75">
      <c r="A76" s="357" t="s">
        <v>395</v>
      </c>
      <c r="B76" s="3614" t="s">
        <v>418</v>
      </c>
      <c r="C76" s="3656"/>
      <c r="D76" s="360" t="e">
        <f ca="1">IF(H76="转让取得",C99,C115)</f>
        <v>#REF!</v>
      </c>
      <c r="E76" s="17" t="s">
        <v>419</v>
      </c>
      <c r="F76" s="53" t="s">
        <v>21</v>
      </c>
      <c r="G76" s="359"/>
      <c r="H76" s="361"/>
      <c r="I76" s="42"/>
      <c r="J76" s="1890"/>
      <c r="K76" s="2724" t="str">
        <f>IF(项目基本情况!K6="上海银行",IF(K75="",4,K75+1),"")</f>
        <v/>
      </c>
      <c r="L76" s="3610" t="str">
        <f>IF(项目基本情况!K6="上海银行","其他处置费用","")</f>
        <v/>
      </c>
      <c r="M76" s="3611"/>
      <c r="N76" s="1232" t="str">
        <f>IF(项目基本情况!K6="上海银行",N89,"")</f>
        <v/>
      </c>
      <c r="O76" s="3612" t="str">
        <f>IF(项目基本情况!K6="上海银行","包含处置中涉及的律师、诉讼、拍卖、评估等费用","")</f>
        <v/>
      </c>
      <c r="P76" s="3613"/>
      <c r="Q76" s="1883"/>
      <c r="R76" s="1883"/>
      <c r="S76" s="1883"/>
      <c r="T76" s="1883"/>
      <c r="U76" s="1883"/>
      <c r="V76" s="1883"/>
    </row>
    <row r="77" spans="1:22" ht="24.75" thickBot="1">
      <c r="A77" s="3625" t="s">
        <v>421</v>
      </c>
      <c r="B77" s="3626"/>
      <c r="C77" s="3626"/>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2936</v>
      </c>
      <c r="J77" s="1890"/>
      <c r="K77" s="3621">
        <f>IF(AND(K75="",K76=""),4,IF(项目基本情况!K6="上海银行",K76+1,K75+1))</f>
        <v>5</v>
      </c>
      <c r="L77" s="3599" t="s">
        <v>2833</v>
      </c>
      <c r="M77" s="2729" t="s">
        <v>417</v>
      </c>
      <c r="N77" s="1238"/>
      <c r="O77" s="1239">
        <f ca="1">SUMIF(N72:N76,"&lt;9e307")</f>
        <v>0</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3621"/>
      <c r="L78" s="3599"/>
      <c r="M78" s="2729" t="s">
        <v>420</v>
      </c>
      <c r="N78" s="1238"/>
      <c r="O78" s="1239" t="str">
        <f ca="1">NUMBERSTRING(INT(O77*10000),2)&amp;"元整"</f>
        <v>零元整</v>
      </c>
      <c r="P78" s="1240"/>
      <c r="Q78" s="1883"/>
      <c r="R78" s="1883"/>
      <c r="S78" s="1883"/>
      <c r="T78" s="1883"/>
      <c r="U78" s="1883"/>
      <c r="V78" s="1883"/>
    </row>
    <row r="79" spans="1:22" ht="13.5" thickBot="1">
      <c r="A79" s="3676" t="s">
        <v>422</v>
      </c>
      <c r="B79" s="3676"/>
      <c r="C79" s="3676"/>
      <c r="D79" s="3676"/>
      <c r="E79" s="3676"/>
      <c r="F79" s="42"/>
      <c r="G79" s="42"/>
      <c r="H79" s="973"/>
      <c r="I79" s="309"/>
      <c r="J79" s="1890"/>
      <c r="K79" s="3597">
        <f>K77+1</f>
        <v>6</v>
      </c>
      <c r="L79" s="3599" t="s">
        <v>2834</v>
      </c>
      <c r="M79" s="2729" t="s">
        <v>417</v>
      </c>
      <c r="N79" s="1238"/>
      <c r="O79" s="1239" t="e">
        <f ca="1">N69-O77</f>
        <v>#VALUE!</v>
      </c>
      <c r="P79" s="1240"/>
      <c r="Q79" s="1883"/>
      <c r="R79" s="1883"/>
      <c r="S79" s="1883"/>
      <c r="T79" s="1883"/>
      <c r="U79" s="1883"/>
      <c r="V79" s="1883"/>
    </row>
    <row r="80" spans="1:22" ht="12.75">
      <c r="A80" s="3607" t="s">
        <v>423</v>
      </c>
      <c r="B80" s="3608"/>
      <c r="C80" s="964"/>
      <c r="D80" s="964" t="s">
        <v>424</v>
      </c>
      <c r="E80" s="364" t="s">
        <v>425</v>
      </c>
      <c r="F80" s="42"/>
      <c r="G80" s="42"/>
      <c r="H80" s="973"/>
      <c r="I80" s="309"/>
      <c r="J80" s="1883"/>
      <c r="K80" s="3598"/>
      <c r="L80" s="3599"/>
      <c r="M80" s="2729" t="s">
        <v>420</v>
      </c>
      <c r="N80" s="1238"/>
      <c r="O80" s="1239" t="e">
        <f ca="1">NUMBERSTRING(INT(O79*10000),2)&amp;"元整"</f>
        <v>#VALUE!</v>
      </c>
      <c r="P80" s="1240"/>
      <c r="Q80" s="1883"/>
      <c r="R80" s="1883"/>
      <c r="S80" s="1883"/>
      <c r="T80" s="1883"/>
      <c r="U80" s="1883"/>
      <c r="V80" s="1883"/>
    </row>
    <row r="81" spans="1:26" ht="13.5" thickBot="1">
      <c r="A81" s="375" t="s">
        <v>1798</v>
      </c>
      <c r="B81" s="365" t="s">
        <v>426</v>
      </c>
      <c r="C81" s="366" t="e">
        <f ca="1">ROUND((C82+C83)/(1+'数据-取费表'!C42),0)</f>
        <v>#REF!</v>
      </c>
      <c r="D81" s="367"/>
      <c r="E81" s="368"/>
      <c r="F81" s="42"/>
      <c r="G81" s="42"/>
      <c r="H81" s="973"/>
      <c r="I81" s="309"/>
      <c r="J81" s="1883"/>
      <c r="K81" s="2724">
        <f>K79+1</f>
        <v>7</v>
      </c>
      <c r="L81" s="3619" t="s">
        <v>2835</v>
      </c>
      <c r="M81" s="3620"/>
      <c r="N81" s="1242"/>
      <c r="O81" s="1243" t="e">
        <f ca="1">ROUND(O79*10000/'数据-汇总表'!E3,0)</f>
        <v>#VALUE!</v>
      </c>
      <c r="P81" s="1244"/>
      <c r="Q81" s="1883"/>
      <c r="R81" s="1883"/>
      <c r="S81" s="1883"/>
      <c r="T81" s="1883"/>
      <c r="U81" s="1883"/>
      <c r="V81" s="1883"/>
    </row>
    <row r="82" spans="1:26" ht="13.5" thickTop="1">
      <c r="A82" s="369" t="s">
        <v>1799</v>
      </c>
      <c r="B82" s="370" t="s">
        <v>427</v>
      </c>
      <c r="C82" s="371" t="e">
        <f ca="1">D63</f>
        <v>#REF!</v>
      </c>
      <c r="D82" s="372" t="s">
        <v>19</v>
      </c>
      <c r="E82" s="373"/>
      <c r="F82" s="42"/>
      <c r="G82" s="42"/>
      <c r="H82" s="973"/>
      <c r="I82" s="309"/>
      <c r="J82" s="1883"/>
      <c r="K82" s="1883"/>
      <c r="L82" s="1883"/>
      <c r="M82" s="1883"/>
      <c r="N82" s="1883"/>
      <c r="O82" s="1883"/>
      <c r="P82" s="1883"/>
      <c r="Q82" s="1883"/>
      <c r="R82" s="1883"/>
      <c r="S82" s="1883"/>
      <c r="T82" s="1883"/>
      <c r="U82" s="1883"/>
      <c r="V82" s="1883"/>
    </row>
    <row r="83" spans="1:26" ht="12.75">
      <c r="A83" s="369" t="s">
        <v>1800</v>
      </c>
      <c r="B83" s="370" t="s">
        <v>428</v>
      </c>
      <c r="C83" s="374"/>
      <c r="D83" s="372"/>
      <c r="E83" s="373"/>
      <c r="F83" s="42"/>
      <c r="G83" s="42"/>
      <c r="H83" s="973"/>
      <c r="I83" s="309"/>
      <c r="J83" s="1883"/>
      <c r="K83" s="3609" t="s">
        <v>2823</v>
      </c>
      <c r="L83" s="2735" t="s">
        <v>2824</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2.75">
      <c r="A84" s="375" t="s">
        <v>1801</v>
      </c>
      <c r="B84" s="376" t="s">
        <v>429</v>
      </c>
      <c r="C84" s="377"/>
      <c r="D84" s="378" t="s">
        <v>19</v>
      </c>
      <c r="E84" s="2753" t="s">
        <v>2878</v>
      </c>
      <c r="F84" s="42"/>
      <c r="G84" s="42"/>
      <c r="H84" s="973"/>
      <c r="I84" s="309"/>
      <c r="J84" s="1883"/>
      <c r="K84" s="3609"/>
      <c r="L84" s="2735" t="s">
        <v>2825</v>
      </c>
      <c r="M84" s="272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2826</v>
      </c>
      <c r="P84" s="1883"/>
      <c r="Q84" s="1883"/>
      <c r="R84" s="1883"/>
      <c r="S84" s="1883"/>
      <c r="T84" s="1883"/>
      <c r="U84" s="1883"/>
      <c r="V84" s="1883"/>
    </row>
    <row r="85" spans="1:26" ht="12.75">
      <c r="A85" s="375" t="s">
        <v>1802</v>
      </c>
      <c r="B85" s="376" t="s">
        <v>430</v>
      </c>
      <c r="C85" s="379" t="e">
        <f ca="1">C81-C84</f>
        <v>#REF!</v>
      </c>
      <c r="D85" s="372" t="s">
        <v>19</v>
      </c>
      <c r="E85" s="373"/>
      <c r="F85" s="42"/>
      <c r="G85" s="42"/>
      <c r="H85" s="973"/>
      <c r="I85" s="309"/>
      <c r="J85" s="1883"/>
      <c r="K85" s="3609"/>
      <c r="L85" s="2735" t="s">
        <v>2827</v>
      </c>
      <c r="M85" s="2725" t="e">
        <f>IF(N69&gt;1000,N69*0.1%,IF(AND(N69&gt;500,N69&lt;=1000),N69*0.5%,IF(AND(N69&gt;50,N69&lt;=500),N69*1%,IF(AND(N69&gt;1,N69&lt;=50),N69*1.5%))))</f>
        <v>#VALUE!</v>
      </c>
      <c r="N85" s="53" t="e">
        <f t="shared" si="2"/>
        <v>#VALUE!</v>
      </c>
      <c r="O85" s="1883" t="s">
        <v>2826</v>
      </c>
      <c r="P85" s="1883"/>
      <c r="Q85" s="1883"/>
      <c r="R85" s="1883"/>
      <c r="S85" s="1883"/>
      <c r="T85" s="1883"/>
      <c r="U85" s="1883"/>
      <c r="V85" s="1883"/>
    </row>
    <row r="86" spans="1:26" ht="13.5" thickBot="1">
      <c r="A86" s="380" t="s">
        <v>1803</v>
      </c>
      <c r="B86" s="381" t="s">
        <v>431</v>
      </c>
      <c r="C86" s="382" t="e">
        <f ca="1">IF(C85&lt;=0,0,ROUND(C85*D86,0))</f>
        <v>#REF!</v>
      </c>
      <c r="D86" s="383">
        <f>'数据-取费表'!B41</f>
        <v>5.6000000000000001E-2</v>
      </c>
      <c r="E86" s="384"/>
      <c r="F86" s="42"/>
      <c r="G86" s="42"/>
      <c r="H86" s="973"/>
      <c r="I86" s="309"/>
      <c r="J86" s="1883"/>
      <c r="K86" s="3609"/>
      <c r="L86" s="2735" t="s">
        <v>2828</v>
      </c>
      <c r="M86" s="2725" t="e">
        <f>N69*0.5%</f>
        <v>#VALUE!</v>
      </c>
      <c r="N86" s="53" t="e">
        <f>IF(M86&gt;0.5,0.5,ROUND(M86,0))</f>
        <v>#VALUE!</v>
      </c>
      <c r="O86" s="1883" t="s">
        <v>2829</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609"/>
      <c r="L87" s="2735" t="s">
        <v>2830</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5" thickBot="1">
      <c r="A88" s="3648" t="s">
        <v>432</v>
      </c>
      <c r="B88" s="3649"/>
      <c r="C88" s="3649"/>
      <c r="D88" s="3649"/>
      <c r="E88" s="3649"/>
      <c r="F88" s="3649"/>
      <c r="G88" s="3649"/>
      <c r="H88" s="3649"/>
      <c r="I88" s="1251"/>
      <c r="J88" s="1891"/>
      <c r="K88" s="3609"/>
      <c r="L88" s="2735" t="s">
        <v>2831</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25">
      <c r="A89" s="3607" t="s">
        <v>423</v>
      </c>
      <c r="B89" s="3608"/>
      <c r="C89" s="964"/>
      <c r="D89" s="964" t="s">
        <v>424</v>
      </c>
      <c r="E89" s="385" t="s">
        <v>433</v>
      </c>
      <c r="F89" s="386"/>
      <c r="G89" s="386"/>
      <c r="H89" s="387"/>
      <c r="I89" s="1252"/>
      <c r="J89" s="1893"/>
      <c r="K89" s="3609"/>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25">
      <c r="A90" s="375" t="s">
        <v>1798</v>
      </c>
      <c r="B90" s="376" t="s">
        <v>434</v>
      </c>
      <c r="C90" s="379" t="e">
        <f ca="1">ROUND(D63/(1+'数据-取费表'!C42),0)</f>
        <v>#REF!</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25">
      <c r="A91" s="375" t="s">
        <v>1804</v>
      </c>
      <c r="B91" s="346" t="s">
        <v>435</v>
      </c>
      <c r="C91" s="379" t="e">
        <f ca="1">C92+C96</f>
        <v>#REF!</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4">
      <c r="A92" s="389" t="s">
        <v>1805</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25">
      <c r="A93" s="389" t="s">
        <v>1806</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1807</v>
      </c>
      <c r="B94" s="394" t="s">
        <v>440</v>
      </c>
      <c r="C94" s="372">
        <f>IF(F93="购房发票",ROUND(C93*H93*5%,0),0)</f>
        <v>0</v>
      </c>
      <c r="D94" s="395">
        <v>0.05</v>
      </c>
      <c r="E94" s="3645" t="s">
        <v>441</v>
      </c>
      <c r="F94" s="3646"/>
      <c r="G94" s="3646"/>
      <c r="H94" s="3647"/>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1809</v>
      </c>
      <c r="B96" s="370" t="s">
        <v>444</v>
      </c>
      <c r="C96" s="399" t="e">
        <f ca="1">ROUND(D63*D96/(1+'数据-取费表'!C42),0)</f>
        <v>#REF!</v>
      </c>
      <c r="D96" s="400">
        <f>'数据-取费表'!B43</f>
        <v>6.000000000000001E-3</v>
      </c>
      <c r="E96" s="3604" t="s">
        <v>2390</v>
      </c>
      <c r="F96" s="3605"/>
      <c r="G96" s="3605"/>
      <c r="H96" s="3606"/>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25">
      <c r="A97" s="1520" t="s">
        <v>1810</v>
      </c>
      <c r="B97" s="376" t="s">
        <v>445</v>
      </c>
      <c r="C97" s="379" t="e">
        <f ca="1">C90-C91</f>
        <v>#REF!</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4">
      <c r="A98" s="1520" t="s">
        <v>1811</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4.75" thickBot="1">
      <c r="A99" s="1521" t="s">
        <v>1812</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5" thickBot="1">
      <c r="A101" s="3648" t="s">
        <v>448</v>
      </c>
      <c r="B101" s="3649"/>
      <c r="C101" s="3649"/>
      <c r="D101" s="3649"/>
      <c r="E101" s="3649"/>
      <c r="F101" s="3649"/>
      <c r="G101" s="3649"/>
      <c r="H101" s="3649"/>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25">
      <c r="A102" s="3607" t="s">
        <v>423</v>
      </c>
      <c r="B102" s="3608"/>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25">
      <c r="A103" s="375" t="s">
        <v>1798</v>
      </c>
      <c r="B103" s="376" t="s">
        <v>434</v>
      </c>
      <c r="C103" s="379" t="e">
        <f ca="1">ROUND(D63/(1+'数据-取费表'!C42),0)</f>
        <v>#REF!</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25">
      <c r="A104" s="375" t="s">
        <v>1804</v>
      </c>
      <c r="B104" s="346" t="s">
        <v>435</v>
      </c>
      <c r="C104" s="379" t="e">
        <f ca="1">IF(H106="仅含出让金",C105+C108+C109+C110+C111+C112,C105+C109+C110+C111+C112)</f>
        <v>#REF!</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25">
      <c r="A105" s="389" t="s">
        <v>1805</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25">
      <c r="A106" s="389" t="s">
        <v>1806</v>
      </c>
      <c r="B106" s="370" t="s">
        <v>450</v>
      </c>
      <c r="C106" s="410"/>
      <c r="D106" s="400"/>
      <c r="E106" s="411" t="s">
        <v>451</v>
      </c>
      <c r="F106" s="956"/>
      <c r="G106" s="412" t="s">
        <v>452</v>
      </c>
      <c r="H106" s="413"/>
      <c r="I106" s="11"/>
      <c r="J106" s="1888"/>
      <c r="K106" s="3209" t="s">
        <v>2957</v>
      </c>
      <c r="L106" s="1888"/>
      <c r="M106" s="1888"/>
      <c r="N106" s="1888"/>
      <c r="O106" s="1888"/>
      <c r="P106" s="1888"/>
      <c r="Q106" s="1888"/>
      <c r="R106" s="1888"/>
      <c r="S106" s="1888"/>
      <c r="T106" s="1888"/>
      <c r="U106" s="1888"/>
      <c r="V106" s="1888"/>
      <c r="W106" s="1892"/>
      <c r="X106" s="1892"/>
      <c r="Y106" s="1892"/>
      <c r="Z106" s="1892"/>
    </row>
    <row r="107" spans="1:26" s="1250" customFormat="1" ht="14.25">
      <c r="A107" s="389" t="s">
        <v>1807</v>
      </c>
      <c r="B107" s="370" t="s">
        <v>442</v>
      </c>
      <c r="C107" s="399">
        <f>ROUND(C106*D107,0)</f>
        <v>0</v>
      </c>
      <c r="D107" s="400">
        <f>'数据-取费表'!B48+'数据-取费表'!B49</f>
        <v>3.0499999999999999E-2</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25">
      <c r="A108" s="389" t="s">
        <v>1809</v>
      </c>
      <c r="B108" s="370" t="s">
        <v>454</v>
      </c>
      <c r="C108" s="410"/>
      <c r="D108" s="400"/>
      <c r="E108" s="411" t="str">
        <f>IF(H106="-","土地取得成本中已包含该笔费用"," ")</f>
        <v xml:space="preserve"> </v>
      </c>
      <c r="F108" s="956"/>
      <c r="G108" s="3660" t="s">
        <v>2928</v>
      </c>
      <c r="H108" s="3661"/>
      <c r="I108" s="2825"/>
      <c r="J108" s="1888"/>
      <c r="K108" s="3209" t="s">
        <v>2958</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1813</v>
      </c>
      <c r="B109" s="370" t="s">
        <v>455</v>
      </c>
      <c r="C109" s="399">
        <f>IF(H109="——",IF(F1="现房",'剩余法-现房'!C18,0),I109)</f>
        <v>0</v>
      </c>
      <c r="D109" s="400"/>
      <c r="E109" s="3638" t="s">
        <v>456</v>
      </c>
      <c r="F109" s="3605"/>
      <c r="G109" s="3605"/>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1814</v>
      </c>
      <c r="B110" s="370" t="s">
        <v>457</v>
      </c>
      <c r="C110" s="399">
        <f>ROUND((C105+C108+C109)*D110,0)</f>
        <v>0</v>
      </c>
      <c r="D110" s="3240">
        <v>0</v>
      </c>
      <c r="E110" s="3638" t="s">
        <v>458</v>
      </c>
      <c r="F110" s="3605"/>
      <c r="G110" s="3605"/>
      <c r="H110" s="3606"/>
      <c r="I110" s="11"/>
      <c r="J110" s="1888"/>
      <c r="K110" s="3210" t="s">
        <v>2959</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1815</v>
      </c>
      <c r="B111" s="370" t="s">
        <v>444</v>
      </c>
      <c r="C111" s="399" t="e">
        <f ca="1">ROUND(D63*D111/(1+'数据-取费表'!C42),0)</f>
        <v>#REF!</v>
      </c>
      <c r="D111" s="400">
        <f>'数据-取费表'!B43</f>
        <v>6.000000000000001E-3</v>
      </c>
      <c r="E111" s="3604" t="s">
        <v>2390</v>
      </c>
      <c r="F111" s="3605"/>
      <c r="G111" s="3605"/>
      <c r="H111" s="3606"/>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1816</v>
      </c>
      <c r="B112" s="370" t="s">
        <v>459</v>
      </c>
      <c r="C112" s="399">
        <f>ROUND(C108*D112,0)</f>
        <v>0</v>
      </c>
      <c r="D112" s="400">
        <v>0.2</v>
      </c>
      <c r="E112" s="3638" t="s">
        <v>2408</v>
      </c>
      <c r="F112" s="3605"/>
      <c r="G112" s="3605"/>
      <c r="H112" s="3606"/>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25">
      <c r="A113" s="1520" t="s">
        <v>1810</v>
      </c>
      <c r="B113" s="376" t="s">
        <v>445</v>
      </c>
      <c r="C113" s="379" t="e">
        <f ca="1">ROUND(C103-C104,0)</f>
        <v>#REF!</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4">
      <c r="A114" s="1520" t="s">
        <v>1811</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4.75" thickBot="1">
      <c r="A115" s="1521" t="s">
        <v>1812</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375" style="1978" customWidth="1"/>
    <col min="6" max="6" width="10.125" style="1968" customWidth="1"/>
    <col min="7" max="7" width="11.625" style="1968" customWidth="1"/>
    <col min="8" max="8" width="10" style="1968" customWidth="1"/>
    <col min="9" max="11" width="9.375" style="1968" customWidth="1"/>
    <col min="12" max="12" width="9" style="1969" customWidth="1"/>
    <col min="13" max="13" width="10.375" style="1969" bestFit="1" customWidth="1"/>
    <col min="14" max="26" width="9" style="1969" customWidth="1"/>
    <col min="27" max="254" width="9" style="1968" customWidth="1"/>
    <col min="255" max="16384" width="6.625" style="1968"/>
  </cols>
  <sheetData>
    <row r="1" spans="1:31" s="1896" customFormat="1" ht="20.25">
      <c r="A1" s="1957" t="s">
        <v>460</v>
      </c>
      <c r="B1" s="2494" t="s">
        <v>3145</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f ca="1">C36</f>
        <v>6252</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3400</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3400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227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 ca="1">SUM(C10:K10)</f>
        <v>15943</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5">
      <c r="A7" s="2517" t="s">
        <v>464</v>
      </c>
      <c r="B7" s="2518" t="s">
        <v>465</v>
      </c>
      <c r="C7" s="430" t="s">
        <v>3145</v>
      </c>
      <c r="D7" s="430"/>
      <c r="E7" s="430"/>
      <c r="F7" s="430"/>
      <c r="G7" s="430"/>
      <c r="H7" s="430"/>
      <c r="I7" s="430"/>
      <c r="J7" s="430"/>
      <c r="K7" s="431"/>
      <c r="AA7" s="1966"/>
      <c r="AB7" s="1966"/>
      <c r="AC7" s="1966"/>
      <c r="AD7" s="1966"/>
      <c r="AE7" s="1966"/>
    </row>
    <row r="8" spans="1:31" s="1969" customFormat="1" ht="13.5" customHeight="1">
      <c r="A8" s="775" t="s">
        <v>1820</v>
      </c>
      <c r="B8" s="259" t="s">
        <v>466</v>
      </c>
      <c r="C8" s="2519"/>
      <c r="D8" s="2519"/>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SUMIF('数据-汇总表'!$C19:$C33,'剩余法-待开发'!C7,'数据-汇总表'!$E19:$E33)</f>
        <v>18388.8</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8"/>
      <c r="AB9" s="1968"/>
      <c r="AC9" s="1968"/>
      <c r="AD9" s="1968"/>
      <c r="AE9" s="1968"/>
    </row>
    <row r="10" spans="1:31" s="1969" customFormat="1" ht="13.5" customHeight="1" thickBot="1">
      <c r="A10" s="2521" t="s">
        <v>1822</v>
      </c>
      <c r="B10" s="2507" t="s">
        <v>468</v>
      </c>
      <c r="C10" s="2710">
        <f ca="1">不动产收益法!C40</f>
        <v>15943</v>
      </c>
      <c r="D10" s="2710"/>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1823</v>
      </c>
      <c r="B13" s="2528" t="s">
        <v>473</v>
      </c>
      <c r="C13" s="443">
        <f ca="1">IF(B1="",'数据-取费表'!P16,INDIRECT("'数据-取费表'!p"&amp;$K$1)+INDIRECT("'数据-取费表'!t"&amp;$K$1))</f>
        <v>5517</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166</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0</v>
      </c>
      <c r="D15" s="2529"/>
      <c r="E15" s="2530"/>
      <c r="F15" s="2532">
        <f>'数据-取费表'!B34</f>
        <v>0</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368</v>
      </c>
      <c r="D16" s="2529">
        <f ca="1">IF(B1="",'数据-汇总表'!E3,INDIRECT("'数据-取费表'!K"&amp;$K$1)+INDIRECT("'数据-取费表'!S"&amp;$K$1))</f>
        <v>18388.8</v>
      </c>
      <c r="E16" s="53">
        <f>'数据-取费表'!B35</f>
        <v>200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83</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6134</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2493">
        <f ca="1">ROUND(D19*E19/10000,0)</f>
        <v>0</v>
      </c>
      <c r="D19" s="2539">
        <f ca="1">D16</f>
        <v>18388.8</v>
      </c>
      <c r="E19" s="2493">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2493">
        <f ca="1">C21+C22-IF(B1="",'数据-取费表'!B29,IF(G20="已全部缴纳",C21+C22,H20))</f>
        <v>285</v>
      </c>
      <c r="D20" s="2539"/>
      <c r="E20" s="2493"/>
      <c r="F20" s="2540"/>
      <c r="G20" s="2742"/>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0</v>
      </c>
      <c r="D21" s="2529">
        <f ca="1">IF(B1="",'数据-汇总表'!E5,IF(INDIRECT("'数据-取费表'!c"&amp;$K$1)="住宅",INDIRECT("'数据-取费表'!k"&amp;$K$1),0))</f>
        <v>0</v>
      </c>
      <c r="E21" s="53">
        <f>'数据-取费表'!B27</f>
        <v>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285</v>
      </c>
      <c r="D22" s="2529">
        <f ca="1">IF(B1="",'数据-汇总表'!E6,IF(INDIRECT("'数据-取费表'!c"&amp;$K$1)="住宅",INDIRECT("'数据-取费表'!s"&amp;$K$1),INDIRECT("'数据-取费表'!k"&amp;$K$1)+INDIRECT("'数据-取费表'!s"&amp;$K$1)))</f>
        <v>18388.8</v>
      </c>
      <c r="E22" s="53">
        <f>'数据-取费表'!B28</f>
        <v>155</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64</v>
      </c>
      <c r="D23" s="461"/>
      <c r="E23" s="461"/>
      <c r="F23" s="2541">
        <f>'数据-取费表'!B37</f>
        <v>0.01</v>
      </c>
      <c r="G23" s="2497" t="s">
        <v>2392</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 ca="1">ROUND(C6*F24,0)</f>
        <v>159</v>
      </c>
      <c r="D24" s="468"/>
      <c r="E24" s="466"/>
      <c r="F24" s="2541">
        <f>'数据-取费表'!B38</f>
        <v>0.01</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1835</v>
      </c>
      <c r="B25" s="2714" t="s">
        <v>2784</v>
      </c>
      <c r="C25" s="3241">
        <f>F25</f>
        <v>3.0499999999999999E-2</v>
      </c>
      <c r="D25" s="455" t="s">
        <v>2780</v>
      </c>
      <c r="E25" s="462"/>
      <c r="F25" s="2541">
        <f>'数据-取费表'!B48+'数据-取费表'!B49</f>
        <v>3.0499999999999999E-2</v>
      </c>
      <c r="G25" s="2505" t="s">
        <v>2255</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1836</v>
      </c>
      <c r="B26" s="2715" t="s">
        <v>2785</v>
      </c>
      <c r="C26" s="2542">
        <f ca="1">C28</f>
        <v>235</v>
      </c>
      <c r="D26" s="460">
        <f ca="1">C27</f>
        <v>7.4300000000000005E-2</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1831</v>
      </c>
      <c r="B27" s="2543" t="s">
        <v>488</v>
      </c>
      <c r="C27" s="2544">
        <f ca="1">ROUND(IF('数据-取费表'!B22&lt;=1,(1+C25)*F26*'数据-取费表'!B24,(1+C25)*(POWER((1+F26),'数据-取费表'!B24)-1)),4)</f>
        <v>7.4300000000000005E-2</v>
      </c>
      <c r="D27" s="465"/>
      <c r="E27" s="466"/>
      <c r="F27" s="467"/>
      <c r="G27" s="2392" t="str">
        <f>IF('数据-取费表'!B22&lt;=1,"（1+取得税费率/(1+5%)）×年利率×建设期","（1+取得税费率）/(1+5%)×((1+年利率)^建设期-1)")</f>
        <v>（1+取得税费率）/(1+5%)×((1+年利率)^建设期-1)</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1832</v>
      </c>
      <c r="B28" s="2543" t="s">
        <v>2787</v>
      </c>
      <c r="C28" s="2545">
        <f ca="1">ROUND(IF('数据-取费表'!B22&lt;=1,(C18+C19+C20+C23+C24)*F26*'数据-取费表'!B24/2,(C18+C19+C20+C23+C24)*(POWER((1+F26),'数据-取费表'!B24/2)-1)),0)</f>
        <v>235</v>
      </c>
      <c r="D28" s="465"/>
      <c r="E28" s="466"/>
      <c r="F28" s="467"/>
      <c r="G28" s="2392" t="str">
        <f>IF('数据-取费表'!B22&lt;=1,"（1）-（4）项×年利率×建设期÷2","（1）-（4）项×((1+年利率)^(建设期÷2)-1)")</f>
        <v>（1）-（4）项×((1+年利率)^(建设期÷2)-1)</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1837</v>
      </c>
      <c r="B29" s="2536" t="s">
        <v>489</v>
      </c>
      <c r="C29" s="2537">
        <f ca="1">ROUND(C6*F29/(1+'数据-取费表'!C42),0)</f>
        <v>850</v>
      </c>
      <c r="D29" s="461"/>
      <c r="E29" s="461"/>
      <c r="F29" s="2716">
        <f>'数据-取费表'!B41</f>
        <v>5.6000000000000001E-2</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1838</v>
      </c>
      <c r="B30" s="2547" t="s">
        <v>492</v>
      </c>
      <c r="C30" s="2542">
        <f ca="1">C31</f>
        <v>7727</v>
      </c>
      <c r="D30" s="470">
        <f ca="1">C32</f>
        <v>0.1048</v>
      </c>
      <c r="E30" s="462" t="s">
        <v>487</v>
      </c>
      <c r="F30" s="464"/>
      <c r="G30" s="2505" t="s">
        <v>2906</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1831</v>
      </c>
      <c r="B31" s="2543"/>
      <c r="C31" s="443">
        <f ca="1">C18+C19+C20+C23+C24+C26+C29</f>
        <v>7727</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1832</v>
      </c>
      <c r="B32" s="2543"/>
      <c r="C32" s="53">
        <f ca="1">ROUND(C25+D26,4)</f>
        <v>0.1048</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2782</v>
      </c>
      <c r="B33" s="2711" t="s">
        <v>2781</v>
      </c>
      <c r="C33" s="471">
        <f ca="1">C35</f>
        <v>664</v>
      </c>
      <c r="D33" s="460">
        <f ca="1">C34</f>
        <v>0.1031</v>
      </c>
      <c r="E33" s="462" t="s">
        <v>487</v>
      </c>
      <c r="F33" s="472">
        <f ca="1">IF(B1="",'数据-取费表'!Q16,INDIRECT("'数据-取费表'!q"&amp;$K$1))</f>
        <v>0.1</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1831</v>
      </c>
      <c r="B34" s="2548" t="s">
        <v>493</v>
      </c>
      <c r="C34" s="465">
        <f ca="1">ROUND((1+C25)*F33,4)</f>
        <v>0.1031</v>
      </c>
      <c r="D34" s="465"/>
      <c r="E34" s="466"/>
      <c r="F34" s="473"/>
      <c r="G34" s="259" t="s">
        <v>2256</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1832</v>
      </c>
      <c r="B35" s="2712" t="s">
        <v>2788</v>
      </c>
      <c r="C35" s="1531">
        <f ca="1">ROUND((C18+C19+C20+C23+C24)*F33,0)</f>
        <v>664</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1819</v>
      </c>
      <c r="B36" s="2511"/>
      <c r="C36" s="2550">
        <f ca="1">ROUND((C6-C30-C33)/(1+D30+D33),0)</f>
        <v>6252</v>
      </c>
      <c r="D36" s="2511"/>
      <c r="E36" s="2511"/>
      <c r="F36" s="2511"/>
      <c r="G36" s="2510" t="s">
        <v>2789</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375" style="1557" customWidth="1"/>
    <col min="2" max="2" width="10.75" style="1557" customWidth="1"/>
    <col min="3" max="4" width="11.625" style="1557" customWidth="1"/>
    <col min="5" max="5" width="6.625" style="1557" customWidth="1"/>
    <col min="6" max="16384" width="9" style="1557"/>
  </cols>
  <sheetData>
    <row r="36" spans="1:9">
      <c r="A36" s="1556" t="s">
        <v>1870</v>
      </c>
      <c r="B36" s="1556" t="s">
        <v>1871</v>
      </c>
    </row>
    <row r="37" spans="1:9" ht="28.5" customHeight="1">
      <c r="A37" s="1556"/>
      <c r="B37" s="3504" t="str">
        <f>项目基本情况!B1</f>
        <v>出让国有建设用地使用权预评估</v>
      </c>
      <c r="C37" s="3504"/>
      <c r="D37" s="3504"/>
      <c r="E37" s="3504"/>
      <c r="F37" s="3504"/>
      <c r="G37" s="3504"/>
      <c r="H37" s="3504"/>
      <c r="I37" s="3504"/>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ht="12.75">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J51" sqref="J51"/>
    </sheetView>
  </sheetViews>
  <sheetFormatPr defaultColWidth="9" defaultRowHeight="15"/>
  <cols>
    <col min="1" max="1" width="9" style="1915" customWidth="1"/>
    <col min="2" max="2" width="20.625" style="1953" customWidth="1"/>
    <col min="3" max="3" width="11.875" style="1953" customWidth="1"/>
    <col min="4" max="4" width="40.375" style="1915" customWidth="1"/>
    <col min="5" max="5" width="15.75" style="1915" customWidth="1"/>
    <col min="6" max="6" width="10.625" style="1915" customWidth="1"/>
    <col min="7" max="7" width="4.875" style="1915" customWidth="1"/>
    <col min="8" max="8" width="8.37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375" style="1914" bestFit="1" customWidth="1"/>
    <col min="15" max="15" width="5.875" style="1914" customWidth="1"/>
    <col min="16" max="16" width="27.625" style="1914" customWidth="1"/>
    <col min="17" max="17" width="13.75" style="1951" customWidth="1"/>
    <col min="18" max="18" width="23.375" style="1914" customWidth="1"/>
    <col min="19" max="19" width="1.375" style="1914" customWidth="1"/>
    <col min="20" max="33" width="9" style="1914"/>
    <col min="34" max="16384" width="9" style="1915"/>
  </cols>
  <sheetData>
    <row r="1" spans="1:33" s="1909" customFormat="1" ht="21">
      <c r="A1" s="803" t="s">
        <v>1700</v>
      </c>
      <c r="B1" s="712"/>
      <c r="C1" s="745" t="s">
        <v>3145</v>
      </c>
      <c r="D1" s="2764" t="s">
        <v>927</v>
      </c>
      <c r="E1" s="2213" t="s">
        <v>2336</v>
      </c>
      <c r="F1" s="2214">
        <f ca="1">J53</f>
        <v>50</v>
      </c>
      <c r="G1" s="3224">
        <f>MATCH(C1,'数据-取费表'!A6:A16,0)+5</f>
        <v>6</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1701</v>
      </c>
      <c r="B2" s="747">
        <f ca="1">C40+J29+L46</f>
        <v>15943</v>
      </c>
      <c r="C2" s="3229"/>
      <c r="D2" s="3230"/>
      <c r="E2" s="3231"/>
      <c r="F2" s="3231"/>
      <c r="G2" s="3225"/>
      <c r="H2" s="1912"/>
      <c r="I2" s="1912"/>
      <c r="J2" s="1912"/>
      <c r="K2" s="1913"/>
      <c r="L2" s="1912"/>
      <c r="M2" s="1912"/>
    </row>
    <row r="3" spans="1:33" ht="18" customHeight="1" thickBot="1">
      <c r="A3" s="804" t="s">
        <v>1702</v>
      </c>
      <c r="B3" s="805">
        <f ca="1">IF(ISERROR(B2*10000/F43),0,ROUND(B2*10000/F43,0))</f>
        <v>8670</v>
      </c>
      <c r="C3" s="3229"/>
      <c r="D3" s="3230"/>
      <c r="E3" s="3231"/>
      <c r="F3" s="3231"/>
      <c r="G3" s="3225"/>
      <c r="H3" s="748" t="s">
        <v>673</v>
      </c>
      <c r="I3" s="1290"/>
      <c r="J3" s="1290"/>
      <c r="K3" s="1500"/>
      <c r="L3" s="1290"/>
      <c r="M3" s="1290"/>
    </row>
    <row r="4" spans="1:33" ht="18" customHeight="1">
      <c r="A4" s="749" t="s">
        <v>1703</v>
      </c>
      <c r="B4" s="750" t="s">
        <v>1704</v>
      </c>
      <c r="C4" s="750" t="s">
        <v>1705</v>
      </c>
      <c r="D4" s="750" t="s">
        <v>611</v>
      </c>
      <c r="E4" s="751" t="s">
        <v>1706</v>
      </c>
      <c r="F4" s="752"/>
      <c r="G4" s="1917"/>
      <c r="H4" s="749" t="s">
        <v>1707</v>
      </c>
      <c r="I4" s="750" t="s">
        <v>1708</v>
      </c>
      <c r="J4" s="750" t="s">
        <v>1709</v>
      </c>
      <c r="K4" s="750" t="s">
        <v>1710</v>
      </c>
      <c r="L4" s="751" t="s">
        <v>1711</v>
      </c>
      <c r="M4" s="752"/>
    </row>
    <row r="5" spans="1:33" ht="18" customHeight="1">
      <c r="A5" s="753">
        <v>1</v>
      </c>
      <c r="B5" s="754" t="s">
        <v>2412</v>
      </c>
      <c r="C5" s="55">
        <f ca="1">C6+C10+C12</f>
        <v>914</v>
      </c>
      <c r="D5" s="2318" t="s">
        <v>2415</v>
      </c>
      <c r="E5" s="2312"/>
      <c r="F5" s="2313"/>
      <c r="G5" s="1917"/>
      <c r="H5" s="753">
        <v>1</v>
      </c>
      <c r="I5" s="754" t="s">
        <v>2412</v>
      </c>
      <c r="J5" s="55">
        <f ca="1">J6+J10+J12</f>
        <v>0</v>
      </c>
      <c r="K5" s="2318" t="s">
        <v>2415</v>
      </c>
      <c r="L5" s="2312"/>
      <c r="M5" s="2313"/>
    </row>
    <row r="6" spans="1:33" ht="18" customHeight="1">
      <c r="A6" s="1718" t="s">
        <v>1799</v>
      </c>
      <c r="B6" s="3679" t="s">
        <v>2417</v>
      </c>
      <c r="C6" s="755">
        <f ca="1">ROUND(F6*F8*F7*(1-F9)/10000,0)</f>
        <v>913</v>
      </c>
      <c r="D6" s="2319" t="s">
        <v>2416</v>
      </c>
      <c r="E6" s="756" t="s">
        <v>1713</v>
      </c>
      <c r="F6" s="757">
        <f ca="1">INDIRECT("'数据-取费表'!u"&amp;$G$1)</f>
        <v>1.6</v>
      </c>
      <c r="G6" s="1917"/>
      <c r="H6" s="2326" t="s">
        <v>2422</v>
      </c>
      <c r="I6" s="3679" t="s">
        <v>2417</v>
      </c>
      <c r="J6" s="755">
        <f ca="1">ROUND(M6*M8*M7*(1-M9)/10000,0)</f>
        <v>0</v>
      </c>
      <c r="K6" s="339" t="s">
        <v>1712</v>
      </c>
      <c r="L6" s="756" t="s">
        <v>1713</v>
      </c>
      <c r="M6" s="757">
        <f ca="1">INDIRECT("'数据-取费表'!z"&amp;$G$1)</f>
        <v>0</v>
      </c>
    </row>
    <row r="7" spans="1:33" ht="18" customHeight="1">
      <c r="A7" s="2322"/>
      <c r="B7" s="3680"/>
      <c r="C7" s="760"/>
      <c r="D7" s="761"/>
      <c r="E7" s="756" t="s">
        <v>1714</v>
      </c>
      <c r="F7" s="757">
        <f ca="1">IF(INDIRECT("'数据-取费表'!ah"&amp;$G$1)="",INDIRECT("'数据-取费表'!k"&amp;$G$1),INDIRECT("'数据-取费表'!ah"&amp;$G$1))</f>
        <v>18388.8</v>
      </c>
      <c r="G7" s="1917"/>
      <c r="H7" s="2311"/>
      <c r="I7" s="3680"/>
      <c r="J7" s="760"/>
      <c r="K7" s="761"/>
      <c r="L7" s="756" t="s">
        <v>1714</v>
      </c>
      <c r="M7" s="757">
        <f ca="1">F7</f>
        <v>18388.8</v>
      </c>
    </row>
    <row r="8" spans="1:33" ht="18" customHeight="1">
      <c r="A8" s="2315"/>
      <c r="B8" s="3681"/>
      <c r="C8" s="760"/>
      <c r="D8" s="761"/>
      <c r="E8" s="756" t="s">
        <v>1715</v>
      </c>
      <c r="F8" s="757">
        <f ca="1">INDIRECT("'数据-取费表'!ai"&amp;$G$1)</f>
        <v>365</v>
      </c>
      <c r="G8" s="1917"/>
      <c r="H8" s="2311"/>
      <c r="I8" s="3681"/>
      <c r="J8" s="760"/>
      <c r="K8" s="761"/>
      <c r="L8" s="756" t="s">
        <v>1715</v>
      </c>
      <c r="M8" s="757">
        <f ca="1">INDIRECT("'数据-取费表'!ai"&amp;$G$1)</f>
        <v>365</v>
      </c>
    </row>
    <row r="9" spans="1:33" ht="18" customHeight="1">
      <c r="A9" s="758"/>
      <c r="B9" s="3682"/>
      <c r="C9" s="760"/>
      <c r="D9" s="761"/>
      <c r="E9" s="756" t="s">
        <v>1716</v>
      </c>
      <c r="F9" s="766">
        <f ca="1">INDIRECT("'数据-取费表'!w"&amp;$G$1)</f>
        <v>0.15</v>
      </c>
      <c r="G9" s="1917"/>
      <c r="H9" s="2327"/>
      <c r="I9" s="3681"/>
      <c r="J9" s="760"/>
      <c r="K9" s="761"/>
      <c r="L9" s="767" t="s">
        <v>1716</v>
      </c>
      <c r="M9" s="768">
        <f ca="1">INDIRECT("'数据-取费表'!ab"&amp;$G$1)</f>
        <v>0</v>
      </c>
    </row>
    <row r="10" spans="1:33" ht="18" customHeight="1">
      <c r="A10" s="1718" t="s">
        <v>2420</v>
      </c>
      <c r="B10" s="2316" t="s">
        <v>2413</v>
      </c>
      <c r="C10" s="771">
        <f ca="1">ROUND(IF(F10="押一",C6/12*F11,IF(F10="押二",C6/12*2*F11,IF(F10="押三",C6/12*3*F11,C11*F11))),0)</f>
        <v>1</v>
      </c>
      <c r="D10" s="2323" t="s">
        <v>2907</v>
      </c>
      <c r="E10" s="2320" t="s">
        <v>2418</v>
      </c>
      <c r="F10" s="2433" t="s">
        <v>3146</v>
      </c>
      <c r="G10" s="1917"/>
      <c r="H10" s="2383" t="s">
        <v>2423</v>
      </c>
      <c r="I10" s="2388" t="s">
        <v>2413</v>
      </c>
      <c r="J10" s="755">
        <f ca="1">ROUND(IF(M10="押一",J6/12*M11,IF(M10="押二",J6/12*2*M11,IF(M10="押三",J6/12*3*M11,J11*M11))),0)</f>
        <v>0</v>
      </c>
      <c r="K10" s="2323" t="s">
        <v>2907</v>
      </c>
      <c r="L10" s="2320" t="s">
        <v>2418</v>
      </c>
      <c r="M10" s="2433"/>
    </row>
    <row r="11" spans="1:33" ht="18" customHeight="1">
      <c r="A11" s="762"/>
      <c r="B11" s="2317" t="s">
        <v>2527</v>
      </c>
      <c r="C11" s="2321"/>
      <c r="D11" s="761"/>
      <c r="E11" s="2320" t="s">
        <v>2419</v>
      </c>
      <c r="F11" s="768">
        <f ca="1">'数据-取费表'!B39</f>
        <v>1.4999999999999999E-2</v>
      </c>
      <c r="G11" s="1917"/>
      <c r="H11" s="2384"/>
      <c r="I11" s="2317" t="s">
        <v>2527</v>
      </c>
      <c r="J11" s="2321"/>
      <c r="K11" s="2385"/>
      <c r="L11" s="2320" t="s">
        <v>2419</v>
      </c>
      <c r="M11" s="2314">
        <f ca="1">'数据-取费表'!B39</f>
        <v>1.4999999999999999E-2</v>
      </c>
    </row>
    <row r="12" spans="1:33" ht="18" customHeight="1" thickBot="1">
      <c r="A12" s="2359" t="s">
        <v>2421</v>
      </c>
      <c r="B12" s="2360" t="s">
        <v>2414</v>
      </c>
      <c r="C12" s="2361"/>
      <c r="D12" s="2362"/>
      <c r="E12" s="2363"/>
      <c r="F12" s="2364"/>
      <c r="G12" s="1917"/>
      <c r="H12" s="2373" t="s">
        <v>2424</v>
      </c>
      <c r="I12" s="2386" t="s">
        <v>2414</v>
      </c>
      <c r="J12" s="2387"/>
      <c r="K12" s="2362"/>
      <c r="L12" s="2363"/>
      <c r="M12" s="2376"/>
    </row>
    <row r="13" spans="1:33" ht="18" customHeight="1" thickTop="1">
      <c r="A13" s="1717">
        <v>2</v>
      </c>
      <c r="B13" s="1715" t="s">
        <v>1717</v>
      </c>
      <c r="C13" s="764">
        <f ca="1">ROUND(C29*F13,0)</f>
        <v>7521</v>
      </c>
      <c r="D13" s="1722" t="s">
        <v>2262</v>
      </c>
      <c r="E13" s="1722" t="s">
        <v>1719</v>
      </c>
      <c r="F13" s="2358">
        <f ca="1">INDIRECT("'数据-取费表'!y"&amp;$G$1)</f>
        <v>1</v>
      </c>
      <c r="G13" s="1917"/>
      <c r="H13" s="1717">
        <v>2</v>
      </c>
      <c r="I13" s="1715" t="s">
        <v>1717</v>
      </c>
      <c r="J13" s="1707">
        <f ca="1">ROUND(J14*J15,0)</f>
        <v>0</v>
      </c>
      <c r="K13" s="1709" t="s">
        <v>1718</v>
      </c>
      <c r="L13" s="2374"/>
      <c r="M13" s="2375"/>
    </row>
    <row r="14" spans="1:33" ht="18" customHeight="1">
      <c r="A14" s="1550" t="s">
        <v>1853</v>
      </c>
      <c r="B14" s="756" t="s">
        <v>623</v>
      </c>
      <c r="C14" s="776">
        <f ca="1">INDIRECT("'数据-取费表'!m"&amp;$G$1)+INDIRECT("'数据-取费表'!t"&amp;$G$1)</f>
        <v>5517</v>
      </c>
      <c r="D14" s="1865" t="s">
        <v>1720</v>
      </c>
      <c r="E14" s="1866"/>
      <c r="F14" s="777"/>
      <c r="G14" s="1917"/>
      <c r="H14" s="1551" t="s">
        <v>1805</v>
      </c>
      <c r="I14" s="2082" t="s">
        <v>2778</v>
      </c>
      <c r="J14" s="53">
        <f ca="1">C29</f>
        <v>7521</v>
      </c>
      <c r="K14" s="26"/>
      <c r="L14" s="773"/>
      <c r="M14" s="774"/>
    </row>
    <row r="15" spans="1:33" s="1919" customFormat="1" ht="18" customHeight="1" thickBot="1">
      <c r="A15" s="1550" t="s">
        <v>1854</v>
      </c>
      <c r="B15" s="756" t="s">
        <v>625</v>
      </c>
      <c r="C15" s="53">
        <f ca="1">ROUND(C14*F15,0)</f>
        <v>166</v>
      </c>
      <c r="D15" s="778" t="s">
        <v>1721</v>
      </c>
      <c r="E15" s="778" t="s">
        <v>1722</v>
      </c>
      <c r="F15" s="779">
        <f>'数据-取费表'!B33</f>
        <v>0.03</v>
      </c>
      <c r="G15" s="3226"/>
      <c r="H15" s="2373" t="s">
        <v>1858</v>
      </c>
      <c r="I15" s="2368" t="s">
        <v>1719</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1855</v>
      </c>
      <c r="B16" s="756" t="s">
        <v>628</v>
      </c>
      <c r="C16" s="53">
        <f ca="1">ROUND(INDIRECT("'数据-取费表'!m"&amp;$G$1)*F16,0)</f>
        <v>0</v>
      </c>
      <c r="D16" s="756" t="s">
        <v>1721</v>
      </c>
      <c r="E16" s="756" t="s">
        <v>1722</v>
      </c>
      <c r="F16" s="781">
        <f ca="1">IF(INDIRECT("'数据-取费表'!c"&amp;$G$1)="住宅",'数据-取费表'!B34,0)</f>
        <v>0</v>
      </c>
      <c r="G16" s="1917"/>
      <c r="H16" s="1717" t="s">
        <v>1723</v>
      </c>
      <c r="I16" s="1715" t="s">
        <v>1724</v>
      </c>
      <c r="J16" s="764">
        <f ca="1">ROUND(J17+J22+J23+J24,0)</f>
        <v>748</v>
      </c>
      <c r="K16" s="1709" t="s">
        <v>1725</v>
      </c>
      <c r="L16" s="2308"/>
      <c r="M16" s="2313"/>
    </row>
    <row r="17" spans="1:33" s="1919" customFormat="1" ht="18" customHeight="1">
      <c r="A17" s="1550" t="s">
        <v>1856</v>
      </c>
      <c r="B17" s="756" t="s">
        <v>631</v>
      </c>
      <c r="C17" s="53">
        <f ca="1">ROUND(F17*(F43+INDIRECT("'数据-取费表'!S"&amp;$G$1))/10000,0)</f>
        <v>368</v>
      </c>
      <c r="D17" s="756" t="s">
        <v>1726</v>
      </c>
      <c r="E17" s="756" t="s">
        <v>1727</v>
      </c>
      <c r="F17" s="56">
        <f>'数据-取费表'!B35</f>
        <v>200</v>
      </c>
      <c r="G17" s="3226"/>
      <c r="H17" s="1551" t="s">
        <v>1805</v>
      </c>
      <c r="I17" s="756" t="s">
        <v>634</v>
      </c>
      <c r="J17" s="2985">
        <f ca="1">ROUND(IF(AND(项目基本情况!B11="自然人",项目基本情况!B10="北京市"),J6*M17/(1+'数据-取费表'!C42),J18+J19+J20),0)</f>
        <v>635</v>
      </c>
      <c r="K17" s="2307" t="s">
        <v>1728</v>
      </c>
      <c r="L17" s="2306" t="s">
        <v>1729</v>
      </c>
      <c r="M17" s="2984">
        <f ca="1">IF(项目基本情况!B11="企业","——",IF('数据-取费表'!B10="住宅",IF(M6*M7*M8/12/(1+'数据-取费表'!F30)&gt;100000,4%,2.5%),IF(M6*M7*M8/12/(1+'数据-取费表'!F30)&gt;100000,12%,7%)))</f>
        <v>7.0000000000000007E-2</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1857</v>
      </c>
      <c r="B18" s="756" t="s">
        <v>637</v>
      </c>
      <c r="C18" s="53">
        <f ca="1">ROUND(C14*F18,0)</f>
        <v>83</v>
      </c>
      <c r="D18" s="756" t="s">
        <v>1721</v>
      </c>
      <c r="E18" s="756" t="s">
        <v>1722</v>
      </c>
      <c r="F18" s="781">
        <f>'数据-取费表'!B36</f>
        <v>1.4999999999999999E-2</v>
      </c>
      <c r="G18" s="3226"/>
      <c r="H18" s="1550" t="s">
        <v>1853</v>
      </c>
      <c r="I18" s="756" t="s">
        <v>1730</v>
      </c>
      <c r="J18" s="53">
        <f ca="1">ROUND(J6*M18/(1+'数据-取费表'!C42),1)</f>
        <v>0</v>
      </c>
      <c r="K18" s="2306" t="s">
        <v>1731</v>
      </c>
      <c r="L18" s="756" t="s">
        <v>1722</v>
      </c>
      <c r="M18" s="781">
        <f>'数据-取费表'!B41</f>
        <v>5.6000000000000001E-2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1805</v>
      </c>
      <c r="B19" s="756" t="s">
        <v>640</v>
      </c>
      <c r="C19" s="53">
        <f ca="1">SUM(C14:C18)</f>
        <v>6134</v>
      </c>
      <c r="D19" s="259" t="s">
        <v>1732</v>
      </c>
      <c r="E19" s="1868"/>
      <c r="F19" s="56"/>
      <c r="G19" s="1917"/>
      <c r="H19" s="1550" t="s">
        <v>1854</v>
      </c>
      <c r="I19" s="756" t="s">
        <v>1733</v>
      </c>
      <c r="J19" s="53">
        <f ca="1">IF(K19="按租金收入计税",ROUND(J6*M19/(1+'数据-取费表'!C42),1),ROUND(C29*F33*0.7,1))</f>
        <v>631.79999999999995</v>
      </c>
      <c r="K19" s="782" t="s">
        <v>643</v>
      </c>
      <c r="L19" s="756" t="s">
        <v>1722</v>
      </c>
      <c r="M19" s="781">
        <f>IF(K19="按租金收入计税",'数据-取费表'!B51,'数据-取费表'!B50)</f>
        <v>1.2E-2</v>
      </c>
    </row>
    <row r="20" spans="1:33" s="1919" customFormat="1" ht="18" customHeight="1">
      <c r="A20" s="1551" t="s">
        <v>1858</v>
      </c>
      <c r="B20" s="756" t="s">
        <v>644</v>
      </c>
      <c r="C20" s="53">
        <f ca="1">ROUND(C19*F20,0)</f>
        <v>61</v>
      </c>
      <c r="D20" s="783" t="s">
        <v>1734</v>
      </c>
      <c r="E20" s="756" t="s">
        <v>1722</v>
      </c>
      <c r="F20" s="781">
        <f>'数据-取费表'!B37</f>
        <v>0.01</v>
      </c>
      <c r="G20" s="3226"/>
      <c r="H20" s="1553" t="s">
        <v>1849</v>
      </c>
      <c r="I20" s="339" t="s">
        <v>1735</v>
      </c>
      <c r="J20" s="54">
        <f ca="1">ROUND(M20*M21/10000,0)</f>
        <v>3</v>
      </c>
      <c r="K20" s="785" t="s">
        <v>1736</v>
      </c>
      <c r="L20" s="756" t="s">
        <v>1737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1859</v>
      </c>
      <c r="B21" s="756" t="s">
        <v>1738</v>
      </c>
      <c r="C21" s="53" t="s">
        <v>1739</v>
      </c>
      <c r="D21" s="783" t="s">
        <v>2263</v>
      </c>
      <c r="E21" s="756" t="s">
        <v>1740</v>
      </c>
      <c r="F21" s="781">
        <f>'数据-取费表'!B38</f>
        <v>0.01</v>
      </c>
      <c r="G21" s="3226"/>
      <c r="H21" s="2328"/>
      <c r="I21" s="765"/>
      <c r="J21" s="69"/>
      <c r="K21" s="787"/>
      <c r="L21" s="756" t="s">
        <v>1741</v>
      </c>
      <c r="M21" s="757">
        <f ca="1">INDIRECT("'数据-取费表'!r"&amp;$G$1)</f>
        <v>18388.8</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1860</v>
      </c>
      <c r="B22" s="756" t="s">
        <v>1742</v>
      </c>
      <c r="C22" s="53"/>
      <c r="D22" s="2392" t="str">
        <f>IF(F23&lt;=1,"单利计息。","复利计息。")&amp;"建造成本、管理费用、销售费用产生的利息。"</f>
        <v>复利计息。建造成本、管理费用、销售费用产生的利息。</v>
      </c>
      <c r="E22" s="1868"/>
      <c r="F22" s="56"/>
      <c r="G22" s="1917"/>
      <c r="H22" s="1551" t="s">
        <v>1858</v>
      </c>
      <c r="I22" s="756" t="s">
        <v>1743</v>
      </c>
      <c r="J22" s="53">
        <f ca="1">ROUND(J14*M22,0)</f>
        <v>113</v>
      </c>
      <c r="K22" s="2306" t="s">
        <v>1744</v>
      </c>
      <c r="L22" s="756" t="s">
        <v>1722</v>
      </c>
      <c r="M22" s="788">
        <f ca="1">INDIRECT("'数据-取费表'!Ak"&amp;$G$1)</f>
        <v>1.4999999999999999E-2</v>
      </c>
    </row>
    <row r="23" spans="1:33" s="1919" customFormat="1" ht="18" customHeight="1">
      <c r="A23" s="1550" t="s">
        <v>1806</v>
      </c>
      <c r="B23" s="756" t="s">
        <v>2489</v>
      </c>
      <c r="C23" s="53">
        <f ca="1">ROUND(IF('数据-取费表'!B22&lt;=1,(C19+C20)*F24*F23/2,(C19+C20)*(POWER((1+F24),F23/2)-1)),0)</f>
        <v>219</v>
      </c>
      <c r="D23" s="2391" t="str">
        <f>IF(F23&lt;=1,"(建造成本+管理费用)×利率×(建设周期÷2)","(建造成本+管理费用)×((1+利率)^(建设周期÷2)-1)")</f>
        <v>(建造成本+管理费用)×((1+利率)^(建设周期÷2)-1)</v>
      </c>
      <c r="E23" s="756" t="s">
        <v>1745</v>
      </c>
      <c r="F23" s="614">
        <f>'数据-取费表'!B20</f>
        <v>1.5</v>
      </c>
      <c r="G23" s="3226"/>
      <c r="H23" s="1551" t="s">
        <v>1859</v>
      </c>
      <c r="I23" s="756" t="s">
        <v>657</v>
      </c>
      <c r="J23" s="53">
        <f ca="1">ROUND(J13*M23,0)</f>
        <v>0</v>
      </c>
      <c r="K23" s="2306" t="s">
        <v>1746</v>
      </c>
      <c r="L23" s="756" t="s">
        <v>1722</v>
      </c>
      <c r="M23" s="789">
        <f ca="1">INDIRECT("'数据-取费表'!Al"&amp;$G$1)</f>
        <v>1.5E-3</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1807</v>
      </c>
      <c r="B24" s="756" t="s">
        <v>1747</v>
      </c>
      <c r="C24" s="53">
        <f ca="1">ROUND(IF('数据-取费表'!B22&lt;=1,F21*F24*F23/2,F21*(POWER((1+F24),F23/2)-1)),4)</f>
        <v>4.0000000000000002E-4</v>
      </c>
      <c r="D24" s="2391" t="str">
        <f>IF(F23&lt;=1,"销售费用×利率×(建设周期÷2)","销售费用×((1+利率)^(建设周期÷2)-1)")</f>
        <v>销售费用×((1+利率)^(建设周期÷2)-1)</v>
      </c>
      <c r="E24" s="756" t="s">
        <v>1748</v>
      </c>
      <c r="F24" s="790">
        <f ca="1">'数据-取费表'!B40</f>
        <v>4.7500000000000001E-2</v>
      </c>
      <c r="G24" s="3226"/>
      <c r="H24" s="2373" t="s">
        <v>1860</v>
      </c>
      <c r="I24" s="2368" t="s">
        <v>644</v>
      </c>
      <c r="J24" s="2366">
        <f ca="1">ROUND(J5*M24,0)</f>
        <v>0</v>
      </c>
      <c r="K24" s="2367" t="s">
        <v>1749</v>
      </c>
      <c r="L24" s="2368" t="s">
        <v>1722</v>
      </c>
      <c r="M24" s="2364">
        <f ca="1">INDIRECT("'数据-取费表'!Am"&amp;$G$1)</f>
        <v>0.01</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1815</v>
      </c>
      <c r="B25" s="756" t="s">
        <v>662</v>
      </c>
      <c r="C25" s="53"/>
      <c r="D25" s="259" t="s">
        <v>1750</v>
      </c>
      <c r="E25" s="1868"/>
      <c r="F25" s="56"/>
      <c r="G25" s="1917"/>
      <c r="H25" s="1717" t="s">
        <v>1751</v>
      </c>
      <c r="I25" s="2691" t="s">
        <v>2774</v>
      </c>
      <c r="J25" s="764">
        <f ca="1">J5-J16</f>
        <v>-748</v>
      </c>
      <c r="K25" s="2370" t="s">
        <v>1752</v>
      </c>
      <c r="L25" s="2371"/>
      <c r="M25" s="2372"/>
    </row>
    <row r="26" spans="1:33" ht="18" customHeight="1">
      <c r="A26" s="1550" t="s">
        <v>1806</v>
      </c>
      <c r="B26" s="756" t="s">
        <v>2394</v>
      </c>
      <c r="C26" s="53">
        <f ca="1">ROUND((C19+C20)*F26,0)</f>
        <v>620</v>
      </c>
      <c r="D26" s="783" t="s">
        <v>1753</v>
      </c>
      <c r="E26" s="767" t="s">
        <v>1754</v>
      </c>
      <c r="F26" s="766">
        <f ca="1">INDIRECT("'数据-取费表'!q"&amp;$G$1)</f>
        <v>0.1</v>
      </c>
      <c r="G26" s="1917"/>
      <c r="H26" s="2324" t="s">
        <v>1755</v>
      </c>
      <c r="I26" s="2083" t="s">
        <v>2779</v>
      </c>
      <c r="J26" s="755">
        <f ca="1">IF(J5&lt;&gt;0,ROUND(J25*(1-((1+M28)/(1+M26))^M27)/(M26-M28),0),0)</f>
        <v>0</v>
      </c>
      <c r="K26" s="785" t="s">
        <v>1756</v>
      </c>
      <c r="L26" s="756" t="s">
        <v>2381</v>
      </c>
      <c r="M26" s="766">
        <f ca="1">INDIRECT("'数据-取费表'!I"&amp;$G$1)</f>
        <v>0.05</v>
      </c>
    </row>
    <row r="27" spans="1:33" ht="18" customHeight="1">
      <c r="A27" s="1550" t="s">
        <v>1807</v>
      </c>
      <c r="B27" s="756" t="s">
        <v>664</v>
      </c>
      <c r="C27" s="53">
        <f ca="1">ROUND(F21*F26,4)</f>
        <v>1E-3</v>
      </c>
      <c r="D27" s="783" t="s">
        <v>1757</v>
      </c>
      <c r="E27" s="778"/>
      <c r="F27" s="779"/>
      <c r="G27" s="1917"/>
      <c r="H27" s="2325"/>
      <c r="I27" s="759"/>
      <c r="J27" s="760"/>
      <c r="K27" s="792" t="s">
        <v>1758</v>
      </c>
      <c r="L27" s="756" t="s">
        <v>1759</v>
      </c>
      <c r="M27" s="793">
        <f ca="1">INDIRECT("'数据-取费表'!ag"&amp;$G$1)</f>
        <v>0</v>
      </c>
    </row>
    <row r="28" spans="1:33" s="1919" customFormat="1" ht="18" customHeight="1">
      <c r="A28" s="1552" t="s">
        <v>1816</v>
      </c>
      <c r="B28" s="756" t="s">
        <v>665</v>
      </c>
      <c r="C28" s="53">
        <f>ROUND(F28/(1+'数据-取费表'!C42),4)</f>
        <v>5.33E-2</v>
      </c>
      <c r="D28" s="783" t="s">
        <v>2264</v>
      </c>
      <c r="E28" s="756" t="s">
        <v>1760</v>
      </c>
      <c r="F28" s="781">
        <f>'数据-取费表'!B41</f>
        <v>5.6000000000000001E-2</v>
      </c>
      <c r="G28" s="3226"/>
      <c r="H28" s="1717"/>
      <c r="I28" s="763"/>
      <c r="J28" s="764"/>
      <c r="K28" s="787"/>
      <c r="L28" s="756" t="s">
        <v>1761</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1861</v>
      </c>
      <c r="B29" s="2363" t="s">
        <v>2265</v>
      </c>
      <c r="C29" s="2366">
        <f ca="1">ROUND((C19+C20+C23+C26)/(1-F21-C24-C27-C28),0)</f>
        <v>7521</v>
      </c>
      <c r="D29" s="2367"/>
      <c r="E29" s="2368"/>
      <c r="F29" s="2369"/>
      <c r="G29" s="3226"/>
      <c r="H29" s="794" t="s">
        <v>1762</v>
      </c>
      <c r="I29" s="795" t="s">
        <v>1763</v>
      </c>
      <c r="J29" s="796">
        <f ca="1">ROUND(J26/(1+F40)^F41,0)</f>
        <v>0</v>
      </c>
      <c r="K29" s="797" t="s">
        <v>1764</v>
      </c>
      <c r="L29" s="798"/>
      <c r="M29" s="799">
        <f ca="1">INDIRECT("'数据-取费表'!k"&amp;$G$1)</f>
        <v>18388.8</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1862</v>
      </c>
      <c r="B30" s="1715" t="s">
        <v>1765</v>
      </c>
      <c r="C30" s="764">
        <f ca="1">ROUND(C31+C36+C37+C38,0)</f>
        <v>289</v>
      </c>
      <c r="D30" s="1709" t="s">
        <v>1766</v>
      </c>
      <c r="E30" s="2308"/>
      <c r="F30" s="2313"/>
      <c r="G30" s="1917"/>
      <c r="H30" s="1920"/>
      <c r="I30" s="1921"/>
      <c r="J30" s="1922"/>
      <c r="K30" s="1923"/>
      <c r="L30" s="1924"/>
      <c r="M30" s="1925"/>
    </row>
    <row r="31" spans="1:33" ht="18" customHeight="1">
      <c r="A31" s="1551" t="s">
        <v>1805</v>
      </c>
      <c r="B31" s="756" t="s">
        <v>634</v>
      </c>
      <c r="C31" s="2985">
        <f ca="1">ROUND(IF(AND(项目基本情况!B11="自然人",项目基本情况!B10="北京市"),C6*F31/(1+'数据-取费表'!C42),C32+C33+C34),0)</f>
        <v>156</v>
      </c>
      <c r="D31" s="1865" t="s">
        <v>1767</v>
      </c>
      <c r="E31" s="1863" t="s">
        <v>1768</v>
      </c>
      <c r="F31" s="2984">
        <f ca="1">IF(项目基本情况!B11="企业","——",IF('数据-取费表'!B10="住宅",IF(F6*F7*F8/12/(1+'数据-取费表'!F30)&gt;100000,4%,2.5%),IF(F6*F7*F8/12/(1+'数据-取费表'!F30)&gt;100000,12%,7%)))</f>
        <v>0.12</v>
      </c>
      <c r="G31" s="1917"/>
      <c r="H31" s="3223" t="s">
        <v>2962</v>
      </c>
      <c r="I31" s="1921"/>
      <c r="J31" s="1922"/>
      <c r="K31" s="1923"/>
      <c r="L31" s="1924"/>
      <c r="M31" s="1925"/>
    </row>
    <row r="32" spans="1:33" ht="18" customHeight="1">
      <c r="A32" s="1550" t="s">
        <v>1806</v>
      </c>
      <c r="B32" s="756" t="s">
        <v>1769</v>
      </c>
      <c r="C32" s="53">
        <f ca="1">ROUND(C6*F32/(1+'数据-取费表'!C42),1)</f>
        <v>48.7</v>
      </c>
      <c r="D32" s="1863" t="s">
        <v>1770</v>
      </c>
      <c r="E32" s="756" t="s">
        <v>1771</v>
      </c>
      <c r="F32" s="781">
        <f>'数据-取费表'!B41</f>
        <v>5.6000000000000001E-2</v>
      </c>
      <c r="G32" s="1917"/>
      <c r="H32" s="1926"/>
      <c r="I32" s="1927"/>
      <c r="J32" s="1928"/>
      <c r="K32" s="1929"/>
      <c r="L32" s="1930"/>
      <c r="M32" s="1931"/>
    </row>
    <row r="33" spans="1:18" ht="18" customHeight="1">
      <c r="A33" s="1550" t="s">
        <v>1807</v>
      </c>
      <c r="B33" s="756" t="s">
        <v>1772</v>
      </c>
      <c r="C33" s="53">
        <f ca="1">IF(D33="按租金收入计税",ROUND(C6*F33/(1+'数据-取费表'!C42),1),IF(D33="按房产原值计税",ROUND(C29*F33*0.7,1),INDIRECT("'数据-取费表'!Aj"&amp;$G$1)))</f>
        <v>104.3</v>
      </c>
      <c r="D33" s="782" t="s">
        <v>3147</v>
      </c>
      <c r="E33" s="756" t="s">
        <v>1771</v>
      </c>
      <c r="F33" s="781">
        <f>IF(D33="按租金收入计税",'数据-取费表'!B51,'数据-取费表'!B50)</f>
        <v>0.12</v>
      </c>
      <c r="G33" s="1917"/>
      <c r="H33" s="1932"/>
      <c r="I33" s="1932"/>
      <c r="J33" s="1932"/>
      <c r="K33" s="1933"/>
      <c r="L33" s="1932"/>
      <c r="M33" s="1932"/>
    </row>
    <row r="34" spans="1:18" ht="18" customHeight="1">
      <c r="A34" s="1553" t="s">
        <v>1808</v>
      </c>
      <c r="B34" s="339" t="s">
        <v>1773</v>
      </c>
      <c r="C34" s="54">
        <f ca="1">ROUND(F34*F35/10000,1)</f>
        <v>2.8</v>
      </c>
      <c r="D34" s="785" t="s">
        <v>1774</v>
      </c>
      <c r="E34" s="756" t="s">
        <v>1775</v>
      </c>
      <c r="F34" s="614">
        <f>'数据-取费表'!B52</f>
        <v>1.5</v>
      </c>
      <c r="G34" s="1917"/>
      <c r="H34" s="1920"/>
      <c r="I34" s="806" t="s">
        <v>1788</v>
      </c>
      <c r="J34" s="807"/>
      <c r="K34" s="1935"/>
      <c r="L34" s="1934"/>
      <c r="M34" s="1934"/>
    </row>
    <row r="35" spans="1:18" ht="18" customHeight="1">
      <c r="A35" s="786"/>
      <c r="B35" s="765"/>
      <c r="C35" s="69"/>
      <c r="D35" s="787"/>
      <c r="E35" s="756" t="s">
        <v>1776</v>
      </c>
      <c r="F35" s="757">
        <f ca="1">INDIRECT("'数据-取费表'!r"&amp;$G$1)</f>
        <v>18388.8</v>
      </c>
      <c r="G35" s="1917"/>
      <c r="H35" s="1920"/>
      <c r="I35" s="808" t="s">
        <v>1789</v>
      </c>
      <c r="J35" s="809">
        <f ca="1">ROUND(C13*J36,0)</f>
        <v>0</v>
      </c>
      <c r="K35" s="1933"/>
      <c r="L35" s="1932"/>
      <c r="M35" s="1932"/>
    </row>
    <row r="36" spans="1:18" ht="18" customHeight="1">
      <c r="A36" s="1551" t="s">
        <v>1858</v>
      </c>
      <c r="B36" s="756" t="s">
        <v>1777</v>
      </c>
      <c r="C36" s="53">
        <f ca="1">ROUND(C29*F36,1)</f>
        <v>112.8</v>
      </c>
      <c r="D36" s="1863" t="s">
        <v>1778</v>
      </c>
      <c r="E36" s="756" t="s">
        <v>1771</v>
      </c>
      <c r="F36" s="788">
        <f ca="1">INDIRECT("'数据-取费表'!Ak"&amp;$G$1)</f>
        <v>1.4999999999999999E-2</v>
      </c>
      <c r="G36" s="1917"/>
      <c r="H36" s="1932"/>
      <c r="I36" s="810" t="s">
        <v>1790</v>
      </c>
      <c r="J36" s="811">
        <f ca="1">INDIRECT("'数据-取费表'!j"&amp;$G$1)</f>
        <v>0</v>
      </c>
      <c r="K36" s="1936"/>
      <c r="L36" s="1932"/>
      <c r="M36" s="1932"/>
    </row>
    <row r="37" spans="1:18" ht="18" customHeight="1">
      <c r="A37" s="1551" t="s">
        <v>1859</v>
      </c>
      <c r="B37" s="756" t="s">
        <v>657</v>
      </c>
      <c r="C37" s="53">
        <f ca="1">ROUND(C13*F37,1)</f>
        <v>11.3</v>
      </c>
      <c r="D37" s="1863" t="s">
        <v>1779</v>
      </c>
      <c r="E37" s="756" t="s">
        <v>1771</v>
      </c>
      <c r="F37" s="789">
        <f ca="1">INDIRECT("'数据-取费表'!Al"&amp;$G$1)</f>
        <v>1.5E-3</v>
      </c>
      <c r="G37" s="1917"/>
      <c r="H37" s="1932"/>
      <c r="I37" s="812" t="s">
        <v>1791</v>
      </c>
      <c r="J37" s="813"/>
      <c r="K37" s="1936"/>
      <c r="L37" s="1932"/>
      <c r="M37" s="1932"/>
    </row>
    <row r="38" spans="1:18" ht="18" customHeight="1" thickBot="1">
      <c r="A38" s="2373" t="s">
        <v>1860</v>
      </c>
      <c r="B38" s="2368" t="s">
        <v>644</v>
      </c>
      <c r="C38" s="2366">
        <f ca="1">ROUND(C5*F38,1)</f>
        <v>9.1</v>
      </c>
      <c r="D38" s="2367" t="s">
        <v>1780</v>
      </c>
      <c r="E38" s="2368" t="s">
        <v>1771</v>
      </c>
      <c r="F38" s="2364">
        <f ca="1">INDIRECT("'数据-取费表'!Am"&amp;$G$1)</f>
        <v>0.01</v>
      </c>
      <c r="G38" s="1917"/>
      <c r="H38" s="1932"/>
      <c r="I38" s="814" t="s">
        <v>1792</v>
      </c>
      <c r="J38" s="815"/>
      <c r="K38" s="1937"/>
      <c r="L38" s="1932"/>
      <c r="M38" s="1932"/>
    </row>
    <row r="39" spans="1:18" ht="24.6" customHeight="1" thickTop="1">
      <c r="A39" s="1717" t="s">
        <v>1863</v>
      </c>
      <c r="B39" s="2691" t="s">
        <v>2774</v>
      </c>
      <c r="C39" s="764">
        <f ca="1">C5-C30</f>
        <v>625</v>
      </c>
      <c r="D39" s="2370" t="s">
        <v>1781</v>
      </c>
      <c r="E39" s="2371"/>
      <c r="F39" s="2372"/>
      <c r="G39" s="1917"/>
      <c r="H39" s="1932"/>
      <c r="I39" s="808" t="s">
        <v>1793</v>
      </c>
      <c r="J39" s="816">
        <f ca="1">ROUND(J35/C39,3)</f>
        <v>0</v>
      </c>
      <c r="K39" s="1937"/>
      <c r="L39" s="1932"/>
      <c r="M39" s="1932"/>
    </row>
    <row r="40" spans="1:18" ht="18" customHeight="1">
      <c r="A40" s="753" t="s">
        <v>1864</v>
      </c>
      <c r="B40" s="2083" t="s">
        <v>2266</v>
      </c>
      <c r="C40" s="755">
        <f ca="1">ROUND(C39*(1-((1+F42)/(1+F40))^F41)/(F40-F42),0)</f>
        <v>15943</v>
      </c>
      <c r="D40" s="785" t="s">
        <v>1782</v>
      </c>
      <c r="E40" s="756" t="s">
        <v>2381</v>
      </c>
      <c r="F40" s="766">
        <f ca="1">INDIRECT("'数据-取费表'!I"&amp;$G$1)</f>
        <v>0.05</v>
      </c>
      <c r="G40" s="1917"/>
      <c r="H40" s="1917"/>
      <c r="I40" s="808" t="s">
        <v>1794</v>
      </c>
      <c r="J40" s="816">
        <f ca="1">1-J39</f>
        <v>1</v>
      </c>
      <c r="K40" s="1937"/>
      <c r="L40" s="1917"/>
      <c r="M40" s="1917"/>
    </row>
    <row r="41" spans="1:18" ht="18" customHeight="1">
      <c r="A41" s="758"/>
      <c r="B41" s="759"/>
      <c r="C41" s="760"/>
      <c r="D41" s="792" t="s">
        <v>1783</v>
      </c>
      <c r="E41" s="756" t="s">
        <v>2899</v>
      </c>
      <c r="F41" s="793">
        <f ca="1">IF(INDIRECT("'数据-取费表'!af"&amp;$G$1)=0,INDIRECT("'数据-取费表'!ae"&amp;$G$1),INDIRECT("'数据-取费表'!af"&amp;$G$1))</f>
        <v>50</v>
      </c>
      <c r="G41" s="1917"/>
      <c r="H41" s="1872"/>
      <c r="I41" s="814" t="s">
        <v>1795</v>
      </c>
      <c r="J41" s="817"/>
      <c r="K41" s="1936"/>
      <c r="L41" s="1872"/>
      <c r="M41" s="1872"/>
    </row>
    <row r="42" spans="1:18" ht="18" customHeight="1">
      <c r="A42" s="762"/>
      <c r="B42" s="763"/>
      <c r="C42" s="764"/>
      <c r="D42" s="787"/>
      <c r="E42" s="756" t="s">
        <v>1784</v>
      </c>
      <c r="F42" s="766">
        <f ca="1">INDIRECT("'数据-取费表'!v"&amp;$G$1)</f>
        <v>0.02</v>
      </c>
      <c r="G42" s="1917"/>
      <c r="H42" s="1872"/>
      <c r="I42" s="818" t="s">
        <v>1796</v>
      </c>
      <c r="J42" s="816">
        <f ca="1">ROUND(C13/C40,3)</f>
        <v>0.47199999999999998</v>
      </c>
      <c r="K42" s="1936"/>
      <c r="L42" s="1872"/>
      <c r="M42" s="1872"/>
    </row>
    <row r="43" spans="1:18" ht="18" customHeight="1" thickBot="1">
      <c r="A43" s="794" t="s">
        <v>1762</v>
      </c>
      <c r="B43" s="795" t="s">
        <v>1785</v>
      </c>
      <c r="C43" s="796">
        <f ca="1">ROUND(C40*10000/F43,0)</f>
        <v>8670</v>
      </c>
      <c r="D43" s="797" t="s">
        <v>1786</v>
      </c>
      <c r="E43" s="798" t="s">
        <v>1787</v>
      </c>
      <c r="F43" s="799">
        <f ca="1">INDIRECT("'数据-取费表'!k"&amp;$G$1)</f>
        <v>18388.8</v>
      </c>
      <c r="G43" s="1917"/>
      <c r="H43" s="1872"/>
      <c r="I43" s="818" t="s">
        <v>1797</v>
      </c>
      <c r="J43" s="819">
        <f ca="1">1-J42</f>
        <v>0.52800000000000002</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2260</v>
      </c>
      <c r="B46" s="1939"/>
      <c r="C46" s="2394">
        <f ca="1">C67-C40</f>
        <v>-18262</v>
      </c>
      <c r="D46" s="3227"/>
      <c r="E46" s="3227"/>
      <c r="F46" s="3227"/>
      <c r="I46" s="2204" t="s">
        <v>2305</v>
      </c>
      <c r="J46" s="2205"/>
      <c r="K46" s="2206"/>
      <c r="L46" s="2777" t="str">
        <f ca="1">IF(OR(M47="住宅",D1="土地（套用方法）"),0,IF(L48&gt;J51,L60,J60))</f>
        <v>0</v>
      </c>
      <c r="M46" s="3228"/>
      <c r="O46" s="2220" t="s">
        <v>2372</v>
      </c>
      <c r="P46" s="1501"/>
      <c r="Q46" s="1509"/>
      <c r="R46" s="1501"/>
    </row>
    <row r="47" spans="1:18" s="1914" customFormat="1" ht="18" customHeight="1" thickBot="1">
      <c r="A47" s="2198">
        <v>1</v>
      </c>
      <c r="B47" s="2199" t="s">
        <v>613</v>
      </c>
      <c r="C47" s="2394">
        <f ca="1">C48+C52+C54</f>
        <v>0</v>
      </c>
      <c r="D47" s="3227"/>
      <c r="E47" s="3227"/>
      <c r="F47" s="3227"/>
      <c r="I47" s="2768" t="s">
        <v>2306</v>
      </c>
      <c r="J47" s="2207" t="s">
        <v>3148</v>
      </c>
      <c r="K47" s="2774" t="s">
        <v>2311</v>
      </c>
      <c r="L47" s="2778">
        <f ca="1">INDIRECT("'数据-取费表'!d"&amp;$G$1)</f>
        <v>50</v>
      </c>
      <c r="M47" s="1509" t="str">
        <f>IF(ISNUMBER(FIND("住宅",C1)),"住宅","非住宅")</f>
        <v>非住宅</v>
      </c>
      <c r="O47" s="2221" t="s">
        <v>2337</v>
      </c>
      <c r="P47" s="2222" t="s">
        <v>2338</v>
      </c>
      <c r="Q47" s="2223" t="s">
        <v>2339</v>
      </c>
      <c r="R47" s="2222" t="s">
        <v>2340</v>
      </c>
    </row>
    <row r="48" spans="1:18" s="1914" customFormat="1" ht="18" customHeight="1" thickBot="1">
      <c r="A48" s="2452" t="s">
        <v>2491</v>
      </c>
      <c r="B48" s="2453" t="s">
        <v>2492</v>
      </c>
      <c r="C48" s="2200">
        <f ca="1">ROUND(F48*F50*F49*(1-F51)/10000,0)</f>
        <v>0</v>
      </c>
      <c r="D48" s="2201" t="s">
        <v>614</v>
      </c>
      <c r="E48" s="2202" t="s">
        <v>2261</v>
      </c>
      <c r="F48" s="2203"/>
      <c r="G48" s="1944"/>
      <c r="I48" s="2765" t="s">
        <v>2307</v>
      </c>
      <c r="J48" s="2208" t="s">
        <v>2330</v>
      </c>
      <c r="K48" s="2775" t="s">
        <v>2313</v>
      </c>
      <c r="L48" s="1795">
        <f ca="1">INDIRECT("'数据-取费表'!f"&amp;$G$1)</f>
        <v>50</v>
      </c>
      <c r="M48" s="3228"/>
      <c r="O48" s="2224" t="s">
        <v>2341</v>
      </c>
      <c r="P48" s="2225" t="s">
        <v>2367</v>
      </c>
      <c r="Q48" s="2226">
        <f ca="1">C40+J29</f>
        <v>15943</v>
      </c>
      <c r="R48" s="2225" t="s">
        <v>2342</v>
      </c>
    </row>
    <row r="49" spans="1:18" s="1914" customFormat="1" ht="18" customHeight="1" thickBot="1">
      <c r="A49" s="758"/>
      <c r="B49" s="759"/>
      <c r="C49" s="760"/>
      <c r="D49" s="761"/>
      <c r="E49" s="756" t="s">
        <v>1714</v>
      </c>
      <c r="F49" s="757">
        <f ca="1">F7</f>
        <v>18388.8</v>
      </c>
      <c r="G49" s="1944"/>
      <c r="H49" s="1947"/>
      <c r="I49" s="2765" t="s">
        <v>2308</v>
      </c>
      <c r="J49" s="2209"/>
      <c r="K49" s="2776" t="s">
        <v>2314</v>
      </c>
      <c r="L49" s="2210"/>
      <c r="M49" s="3228"/>
      <c r="O49" s="2224" t="s">
        <v>2343</v>
      </c>
      <c r="P49" s="2225" t="s">
        <v>2368</v>
      </c>
      <c r="Q49" s="2226" t="str">
        <f ca="1">J60</f>
        <v>0</v>
      </c>
      <c r="R49" s="2225" t="s">
        <v>2344</v>
      </c>
    </row>
    <row r="50" spans="1:18" s="1914" customFormat="1" ht="18" customHeight="1" thickBot="1">
      <c r="A50" s="758"/>
      <c r="B50" s="759"/>
      <c r="C50" s="760"/>
      <c r="D50" s="761"/>
      <c r="E50" s="756" t="s">
        <v>1715</v>
      </c>
      <c r="F50" s="757">
        <f ca="1">F8</f>
        <v>365</v>
      </c>
      <c r="G50" s="1949"/>
      <c r="H50" s="1947"/>
      <c r="I50" s="2765" t="s">
        <v>2309</v>
      </c>
      <c r="J50" s="2772">
        <f>SUMPRODUCT((I63:I65=J47)*(J62:L62=J48)*(J63:L65))</f>
        <v>50</v>
      </c>
      <c r="K50" s="2776" t="s">
        <v>2315</v>
      </c>
      <c r="L50" s="2210"/>
      <c r="M50" s="3228"/>
      <c r="O50" s="2227" t="s">
        <v>2345</v>
      </c>
      <c r="P50" s="2225" t="s">
        <v>2369</v>
      </c>
      <c r="Q50" s="2226">
        <f ca="1">C29</f>
        <v>7521</v>
      </c>
      <c r="R50" s="2225" t="s">
        <v>2342</v>
      </c>
    </row>
    <row r="51" spans="1:18" s="1914" customFormat="1" ht="18" customHeight="1" thickBot="1">
      <c r="A51" s="758"/>
      <c r="B51" s="759"/>
      <c r="C51" s="760"/>
      <c r="D51" s="761"/>
      <c r="E51" s="756" t="s">
        <v>618</v>
      </c>
      <c r="F51" s="2197"/>
      <c r="H51" s="1947"/>
      <c r="I51" s="2769" t="s">
        <v>2310</v>
      </c>
      <c r="J51" s="2773">
        <f>IF(J49="",J50,J49+J50-YEAR('数据-取费表'!B2))</f>
        <v>50</v>
      </c>
      <c r="K51" s="2765" t="s">
        <v>2316</v>
      </c>
      <c r="L51" s="2779">
        <f ca="1">ROUND(-PV(INDIRECT("'数据-取费表'!h"&amp;$G$1),J51,(C39-C13*J36),0),0)</f>
        <v>31250</v>
      </c>
      <c r="M51" s="3228"/>
      <c r="O51" s="2227" t="s">
        <v>2346</v>
      </c>
      <c r="P51" s="2225" t="s">
        <v>2347</v>
      </c>
      <c r="Q51" s="2228" t="e">
        <f ca="1">J58</f>
        <v>#VALUE!</v>
      </c>
      <c r="R51" s="2229"/>
    </row>
    <row r="52" spans="1:18" s="1914" customFormat="1" ht="18" customHeight="1" thickBot="1">
      <c r="A52" s="753" t="s">
        <v>2490</v>
      </c>
      <c r="B52" s="2316" t="s">
        <v>2413</v>
      </c>
      <c r="C52" s="771">
        <f ca="1">ROUND(IF(F52="押一",C48/12*F11,IF(F52="押二",C48/12*2*F11,IF(F52="押三",C48/12*3*F11,C53*F11))),0)</f>
        <v>0</v>
      </c>
      <c r="D52" s="2323" t="s">
        <v>2908</v>
      </c>
      <c r="E52" s="2320" t="s">
        <v>2418</v>
      </c>
      <c r="F52" s="2433"/>
      <c r="I52" s="2770" t="s">
        <v>2383</v>
      </c>
      <c r="J52" s="2211"/>
      <c r="K52" s="2770" t="s">
        <v>2382</v>
      </c>
      <c r="L52" s="2211"/>
      <c r="M52" s="3228"/>
      <c r="O52" s="2227" t="s">
        <v>2348</v>
      </c>
      <c r="P52" s="2225" t="s">
        <v>2349</v>
      </c>
      <c r="Q52" s="2228">
        <f>J52</f>
        <v>0</v>
      </c>
      <c r="R52" s="2229"/>
    </row>
    <row r="53" spans="1:18" s="1914" customFormat="1" ht="39.75" customHeight="1" thickBot="1">
      <c r="A53" s="758"/>
      <c r="B53" s="2317" t="s">
        <v>2527</v>
      </c>
      <c r="C53" s="2321"/>
      <c r="D53" s="2323"/>
      <c r="E53" s="2320"/>
      <c r="F53" s="772"/>
      <c r="I53" s="2771" t="s">
        <v>2911</v>
      </c>
      <c r="J53" s="2824">
        <f ca="1">IF(M47="住宅",IF(D1="——",MAX(J51,L48),MAX(J51,L48-'数据-取费表'!B20)),IF(D1="——",MIN(J51,L48),MIN(J51,L48-'数据-取费表'!B20)))</f>
        <v>50</v>
      </c>
      <c r="K53" s="3677" t="s">
        <v>2901</v>
      </c>
      <c r="L53" s="3678"/>
      <c r="M53" s="3228"/>
      <c r="O53" s="2227" t="s">
        <v>2350</v>
      </c>
      <c r="P53" s="2225" t="s">
        <v>2351</v>
      </c>
      <c r="Q53" s="2226">
        <f ca="1">J53</f>
        <v>50</v>
      </c>
      <c r="R53" s="2225" t="s">
        <v>2352</v>
      </c>
    </row>
    <row r="54" spans="1:18" s="1914" customFormat="1" ht="18" customHeight="1" thickBot="1">
      <c r="A54" s="2359" t="s">
        <v>2421</v>
      </c>
      <c r="B54" s="2360" t="s">
        <v>2414</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8"/>
      <c r="O54" s="2224" t="s">
        <v>2353</v>
      </c>
      <c r="P54" s="2225" t="s">
        <v>2370</v>
      </c>
      <c r="Q54" s="2226">
        <f ca="1">Q48+Q49</f>
        <v>15943</v>
      </c>
      <c r="R54" s="2229" t="s">
        <v>2354</v>
      </c>
    </row>
    <row r="55" spans="1:18" s="1914" customFormat="1" ht="18" customHeight="1" thickTop="1" thickBot="1">
      <c r="A55" s="769">
        <v>2</v>
      </c>
      <c r="B55" s="770" t="s">
        <v>622</v>
      </c>
      <c r="C55" s="771">
        <f ca="1">C13</f>
        <v>7521</v>
      </c>
      <c r="D55" s="767"/>
      <c r="E55" s="767"/>
      <c r="F55" s="772"/>
      <c r="I55" s="2782" t="s">
        <v>2317</v>
      </c>
      <c r="J55" s="2754" t="e">
        <f ca="1">ROUND(IF(J47="钢混",J57/J50,1-(1-2%)*(J50-J57)/J50),3)</f>
        <v>#VALUE!</v>
      </c>
      <c r="K55" s="2783" t="s">
        <v>2318</v>
      </c>
      <c r="L55" s="2212"/>
      <c r="M55" s="3228"/>
      <c r="O55" s="2230" t="s">
        <v>2373</v>
      </c>
      <c r="P55" s="1501"/>
      <c r="Q55" s="1509"/>
      <c r="R55" s="1501"/>
    </row>
    <row r="56" spans="1:18" s="1914" customFormat="1" ht="42.75" customHeight="1" thickBot="1">
      <c r="A56" s="1552"/>
      <c r="B56" s="2082" t="s">
        <v>2267</v>
      </c>
      <c r="C56" s="53">
        <f ca="1">C29</f>
        <v>7521</v>
      </c>
      <c r="D56" s="2449"/>
      <c r="E56" s="756"/>
      <c r="F56" s="781"/>
      <c r="I56" s="2784" t="s">
        <v>2319</v>
      </c>
      <c r="J56" s="2794" t="s">
        <v>1653</v>
      </c>
      <c r="K56" s="2765" t="s">
        <v>2324</v>
      </c>
      <c r="L56" s="1795">
        <f ca="1">IF(L48&lt;J51,"——",L48-J51)</f>
        <v>0</v>
      </c>
      <c r="M56" s="3228"/>
      <c r="O56" s="2221" t="s">
        <v>2337</v>
      </c>
      <c r="P56" s="2222" t="s">
        <v>2338</v>
      </c>
      <c r="Q56" s="2223" t="s">
        <v>2339</v>
      </c>
      <c r="R56" s="2222" t="s">
        <v>2340</v>
      </c>
    </row>
    <row r="57" spans="1:18" s="1914" customFormat="1" ht="28.5" customHeight="1" thickBot="1">
      <c r="A57" s="769" t="s">
        <v>1723</v>
      </c>
      <c r="B57" s="770" t="s">
        <v>629</v>
      </c>
      <c r="C57" s="771">
        <f ca="1">ROUND(C58+C63+C64+C65,0)</f>
        <v>127</v>
      </c>
      <c r="D57" s="26" t="s">
        <v>1725</v>
      </c>
      <c r="E57" s="2450"/>
      <c r="F57" s="56"/>
      <c r="I57" s="2785" t="s">
        <v>2320</v>
      </c>
      <c r="J57" s="2786" t="str">
        <f ca="1">IF(OR(M47="住宅",J51&lt;L48,J56="是"),"——",J51-L48)</f>
        <v>——</v>
      </c>
      <c r="K57" s="2765" t="s">
        <v>2325</v>
      </c>
      <c r="L57" s="1795">
        <f ca="1">IF(L48&lt;J51,"——",IF(L55="比较法",L49,IF(L55="基准地价",L50,L51)))</f>
        <v>31250</v>
      </c>
      <c r="M57" s="3228"/>
      <c r="O57" s="2224" t="s">
        <v>2341</v>
      </c>
      <c r="P57" s="2225" t="s">
        <v>2371</v>
      </c>
      <c r="Q57" s="2226">
        <f ca="1">C40+J29</f>
        <v>15943</v>
      </c>
      <c r="R57" s="2225" t="s">
        <v>2342</v>
      </c>
    </row>
    <row r="58" spans="1:18" s="1914" customFormat="1" ht="28.5" customHeight="1" thickBot="1">
      <c r="A58" s="1551" t="s">
        <v>1799</v>
      </c>
      <c r="B58" s="756" t="s">
        <v>634</v>
      </c>
      <c r="C58" s="2985">
        <f ca="1">ROUND(IF(AND(项目基本情况!B11="自然人",项目基本情况!B10="北京市"),C48*F58/(1+'数据-取费表'!C42),C59+C60+C61),0)</f>
        <v>3</v>
      </c>
      <c r="D58" s="2448" t="s">
        <v>635</v>
      </c>
      <c r="E58" s="2449" t="s">
        <v>668</v>
      </c>
      <c r="F58" s="2984">
        <f ca="1">IF(项目基本情况!B11="企业","——",IF('数据-取费表'!B10="住宅",IF(F48*F49*F50/12/(1+'数据-取费表'!F30)&gt;100000,4%,2.5%),IF(F48*F49*F50/12/(1+'数据-取费表'!F30)&gt;100000,12%,7%)))</f>
        <v>7.0000000000000007E-2</v>
      </c>
      <c r="I58" s="2785" t="s">
        <v>2321</v>
      </c>
      <c r="J58" s="2755" t="e">
        <f ca="1">IF(J55&lt;0.4,0.4,J55)</f>
        <v>#VALUE!</v>
      </c>
      <c r="K58" s="2765" t="s">
        <v>2326</v>
      </c>
      <c r="L58" s="1795" t="e">
        <f ca="1">ROUND(POWER(1+L52,L47-L48)*(POWER(1+L52,L48)-1)/(POWER(1+L52,L47)-1),4)</f>
        <v>#DIV/0!</v>
      </c>
      <c r="M58" s="3228"/>
      <c r="O58" s="2224" t="s">
        <v>2343</v>
      </c>
      <c r="P58" s="2225" t="s">
        <v>2374</v>
      </c>
      <c r="Q58" s="2226" t="e">
        <f ca="1">L60</f>
        <v>#DIV/0!</v>
      </c>
      <c r="R58" s="2229" t="s">
        <v>2376</v>
      </c>
    </row>
    <row r="59" spans="1:18" s="1914" customFormat="1" ht="28.5" customHeight="1" thickBot="1">
      <c r="A59" s="1550" t="s">
        <v>1806</v>
      </c>
      <c r="B59" s="756" t="s">
        <v>638</v>
      </c>
      <c r="C59" s="53">
        <f ca="1">ROUND(C47*F59/1.05,1)</f>
        <v>0</v>
      </c>
      <c r="D59" s="2449" t="s">
        <v>1731</v>
      </c>
      <c r="E59" s="756" t="s">
        <v>1722</v>
      </c>
      <c r="F59" s="781">
        <f t="shared" ref="F59:F65" si="0">F32</f>
        <v>5.6000000000000001E-2</v>
      </c>
      <c r="I59" s="2785" t="s">
        <v>2322</v>
      </c>
      <c r="J59" s="2786" t="str">
        <f ca="1">IF(OR(M47="住宅",J51&lt;L48,J56="是"),"——",ROUND(C29*J58,0))</f>
        <v>——</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8"/>
      <c r="O59" s="2227" t="s">
        <v>2345</v>
      </c>
      <c r="P59" s="2225" t="s">
        <v>2375</v>
      </c>
      <c r="Q59" s="2226">
        <f>IF(L55="比较法",L49,IF(L55="基准地价",L50,0))</f>
        <v>0</v>
      </c>
      <c r="R59" s="2225" t="s">
        <v>2342</v>
      </c>
    </row>
    <row r="60" spans="1:18" s="1914" customFormat="1" ht="18" customHeight="1" thickBot="1">
      <c r="A60" s="1550" t="s">
        <v>1807</v>
      </c>
      <c r="B60" s="756" t="s">
        <v>1733</v>
      </c>
      <c r="C60" s="53">
        <f ca="1">IF(D60="按租金收入计税",ROUND(C48*F60/(1+'数据-取费表'!C42),1),IF(D60="按房产原值计税",ROUND(C56*F60*0.7,1),INDIRECT("'数据-取费表'!Aj"&amp;$G$1)))</f>
        <v>0</v>
      </c>
      <c r="D60" s="2449" t="str">
        <f>D33</f>
        <v>按租金收入计税</v>
      </c>
      <c r="E60" s="756" t="s">
        <v>1722</v>
      </c>
      <c r="F60" s="781">
        <f t="shared" si="0"/>
        <v>0.12</v>
      </c>
      <c r="I60" s="2787" t="s">
        <v>2323</v>
      </c>
      <c r="J60" s="2788" t="str">
        <f ca="1">IF(OR(M47="住宅",J51&lt;L48,J56="是"),"0",ROUND(J59/(1+J52)^J53,0))</f>
        <v>0</v>
      </c>
      <c r="K60" s="2789" t="s">
        <v>2328</v>
      </c>
      <c r="L60" s="2788" t="e">
        <f ca="1">IF(OR(M47="住宅",L48&lt;J51),0,ROUND(L57*(L58/L59-1),0))</f>
        <v>#DIV/0!</v>
      </c>
      <c r="M60" s="3228"/>
      <c r="O60" s="2227" t="s">
        <v>2346</v>
      </c>
      <c r="P60" s="2225" t="s">
        <v>2355</v>
      </c>
      <c r="Q60" s="2228">
        <f>L52</f>
        <v>0</v>
      </c>
      <c r="R60" s="2229"/>
    </row>
    <row r="61" spans="1:18" s="1914" customFormat="1" ht="18" customHeight="1" thickBot="1">
      <c r="A61" s="1553" t="s">
        <v>1808</v>
      </c>
      <c r="B61" s="339" t="s">
        <v>646</v>
      </c>
      <c r="C61" s="54">
        <f ca="1">ROUND(F61*F62/10000,1)</f>
        <v>2.8</v>
      </c>
      <c r="D61" s="785" t="s">
        <v>647</v>
      </c>
      <c r="E61" s="756" t="s">
        <v>648</v>
      </c>
      <c r="F61" s="614">
        <f t="shared" si="0"/>
        <v>1.5</v>
      </c>
      <c r="K61" s="1940"/>
      <c r="O61" s="2227" t="s">
        <v>2348</v>
      </c>
      <c r="P61" s="2225" t="s">
        <v>2356</v>
      </c>
      <c r="Q61" s="2226" t="e">
        <f ca="1">L58</f>
        <v>#DIV/0!</v>
      </c>
      <c r="R61" s="2229" t="s">
        <v>2357</v>
      </c>
    </row>
    <row r="62" spans="1:18" s="1914" customFormat="1" ht="15.75" thickBot="1">
      <c r="A62" s="786"/>
      <c r="B62" s="765"/>
      <c r="C62" s="69"/>
      <c r="D62" s="787"/>
      <c r="E62" s="756" t="s">
        <v>652</v>
      </c>
      <c r="F62" s="757">
        <f t="shared" ca="1" si="0"/>
        <v>18388.8</v>
      </c>
      <c r="I62" s="2790" t="s">
        <v>2329</v>
      </c>
      <c r="J62" s="2791" t="s">
        <v>2330</v>
      </c>
      <c r="K62" s="2791" t="s">
        <v>2331</v>
      </c>
      <c r="L62" s="2791" t="s">
        <v>2312</v>
      </c>
      <c r="M62" s="2792" t="s">
        <v>2880</v>
      </c>
      <c r="O62" s="2227" t="s">
        <v>2350</v>
      </c>
      <c r="P62" s="2225" t="str">
        <f>K59</f>
        <v>建筑物剩余耐用年限下的土地年期修正系数Kn</v>
      </c>
      <c r="Q62" s="2226" t="e">
        <f ca="1">L59</f>
        <v>#DIV/0!</v>
      </c>
      <c r="R62" s="2229" t="s">
        <v>2359</v>
      </c>
    </row>
    <row r="63" spans="1:18" s="1914" customFormat="1" ht="15.75" thickBot="1">
      <c r="A63" s="1551" t="s">
        <v>1858</v>
      </c>
      <c r="B63" s="756" t="s">
        <v>654</v>
      </c>
      <c r="C63" s="53">
        <f ca="1">ROUND(C56*F63,1)</f>
        <v>112.8</v>
      </c>
      <c r="D63" s="2449" t="s">
        <v>1778</v>
      </c>
      <c r="E63" s="756" t="s">
        <v>1722</v>
      </c>
      <c r="F63" s="788">
        <f t="shared" ca="1" si="0"/>
        <v>1.4999999999999999E-2</v>
      </c>
      <c r="I63" s="2790" t="s">
        <v>2332</v>
      </c>
      <c r="J63" s="2791">
        <v>70</v>
      </c>
      <c r="K63" s="2791">
        <v>50</v>
      </c>
      <c r="L63" s="2791">
        <v>80</v>
      </c>
      <c r="M63" s="2793">
        <v>0.02</v>
      </c>
      <c r="O63" s="2224" t="s">
        <v>2353</v>
      </c>
      <c r="P63" s="2225" t="s">
        <v>2370</v>
      </c>
      <c r="Q63" s="2226" t="e">
        <f ca="1">Q57+Q58</f>
        <v>#DIV/0!</v>
      </c>
      <c r="R63" s="2229" t="s">
        <v>2354</v>
      </c>
    </row>
    <row r="64" spans="1:18" s="1914" customFormat="1" ht="16.5" thickBot="1">
      <c r="A64" s="1551" t="s">
        <v>1859</v>
      </c>
      <c r="B64" s="756" t="s">
        <v>657</v>
      </c>
      <c r="C64" s="53">
        <f ca="1">ROUND(C55*F64,1)</f>
        <v>11.3</v>
      </c>
      <c r="D64" s="2449" t="s">
        <v>658</v>
      </c>
      <c r="E64" s="756" t="s">
        <v>1722</v>
      </c>
      <c r="F64" s="789">
        <f t="shared" ca="1" si="0"/>
        <v>1.5E-3</v>
      </c>
      <c r="I64" s="2790" t="s">
        <v>2333</v>
      </c>
      <c r="J64" s="2791">
        <v>50</v>
      </c>
      <c r="K64" s="2791">
        <v>35</v>
      </c>
      <c r="L64" s="2791">
        <v>60</v>
      </c>
      <c r="M64" s="817">
        <v>0</v>
      </c>
      <c r="O64" s="2230" t="s">
        <v>2377</v>
      </c>
      <c r="P64" s="1501"/>
      <c r="Q64" s="1509"/>
      <c r="R64" s="1501"/>
    </row>
    <row r="65" spans="1:18" s="1914" customFormat="1" ht="15.75" thickBot="1">
      <c r="A65" s="1551" t="s">
        <v>1860</v>
      </c>
      <c r="B65" s="756" t="s">
        <v>644</v>
      </c>
      <c r="C65" s="53">
        <f ca="1">ROUND(C47*F65,1)</f>
        <v>0</v>
      </c>
      <c r="D65" s="2449" t="s">
        <v>661</v>
      </c>
      <c r="E65" s="756" t="s">
        <v>1722</v>
      </c>
      <c r="F65" s="766">
        <f t="shared" ca="1" si="0"/>
        <v>0.01</v>
      </c>
      <c r="I65" s="2790" t="s">
        <v>2334</v>
      </c>
      <c r="J65" s="2791">
        <v>40</v>
      </c>
      <c r="K65" s="2791">
        <v>30</v>
      </c>
      <c r="L65" s="2791">
        <v>50</v>
      </c>
      <c r="M65" s="2793">
        <v>0.02</v>
      </c>
      <c r="O65" s="2221" t="s">
        <v>2337</v>
      </c>
      <c r="P65" s="2222" t="s">
        <v>2338</v>
      </c>
      <c r="Q65" s="2223" t="s">
        <v>2339</v>
      </c>
      <c r="R65" s="2222" t="s">
        <v>2340</v>
      </c>
    </row>
    <row r="66" spans="1:18" s="1914" customFormat="1" ht="24.75" thickBot="1">
      <c r="A66" s="769" t="s">
        <v>1751</v>
      </c>
      <c r="B66" s="2692" t="s">
        <v>2774</v>
      </c>
      <c r="C66" s="771">
        <f ca="1">C47-C57</f>
        <v>-127</v>
      </c>
      <c r="D66" s="2448" t="s">
        <v>678</v>
      </c>
      <c r="E66" s="2447"/>
      <c r="F66" s="791"/>
      <c r="K66" s="1940"/>
      <c r="O66" s="2224" t="s">
        <v>2341</v>
      </c>
      <c r="P66" s="2225" t="s">
        <v>2371</v>
      </c>
      <c r="Q66" s="2226">
        <f ca="1">C40+J29</f>
        <v>15943</v>
      </c>
      <c r="R66" s="2225" t="s">
        <v>2342</v>
      </c>
    </row>
    <row r="67" spans="1:18" s="1914" customFormat="1" ht="20.25" thickBot="1">
      <c r="A67" s="753" t="s">
        <v>1755</v>
      </c>
      <c r="B67" s="2083" t="s">
        <v>2266</v>
      </c>
      <c r="C67" s="755">
        <f ca="1">ROUND(C66*(1-((1+F69)/(1+F67))^F68)/(F67-F69),0)</f>
        <v>-2319</v>
      </c>
      <c r="D67" s="785" t="s">
        <v>682</v>
      </c>
      <c r="E67" s="756" t="s">
        <v>683</v>
      </c>
      <c r="F67" s="766">
        <f ca="1">F40</f>
        <v>0.05</v>
      </c>
      <c r="K67" s="1940"/>
      <c r="O67" s="2224" t="s">
        <v>2343</v>
      </c>
      <c r="P67" s="2225" t="s">
        <v>2374</v>
      </c>
      <c r="Q67" s="2226" t="e">
        <f ca="1">L60</f>
        <v>#DIV/0!</v>
      </c>
      <c r="R67" s="2229" t="s">
        <v>2376</v>
      </c>
    </row>
    <row r="68" spans="1:18" ht="21.75" thickBot="1">
      <c r="A68" s="758"/>
      <c r="B68" s="759"/>
      <c r="C68" s="760"/>
      <c r="D68" s="792" t="s">
        <v>1783</v>
      </c>
      <c r="E68" s="756" t="s">
        <v>1759</v>
      </c>
      <c r="F68" s="793">
        <f ca="1">F41</f>
        <v>50</v>
      </c>
      <c r="O68" s="2227" t="s">
        <v>2345</v>
      </c>
      <c r="P68" s="2225" t="s">
        <v>2375</v>
      </c>
      <c r="Q68" s="2231">
        <f ca="1">L51</f>
        <v>31250</v>
      </c>
      <c r="R68" s="2232" t="s">
        <v>2378</v>
      </c>
    </row>
    <row r="69" spans="1:18" ht="20.25" thickBot="1">
      <c r="A69" s="762"/>
      <c r="B69" s="763"/>
      <c r="C69" s="764"/>
      <c r="D69" s="787"/>
      <c r="E69" s="756" t="s">
        <v>688</v>
      </c>
      <c r="F69" s="2197"/>
      <c r="O69" s="2227" t="s">
        <v>2346</v>
      </c>
      <c r="P69" s="2233" t="s">
        <v>2360</v>
      </c>
      <c r="Q69" s="2226">
        <f ca="1">ROUND(Q70-Q71*Q72,0)</f>
        <v>625</v>
      </c>
      <c r="R69" s="2229"/>
    </row>
    <row r="70" spans="1:18" ht="15.75" thickBot="1">
      <c r="A70" s="794" t="s">
        <v>1762</v>
      </c>
      <c r="B70" s="795" t="s">
        <v>1785</v>
      </c>
      <c r="C70" s="796">
        <f ca="1">ROUND(C67*10000/F70,0)</f>
        <v>-1261</v>
      </c>
      <c r="D70" s="797" t="s">
        <v>1786</v>
      </c>
      <c r="E70" s="798" t="s">
        <v>1787</v>
      </c>
      <c r="F70" s="799">
        <f ca="1">F43</f>
        <v>18388.8</v>
      </c>
      <c r="O70" s="2227" t="s">
        <v>2361</v>
      </c>
      <c r="P70" s="2233" t="s">
        <v>2362</v>
      </c>
      <c r="Q70" s="2226">
        <f ca="1">C39</f>
        <v>625</v>
      </c>
      <c r="R70" s="2225" t="s">
        <v>2342</v>
      </c>
    </row>
    <row r="71" spans="1:18" ht="15.75" thickBot="1">
      <c r="O71" s="2227" t="s">
        <v>2363</v>
      </c>
      <c r="P71" s="2233" t="s">
        <v>2364</v>
      </c>
      <c r="Q71" s="2226">
        <f ca="1">C13</f>
        <v>7521</v>
      </c>
      <c r="R71" s="2225" t="s">
        <v>2342</v>
      </c>
    </row>
    <row r="72" spans="1:18" ht="15.75" thickBot="1">
      <c r="O72" s="2227" t="s">
        <v>2365</v>
      </c>
      <c r="P72" s="2233" t="s">
        <v>2366</v>
      </c>
      <c r="Q72" s="2228">
        <f ca="1">J36</f>
        <v>0</v>
      </c>
      <c r="R72" s="2229"/>
    </row>
    <row r="73" spans="1:18" ht="15.75" thickBot="1">
      <c r="O73" s="2227" t="s">
        <v>2348</v>
      </c>
      <c r="P73" s="2225" t="s">
        <v>2355</v>
      </c>
      <c r="Q73" s="2228">
        <f>L52</f>
        <v>0</v>
      </c>
      <c r="R73" s="2229"/>
    </row>
    <row r="74" spans="1:18" ht="20.25" thickBot="1">
      <c r="O74" s="2227" t="s">
        <v>2350</v>
      </c>
      <c r="P74" s="2225" t="s">
        <v>2356</v>
      </c>
      <c r="Q74" s="2226" t="e">
        <f ca="1">L58</f>
        <v>#DIV/0!</v>
      </c>
      <c r="R74" s="2229" t="s">
        <v>2357</v>
      </c>
    </row>
    <row r="75" spans="1:18" ht="15.75" thickBot="1">
      <c r="O75" s="2227" t="s">
        <v>2379</v>
      </c>
      <c r="P75" s="2225" t="str">
        <f>K59</f>
        <v>建筑物剩余耐用年限下的土地年期修正系数Kn</v>
      </c>
      <c r="Q75" s="2226" t="e">
        <f ca="1">L59</f>
        <v>#DIV/0!</v>
      </c>
      <c r="R75" s="2229" t="s">
        <v>2359</v>
      </c>
    </row>
    <row r="76" spans="1:18" ht="15.75" thickBot="1">
      <c r="O76" s="2224" t="s">
        <v>2353</v>
      </c>
      <c r="P76" s="2225" t="s">
        <v>2370</v>
      </c>
      <c r="Q76" s="2226" t="e">
        <f ca="1">Q66+Q67</f>
        <v>#DIV/0!</v>
      </c>
      <c r="R76" s="2229"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67" priority="7">
      <formula>$L$48&gt;$J$51</formula>
    </cfRule>
  </conditionalFormatting>
  <conditionalFormatting sqref="I55">
    <cfRule type="expression" dxfId="166" priority="8">
      <formula>$J$51&gt;$L$48</formula>
    </cfRule>
  </conditionalFormatting>
  <conditionalFormatting sqref="I60">
    <cfRule type="expression" dxfId="165" priority="6">
      <formula>$J$51&gt;$L$48</formula>
    </cfRule>
  </conditionalFormatting>
  <conditionalFormatting sqref="K60">
    <cfRule type="expression" dxfId="164" priority="5">
      <formula>$L$48&gt;$J$51</formula>
    </cfRule>
  </conditionalFormatting>
  <conditionalFormatting sqref="C11">
    <cfRule type="expression" dxfId="163" priority="4">
      <formula>$F$10="自定义"</formula>
    </cfRule>
  </conditionalFormatting>
  <conditionalFormatting sqref="J11">
    <cfRule type="expression" dxfId="162" priority="2">
      <formula>$M$10="自定义"</formula>
    </cfRule>
  </conditionalFormatting>
  <conditionalFormatting sqref="C53">
    <cfRule type="expression" dxfId="161"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F22" sqref="F22"/>
    </sheetView>
  </sheetViews>
  <sheetFormatPr defaultColWidth="6.625" defaultRowHeight="12.75"/>
  <cols>
    <col min="1" max="1" width="10.125" style="1978" customWidth="1"/>
    <col min="2" max="2" width="25.75" style="1968" customWidth="1"/>
    <col min="3" max="3" width="10.375" style="1979" customWidth="1"/>
    <col min="4" max="4" width="12" style="1968" customWidth="1"/>
    <col min="5" max="5" width="9.375" style="1978" customWidth="1"/>
    <col min="6" max="6" width="10.125" style="1968" customWidth="1"/>
    <col min="7" max="7" width="9.375" style="1968" customWidth="1"/>
    <col min="8" max="8" width="10" style="1968" customWidth="1"/>
    <col min="9" max="11" width="9.375" style="1968" customWidth="1"/>
    <col min="12" max="12" width="9" style="1969" customWidth="1"/>
    <col min="13" max="13" width="10.375" style="1969" bestFit="1" customWidth="1"/>
    <col min="14" max="26" width="9" style="1969" customWidth="1"/>
    <col min="27" max="254" width="9" style="1968" customWidth="1"/>
    <col min="255" max="16384" width="6.625" style="1968"/>
  </cols>
  <sheetData>
    <row r="1" spans="1:41" s="1896" customFormat="1" ht="20.25">
      <c r="A1" s="415" t="s">
        <v>460</v>
      </c>
      <c r="B1" s="2494" t="s">
        <v>3145</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41" s="1896" customFormat="1" ht="18" customHeight="1">
      <c r="A2" s="417" t="s">
        <v>461</v>
      </c>
      <c r="B2" s="418">
        <f ca="1">C27</f>
        <v>13174.540161439723</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1659</v>
      </c>
      <c r="B3" s="419">
        <f ca="1">ROUND(B2*10000/IF(B1="",'数据-汇总表'!E3,INDIRECT("'数据-取费表'!K"&amp;$K$1)),0)</f>
        <v>7164</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7164</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478</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2605</v>
      </c>
      <c r="B6" s="427"/>
      <c r="C6" s="1526">
        <f ca="1">SUM(C10:K10)</f>
        <v>15943</v>
      </c>
      <c r="D6" s="1963"/>
      <c r="E6" s="1963"/>
      <c r="F6" s="1963"/>
      <c r="G6" s="1963"/>
      <c r="H6" s="1963"/>
      <c r="I6" s="1963"/>
      <c r="J6" s="1963"/>
      <c r="K6" s="1964"/>
      <c r="L6" s="3163"/>
      <c r="M6" s="3163"/>
      <c r="N6" s="3163"/>
      <c r="O6" s="3163"/>
      <c r="P6" s="3163"/>
      <c r="Q6" s="3163"/>
      <c r="R6" s="3163"/>
      <c r="S6" s="3163"/>
      <c r="T6" s="3163"/>
      <c r="U6" s="3163"/>
      <c r="V6" s="3163"/>
      <c r="W6" s="3163"/>
      <c r="X6" s="3163"/>
      <c r="Y6" s="3163"/>
      <c r="Z6" s="3163"/>
    </row>
    <row r="7" spans="1:41" s="1967" customFormat="1" ht="15">
      <c r="A7" s="428" t="s">
        <v>464</v>
      </c>
      <c r="B7" s="429" t="s">
        <v>465</v>
      </c>
      <c r="C7" s="430" t="s">
        <v>3145</v>
      </c>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1820</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1821</v>
      </c>
      <c r="B9" s="432" t="s">
        <v>467</v>
      </c>
      <c r="C9" s="435">
        <f>SUMIF('数据-汇总表'!$C19:$C33,'剩余法-现房'!C7,'数据-汇总表'!$E19:$E33)</f>
        <v>18388.8</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1822</v>
      </c>
      <c r="B10" s="1527" t="s">
        <v>468</v>
      </c>
      <c r="C10" s="1528">
        <f ca="1">不动产收益法!B2</f>
        <v>15943</v>
      </c>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2971</v>
      </c>
      <c r="B11" s="1524"/>
      <c r="C11" s="1524"/>
      <c r="D11" s="1524"/>
      <c r="E11" s="1524"/>
      <c r="F11" s="1524"/>
      <c r="G11" s="1524"/>
      <c r="H11" s="1524"/>
      <c r="I11" s="1524"/>
      <c r="J11" s="1524"/>
      <c r="K11" s="1525"/>
      <c r="L11" s="3163"/>
      <c r="M11" s="3163"/>
      <c r="N11" s="3163"/>
      <c r="O11" s="3163"/>
      <c r="P11" s="3163"/>
      <c r="Q11" s="3163"/>
      <c r="R11" s="3163"/>
      <c r="S11" s="3163"/>
      <c r="T11" s="3163"/>
      <c r="U11" s="3163"/>
      <c r="V11" s="3163"/>
      <c r="W11" s="3163"/>
      <c r="X11" s="3163"/>
      <c r="Y11" s="3163"/>
      <c r="Z11" s="3163"/>
    </row>
    <row r="12" spans="1:41" s="1939" customFormat="1" ht="13.5" customHeight="1">
      <c r="A12" s="428" t="s">
        <v>2972</v>
      </c>
      <c r="B12" s="437" t="s">
        <v>2973</v>
      </c>
      <c r="C12" s="438" t="s">
        <v>2974</v>
      </c>
      <c r="D12" s="439" t="s">
        <v>2975</v>
      </c>
      <c r="E12" s="439" t="s">
        <v>2976</v>
      </c>
      <c r="F12" s="439" t="s">
        <v>2977</v>
      </c>
      <c r="G12" s="437"/>
      <c r="H12" s="440"/>
      <c r="I12" s="440"/>
      <c r="J12" s="440"/>
      <c r="K12" s="441"/>
      <c r="L12" s="3164"/>
      <c r="M12" s="3164"/>
      <c r="N12" s="3164"/>
      <c r="O12" s="3164"/>
      <c r="P12" s="3164"/>
      <c r="Q12" s="3164"/>
      <c r="R12" s="3164"/>
      <c r="S12" s="3164"/>
      <c r="T12" s="3164"/>
      <c r="U12" s="3164"/>
      <c r="V12" s="3164"/>
      <c r="W12" s="3164"/>
      <c r="X12" s="3164"/>
      <c r="Y12" s="3164"/>
      <c r="Z12" s="3164"/>
    </row>
    <row r="13" spans="1:41" s="1970" customFormat="1" ht="13.5" customHeight="1">
      <c r="A13" s="1536" t="s">
        <v>2978</v>
      </c>
      <c r="B13" s="442" t="s">
        <v>2979</v>
      </c>
      <c r="C13" s="443">
        <f ca="1">IF(B1="",'数据-取费表'!M16,INDIRECT("'数据-取费表'!M"&amp;$K$1)+INDIRECT("'数据-取费表'!t"&amp;$K$1))</f>
        <v>5517</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1824</v>
      </c>
      <c r="B14" s="442" t="s">
        <v>2980</v>
      </c>
      <c r="C14" s="53">
        <f ca="1">ROUND(C13*F14,0)</f>
        <v>166</v>
      </c>
      <c r="D14" s="444"/>
      <c r="E14" s="363"/>
      <c r="F14" s="446">
        <f>'数据-取费表'!B33</f>
        <v>0.03</v>
      </c>
      <c r="G14" s="437" t="s">
        <v>2981</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1825</v>
      </c>
      <c r="B15" s="442" t="s">
        <v>2982</v>
      </c>
      <c r="C15" s="53">
        <f ca="1">ROUND(IF(B1="",SUMIF('数据-取费表'!C:C,"住宅",'数据-取费表'!M:M)*F15,IF(INDIRECT("'数据-取费表'!c"&amp;$K$1)="住宅",INDIRECT("'数据-取费表'!M"&amp;$K$1)*F15,0)),0)</f>
        <v>0</v>
      </c>
      <c r="D15" s="444"/>
      <c r="E15" s="363"/>
      <c r="F15" s="446">
        <f>'数据-取费表'!B34</f>
        <v>0</v>
      </c>
      <c r="G15" s="437" t="s">
        <v>2981</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1826</v>
      </c>
      <c r="B16" s="442" t="s">
        <v>2983</v>
      </c>
      <c r="C16" s="53">
        <f ca="1">ROUND(D16*E16/10000,0)</f>
        <v>368</v>
      </c>
      <c r="D16" s="444">
        <f ca="1">IF(B1="",'数据-汇总表'!E3,INDIRECT("'数据-取费表'!K"&amp;$K$1)+INDIRECT("'数据-取费表'!S"&amp;$K$1))</f>
        <v>18388.8</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1827</v>
      </c>
      <c r="B17" s="442" t="s">
        <v>2984</v>
      </c>
      <c r="C17" s="447">
        <f ca="1">ROUND(C13*F17,0)</f>
        <v>83</v>
      </c>
      <c r="D17" s="448"/>
      <c r="E17" s="447"/>
      <c r="F17" s="449">
        <v>1.4999999999999999E-2</v>
      </c>
      <c r="G17" s="437" t="s">
        <v>2981</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2985</v>
      </c>
      <c r="B18" s="452" t="s">
        <v>2986</v>
      </c>
      <c r="C18" s="453">
        <f ca="1">SUM(C13:C17)</f>
        <v>6134</v>
      </c>
      <c r="D18" s="454"/>
      <c r="E18" s="455"/>
      <c r="F18" s="455"/>
      <c r="G18" s="1262" t="s">
        <v>2987</v>
      </c>
      <c r="H18" s="440"/>
      <c r="I18" s="440"/>
      <c r="J18" s="440"/>
      <c r="K18" s="441"/>
      <c r="L18" s="3166"/>
      <c r="M18" s="3166"/>
      <c r="N18" s="3166"/>
      <c r="O18" s="3166"/>
      <c r="P18" s="3166"/>
      <c r="Q18" s="3166"/>
      <c r="R18" s="3166"/>
      <c r="S18" s="3166"/>
      <c r="T18" s="3166"/>
      <c r="U18" s="3166"/>
      <c r="V18" s="3166"/>
      <c r="W18" s="3166"/>
      <c r="X18" s="3166"/>
      <c r="Y18" s="3166"/>
      <c r="Z18" s="3166"/>
    </row>
    <row r="19" spans="1:26" s="1973" customFormat="1" ht="13.5" customHeight="1">
      <c r="A19" s="1537" t="s">
        <v>1829</v>
      </c>
      <c r="B19" s="452" t="s">
        <v>2988</v>
      </c>
      <c r="C19" s="453">
        <f ca="1">ROUND(C18*F19,0)</f>
        <v>61</v>
      </c>
      <c r="D19" s="454"/>
      <c r="E19" s="455"/>
      <c r="F19" s="459">
        <f>'数据-取费表'!B37</f>
        <v>0.01</v>
      </c>
      <c r="G19" s="437" t="s">
        <v>2989</v>
      </c>
      <c r="H19" s="440"/>
      <c r="I19" s="440"/>
      <c r="J19" s="440"/>
      <c r="K19" s="441"/>
      <c r="L19" s="3168"/>
      <c r="M19" s="3168"/>
      <c r="N19" s="3168"/>
      <c r="O19" s="3166"/>
      <c r="P19" s="3166"/>
      <c r="Q19" s="3166"/>
      <c r="R19" s="3166"/>
      <c r="S19" s="3166"/>
      <c r="T19" s="3166"/>
      <c r="U19" s="3166"/>
      <c r="V19" s="3166"/>
      <c r="W19" s="3166"/>
      <c r="X19" s="3166"/>
      <c r="Y19" s="3166"/>
      <c r="Z19" s="3166"/>
    </row>
    <row r="20" spans="1:26" s="1973" customFormat="1" ht="13.5" customHeight="1">
      <c r="A20" s="1537" t="s">
        <v>1830</v>
      </c>
      <c r="B20" s="454" t="s">
        <v>2990</v>
      </c>
      <c r="C20" s="463">
        <f ca="1">ROUND(IF('数据-取费表'!B22&lt;=1,(C18+C19)*F20*'数据-取费表'!B20/2,(C18+C19)*(POWER((1+F20),'数据-取费表'!B20/2)-1)),0)</f>
        <v>219</v>
      </c>
      <c r="D20" s="455">
        <f ca="1">ROUND(((1+F20)^'[2]数据-取费表'!B20)-1,4)</f>
        <v>0</v>
      </c>
      <c r="E20" s="455"/>
      <c r="F20" s="464">
        <f ca="1">'数据-取费表'!B40</f>
        <v>4.7500000000000001E-2</v>
      </c>
      <c r="G20" s="1262" t="str">
        <f>IF('[2]数据-取费表'!B22&lt;=1,"单利计息。","复利计息。")&amp;"建造成本、管理费用产生的利息 / 地价及税费产生的利息。"</f>
        <v>单利计息。建造成本、管理费用产生的利息 / 地价及税费产生的利息。</v>
      </c>
      <c r="H20" s="440"/>
      <c r="I20" s="440"/>
      <c r="J20" s="440"/>
      <c r="K20" s="441"/>
      <c r="L20" s="3168"/>
      <c r="M20" s="3168"/>
      <c r="N20" s="3168"/>
      <c r="O20" s="3166"/>
      <c r="P20" s="3166"/>
      <c r="Q20" s="3166"/>
      <c r="R20" s="3166"/>
      <c r="S20" s="3166"/>
      <c r="T20" s="3166"/>
      <c r="U20" s="3166"/>
      <c r="V20" s="3166"/>
      <c r="W20" s="3166"/>
      <c r="X20" s="3166"/>
      <c r="Y20" s="3166"/>
      <c r="Z20" s="3166"/>
    </row>
    <row r="21" spans="1:26" s="1975" customFormat="1" ht="13.5" customHeight="1">
      <c r="A21" s="1537" t="s">
        <v>2991</v>
      </c>
      <c r="B21" s="2711" t="s">
        <v>2992</v>
      </c>
      <c r="C21" s="471">
        <f ca="1">ROUND((C18+C19)*F21,0)</f>
        <v>620</v>
      </c>
      <c r="D21" s="3245"/>
      <c r="E21" s="455"/>
      <c r="F21" s="472">
        <f ca="1">IF(B1="",'数据-取费表'!Q16,INDIRECT("'数据-取费表'!q"&amp;$K$1))</f>
        <v>0.1</v>
      </c>
      <c r="G21" s="437"/>
      <c r="H21" s="440"/>
      <c r="I21" s="440"/>
      <c r="J21" s="440"/>
      <c r="K21" s="441"/>
      <c r="L21" s="3173" t="s">
        <v>2409</v>
      </c>
      <c r="M21" s="3174"/>
      <c r="N21" s="3174"/>
      <c r="O21" s="3174"/>
      <c r="P21" s="3174"/>
      <c r="Q21" s="3168"/>
      <c r="R21" s="3168"/>
      <c r="S21" s="3168"/>
      <c r="T21" s="3168"/>
      <c r="U21" s="3168"/>
      <c r="V21" s="3168"/>
      <c r="W21" s="3168"/>
      <c r="X21" s="3168"/>
      <c r="Y21" s="3168"/>
      <c r="Z21" s="3168"/>
    </row>
    <row r="22" spans="1:26" s="1974" customFormat="1" ht="13.5" customHeight="1">
      <c r="A22" s="1537" t="s">
        <v>1834</v>
      </c>
      <c r="B22" s="469" t="s">
        <v>2993</v>
      </c>
      <c r="C22" s="476"/>
      <c r="D22" s="476"/>
      <c r="E22" s="455"/>
      <c r="F22" s="3246">
        <f ca="1">IF(B1="",'数据-取费表'!N16,INDIRECT("'数据-取费表'!N"&amp;$K$1))</f>
        <v>0</v>
      </c>
      <c r="G22" s="437"/>
      <c r="H22" s="440"/>
      <c r="I22" s="440"/>
      <c r="J22" s="440"/>
      <c r="K22" s="441"/>
      <c r="L22" s="3167"/>
      <c r="M22" s="3167"/>
      <c r="N22" s="3167"/>
      <c r="O22" s="3167"/>
      <c r="P22" s="3167"/>
      <c r="Q22" s="3167"/>
      <c r="R22" s="3167"/>
      <c r="S22" s="3167"/>
      <c r="T22" s="3167"/>
      <c r="U22" s="3167"/>
      <c r="V22" s="3167"/>
      <c r="W22" s="3167"/>
      <c r="X22" s="3167"/>
      <c r="Y22" s="3167"/>
      <c r="Z22" s="3167"/>
    </row>
    <row r="23" spans="1:26" s="1974" customFormat="1" ht="13.5" customHeight="1" thickBot="1">
      <c r="A23" s="3247" t="s">
        <v>1835</v>
      </c>
      <c r="B23" s="3248" t="s">
        <v>2994</v>
      </c>
      <c r="C23" s="3249">
        <f ca="1">ROUND((C18+C19+C20+C21)*F22,0)</f>
        <v>0</v>
      </c>
      <c r="D23" s="3250"/>
      <c r="E23" s="455"/>
      <c r="F23" s="477"/>
      <c r="G23" s="429"/>
      <c r="H23" s="3251"/>
      <c r="I23" s="3251"/>
      <c r="J23" s="3251"/>
      <c r="K23" s="3252"/>
      <c r="L23" s="3167"/>
      <c r="M23" s="3167"/>
      <c r="N23" s="3167"/>
      <c r="O23" s="3167"/>
      <c r="P23" s="3167"/>
      <c r="Q23" s="3167"/>
      <c r="R23" s="3167"/>
      <c r="S23" s="3167"/>
      <c r="T23" s="3167"/>
      <c r="U23" s="3167"/>
      <c r="V23" s="3167"/>
      <c r="W23" s="3167"/>
      <c r="X23" s="3167"/>
      <c r="Y23" s="3167"/>
      <c r="Z23" s="3167"/>
    </row>
    <row r="24" spans="1:26" s="1974" customFormat="1" ht="13.5" customHeight="1" thickBot="1">
      <c r="A24" s="3683" t="s">
        <v>2995</v>
      </c>
      <c r="B24" s="3684"/>
      <c r="C24" s="3253">
        <f ca="1">ROUND(C6*F24/(1+'数据-取费表'!B42),0)</f>
        <v>850</v>
      </c>
      <c r="D24" s="3254"/>
      <c r="E24" s="455"/>
      <c r="F24" s="3255">
        <f>'数据-取费表'!B41</f>
        <v>5.6000000000000001E-2</v>
      </c>
      <c r="G24" s="3256"/>
      <c r="H24" s="3256"/>
      <c r="I24" s="3256"/>
      <c r="J24" s="3256"/>
      <c r="K24" s="3257"/>
      <c r="L24" s="3167"/>
      <c r="M24" s="3167"/>
      <c r="N24" s="3167"/>
      <c r="O24" s="3167"/>
      <c r="P24" s="3167"/>
      <c r="Q24" s="3167"/>
      <c r="R24" s="3167"/>
      <c r="S24" s="3167"/>
      <c r="T24" s="3167"/>
      <c r="U24" s="3167"/>
      <c r="V24" s="3167"/>
      <c r="W24" s="3167"/>
      <c r="X24" s="3167"/>
      <c r="Y24" s="3167"/>
      <c r="Z24" s="3167"/>
    </row>
    <row r="25" spans="1:26" s="1974" customFormat="1" ht="13.5" customHeight="1" thickBot="1">
      <c r="A25" s="3683" t="s">
        <v>2996</v>
      </c>
      <c r="B25" s="3684"/>
      <c r="C25" s="3253">
        <f ca="1">ROUND(C6*F25,0)</f>
        <v>159</v>
      </c>
      <c r="D25" s="3254"/>
      <c r="E25" s="455"/>
      <c r="F25" s="3258">
        <f>'数据-取费表'!B38</f>
        <v>0.01</v>
      </c>
      <c r="G25" s="3259"/>
      <c r="H25" s="3256"/>
      <c r="I25" s="3256"/>
      <c r="J25" s="3256"/>
      <c r="K25" s="3257"/>
      <c r="L25" s="3167"/>
      <c r="M25" s="3167"/>
      <c r="N25" s="3167"/>
      <c r="O25" s="3167"/>
      <c r="P25" s="3167"/>
      <c r="Q25" s="3167"/>
      <c r="R25" s="3167"/>
      <c r="S25" s="3167"/>
      <c r="T25" s="3167"/>
      <c r="U25" s="3167"/>
      <c r="V25" s="3167"/>
      <c r="W25" s="3167"/>
      <c r="X25" s="3167"/>
      <c r="Y25" s="3167"/>
      <c r="Z25" s="3167"/>
    </row>
    <row r="26" spans="1:26" s="1974" customFormat="1" ht="13.5" customHeight="1" thickBot="1">
      <c r="A26" s="3683" t="s">
        <v>2997</v>
      </c>
      <c r="B26" s="3684"/>
      <c r="C26" s="3260"/>
      <c r="D26" s="3261"/>
      <c r="E26" s="3261"/>
      <c r="F26" s="3262">
        <f>'数据-取费表'!B48+'数据-取费表'!B49</f>
        <v>3.0499999999999999E-2</v>
      </c>
      <c r="G26" s="3263"/>
      <c r="H26" s="3263"/>
      <c r="I26" s="3263"/>
      <c r="J26" s="3264"/>
      <c r="K26" s="3265"/>
      <c r="L26" s="3167"/>
      <c r="M26" s="3167"/>
      <c r="N26" s="3167"/>
      <c r="O26" s="3167"/>
      <c r="P26" s="3167"/>
      <c r="Q26" s="3167"/>
      <c r="R26" s="3167"/>
      <c r="S26" s="3167"/>
      <c r="T26" s="3167"/>
      <c r="U26" s="3167"/>
      <c r="V26" s="3167"/>
      <c r="W26" s="3167"/>
      <c r="X26" s="3167"/>
      <c r="Y26" s="3167"/>
      <c r="Z26" s="3167"/>
    </row>
    <row r="27" spans="1:26" s="1974" customFormat="1" ht="13.5" customHeight="1" thickBot="1">
      <c r="A27" s="3685" t="s">
        <v>2998</v>
      </c>
      <c r="B27" s="3686"/>
      <c r="C27" s="3266">
        <f ca="1">(C6-C23-C24-C25)/((1+F26)*(1+D20+F21))</f>
        <v>13174.540161439723</v>
      </c>
      <c r="D27" s="3267"/>
      <c r="E27" s="3267"/>
      <c r="F27" s="3267"/>
      <c r="G27" s="3268" t="s">
        <v>2999</v>
      </c>
      <c r="H27" s="3267"/>
      <c r="I27" s="3267"/>
      <c r="J27" s="3267"/>
      <c r="K27" s="3269"/>
      <c r="L27" s="3167"/>
      <c r="M27" s="3167"/>
      <c r="N27" s="3167"/>
      <c r="O27" s="3167"/>
      <c r="P27" s="3167"/>
      <c r="Q27" s="3167"/>
      <c r="R27" s="3167"/>
      <c r="S27" s="3167"/>
      <c r="T27" s="3167"/>
      <c r="U27" s="3167"/>
      <c r="V27" s="3167"/>
      <c r="W27" s="3167"/>
      <c r="X27" s="3167"/>
      <c r="Y27" s="3167"/>
      <c r="Z27" s="3167"/>
    </row>
    <row r="28" spans="1:26" s="1969" customFormat="1">
      <c r="A28" s="3171"/>
      <c r="C28" s="3172"/>
      <c r="E28" s="3171"/>
    </row>
    <row r="29" spans="1:26" s="1969" customFormat="1">
      <c r="A29" s="3171"/>
      <c r="C29" s="3172"/>
      <c r="E29" s="3171"/>
    </row>
    <row r="30" spans="1:26" s="1969" customFormat="1">
      <c r="A30" s="3171"/>
      <c r="C30" s="3172"/>
      <c r="E30" s="3171"/>
    </row>
    <row r="31" spans="1:26" s="1969" customFormat="1">
      <c r="A31" s="3171"/>
      <c r="C31" s="3172"/>
      <c r="E31" s="3171"/>
    </row>
    <row r="32" spans="1:26" s="1969" customFormat="1">
      <c r="A32" s="3171"/>
      <c r="C32" s="3172"/>
      <c r="E32" s="3171"/>
    </row>
    <row r="33" spans="1:5" s="1969" customFormat="1">
      <c r="A33" s="3171"/>
      <c r="C33" s="3172"/>
      <c r="E33" s="3171"/>
    </row>
    <row r="34" spans="1:5" s="1969" customFormat="1">
      <c r="A34" s="3171"/>
      <c r="C34" s="3172"/>
      <c r="E34" s="3171"/>
    </row>
    <row r="35" spans="1:5" s="1969" customFormat="1">
      <c r="A35" s="3171"/>
      <c r="C35" s="3172"/>
      <c r="E35" s="3171"/>
    </row>
    <row r="36" spans="1:5" s="1969" customFormat="1">
      <c r="A36" s="3171"/>
      <c r="C36" s="3172"/>
      <c r="E36" s="3171"/>
    </row>
    <row r="37" spans="1:5" s="1969" customFormat="1">
      <c r="A37" s="3171"/>
      <c r="C37" s="3172"/>
      <c r="E37" s="3171"/>
    </row>
    <row r="38" spans="1:5" s="1969" customFormat="1">
      <c r="A38" s="3171"/>
      <c r="C38" s="3172"/>
      <c r="E38" s="3171"/>
    </row>
    <row r="39" spans="1:5" s="1969" customFormat="1">
      <c r="A39" s="3171"/>
      <c r="C39" s="3172"/>
      <c r="E39" s="3171"/>
    </row>
    <row r="40" spans="1:5" s="1969" customFormat="1">
      <c r="A40" s="3171"/>
      <c r="C40" s="3172"/>
      <c r="E40" s="3171"/>
    </row>
    <row r="41" spans="1:5" s="1969" customFormat="1">
      <c r="A41" s="3171"/>
      <c r="C41" s="3172"/>
      <c r="E41" s="3171"/>
    </row>
    <row r="42" spans="1:5" s="1969" customFormat="1">
      <c r="A42" s="3171"/>
      <c r="C42" s="3172"/>
      <c r="E42" s="3171"/>
    </row>
    <row r="43" spans="1:5" s="1969" customFormat="1">
      <c r="A43" s="3171"/>
      <c r="C43" s="3172"/>
      <c r="E43" s="3171"/>
    </row>
    <row r="44" spans="1:5" s="1969" customFormat="1">
      <c r="A44" s="3171"/>
      <c r="C44" s="3172"/>
      <c r="E44" s="3171"/>
    </row>
    <row r="45" spans="1:5" s="1969" customFormat="1">
      <c r="A45" s="3171"/>
      <c r="C45" s="3172"/>
      <c r="E45" s="3171"/>
    </row>
    <row r="46" spans="1:5" s="1969" customFormat="1">
      <c r="A46" s="3171"/>
      <c r="C46" s="3172"/>
      <c r="E46" s="3171"/>
    </row>
    <row r="47" spans="1:5" s="1969" customFormat="1">
      <c r="A47" s="3171"/>
      <c r="C47" s="3172"/>
      <c r="E47" s="3171"/>
    </row>
    <row r="48" spans="1:5"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sheetData>
  <sheetProtection algorithmName="SHA-512" hashValue="BXfUTl+DAHnLUH+chQcm4MqkrrL8gk5YW2+i8rQiP56eoPQzFbJURwsNa8lPFfN7qOhyptvJTl1+0SanDUEeKw==" saltValue="QjSQD8NW5aVOO0Iej8R0CA==" spinCount="100000"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5"/>
      <c r="M1" s="3176"/>
      <c r="N1" s="3176"/>
      <c r="O1" s="3176"/>
      <c r="P1" s="1985"/>
      <c r="Q1" s="1985"/>
      <c r="R1" s="1985"/>
      <c r="S1" s="1985"/>
      <c r="T1" s="1985"/>
      <c r="U1" s="1985"/>
      <c r="V1" s="1985"/>
      <c r="W1" s="1985"/>
      <c r="X1" s="1985"/>
      <c r="Y1" s="1985"/>
      <c r="Z1" s="1985"/>
      <c r="AA1" s="1985"/>
      <c r="AB1" s="1985"/>
      <c r="AC1" s="3177"/>
      <c r="AD1" s="1263"/>
    </row>
    <row r="2" spans="1:30" s="1264" customFormat="1" ht="28.5" customHeight="1">
      <c r="A2" s="417" t="s">
        <v>461</v>
      </c>
      <c r="B2" s="484" t="e">
        <f>F68</f>
        <v>#DIV/0!</v>
      </c>
      <c r="C2" s="3185"/>
      <c r="D2" s="3185"/>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c r="AD2" s="1263"/>
    </row>
    <row r="3" spans="1:30" s="1264" customFormat="1" ht="28.5" customHeight="1">
      <c r="A3" s="1305" t="s">
        <v>1659</v>
      </c>
      <c r="B3" s="486" t="e">
        <f>ROUND(B2*10000/'数据-汇总表'!E3,0)</f>
        <v>#DIV/0!</v>
      </c>
      <c r="C3" s="3186"/>
      <c r="D3" s="3190"/>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3178"/>
      <c r="AC3" s="1916"/>
    </row>
    <row r="4" spans="1:30" s="1264" customFormat="1" ht="28.5" customHeight="1">
      <c r="A4" s="487" t="s">
        <v>498</v>
      </c>
      <c r="B4" s="421" t="e">
        <f>IF(B48="单位面积地价",C50,ROUND(B2*10000/'数据-汇总表'!D3,0))</f>
        <v>#DIV/0!</v>
      </c>
      <c r="C4" s="3186"/>
      <c r="D4" s="3190"/>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1985"/>
      <c r="AC5" s="1916"/>
    </row>
    <row r="6" spans="1:30" ht="20.25">
      <c r="A6" s="488" t="s">
        <v>499</v>
      </c>
      <c r="B6" s="489"/>
      <c r="C6" s="3709" t="s">
        <v>500</v>
      </c>
      <c r="D6" s="3710"/>
      <c r="E6" s="3709" t="s">
        <v>501</v>
      </c>
      <c r="F6" s="3710"/>
      <c r="G6" s="3709" t="s">
        <v>502</v>
      </c>
      <c r="H6" s="3710"/>
      <c r="I6" s="3709" t="s">
        <v>503</v>
      </c>
      <c r="J6" s="3710"/>
      <c r="K6" s="490" t="s">
        <v>504</v>
      </c>
      <c r="L6" s="1986"/>
      <c r="M6" s="1985"/>
      <c r="N6" s="1985"/>
      <c r="O6" s="1987"/>
      <c r="P6" s="3711" t="s">
        <v>505</v>
      </c>
      <c r="Q6" s="3712"/>
      <c r="R6" s="3697" t="s">
        <v>501</v>
      </c>
      <c r="S6" s="3698"/>
      <c r="T6" s="3697" t="s">
        <v>502</v>
      </c>
      <c r="U6" s="3698"/>
      <c r="V6" s="3717" t="s">
        <v>503</v>
      </c>
      <c r="W6" s="3717"/>
      <c r="X6" s="1476"/>
      <c r="Y6" s="3697" t="s">
        <v>505</v>
      </c>
      <c r="Z6" s="3698"/>
      <c r="AA6" s="3692" t="s">
        <v>501</v>
      </c>
      <c r="AB6" s="3693" t="s">
        <v>502</v>
      </c>
      <c r="AC6" s="3692" t="s">
        <v>503</v>
      </c>
    </row>
    <row r="7" spans="1:30" ht="20.25">
      <c r="A7" s="491"/>
      <c r="B7" s="492"/>
      <c r="C7" s="3720" t="s">
        <v>2867</v>
      </c>
      <c r="D7" s="3721"/>
      <c r="E7" s="3720" t="s">
        <v>2868</v>
      </c>
      <c r="F7" s="3721"/>
      <c r="G7" s="3720" t="s">
        <v>2869</v>
      </c>
      <c r="H7" s="3721"/>
      <c r="I7" s="3720" t="s">
        <v>2870</v>
      </c>
      <c r="J7" s="3721"/>
      <c r="K7" s="490"/>
      <c r="L7" s="1986"/>
      <c r="M7" s="1985"/>
      <c r="N7" s="1985"/>
      <c r="O7" s="1987"/>
      <c r="P7" s="3713"/>
      <c r="Q7" s="3714"/>
      <c r="R7" s="3699"/>
      <c r="S7" s="3700"/>
      <c r="T7" s="3699"/>
      <c r="U7" s="3700"/>
      <c r="V7" s="3717"/>
      <c r="W7" s="3717"/>
      <c r="X7" s="1476"/>
      <c r="Y7" s="3699"/>
      <c r="Z7" s="3700"/>
      <c r="AA7" s="3693"/>
      <c r="AB7" s="3693"/>
      <c r="AC7" s="3693"/>
    </row>
    <row r="8" spans="1:30" ht="21" thickBot="1">
      <c r="A8" s="491"/>
      <c r="B8" s="492"/>
      <c r="C8" s="3722" t="s">
        <v>2871</v>
      </c>
      <c r="D8" s="3723"/>
      <c r="E8" s="3722" t="s">
        <v>2871</v>
      </c>
      <c r="F8" s="3723"/>
      <c r="G8" s="3718" t="s">
        <v>2871</v>
      </c>
      <c r="H8" s="3719"/>
      <c r="I8" s="3718" t="s">
        <v>2871</v>
      </c>
      <c r="J8" s="3719"/>
      <c r="K8" s="490" t="s">
        <v>506</v>
      </c>
      <c r="L8" s="1986"/>
      <c r="M8" s="1985"/>
      <c r="N8" s="1985"/>
      <c r="O8" s="1987"/>
      <c r="P8" s="3715"/>
      <c r="Q8" s="3716"/>
      <c r="R8" s="3699"/>
      <c r="S8" s="3700"/>
      <c r="T8" s="3701"/>
      <c r="U8" s="3702"/>
      <c r="V8" s="3717"/>
      <c r="W8" s="3717"/>
      <c r="X8" s="1476"/>
      <c r="Y8" s="3701"/>
      <c r="Z8" s="3702"/>
      <c r="AA8" s="3694"/>
      <c r="AB8" s="3694"/>
      <c r="AC8" s="3694"/>
    </row>
    <row r="9" spans="1:30" s="1185" customFormat="1" ht="21" thickBot="1">
      <c r="A9" s="2597"/>
      <c r="B9" s="2604" t="s">
        <v>507</v>
      </c>
      <c r="C9" s="2596">
        <f>'数据-取费表'!B2</f>
        <v>44623</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695" t="s">
        <v>508</v>
      </c>
      <c r="Q9" s="3704"/>
      <c r="R9" s="1477" t="s">
        <v>8</v>
      </c>
      <c r="S9" s="1478">
        <f t="shared" ref="S9:S17" si="0">F9</f>
        <v>0</v>
      </c>
      <c r="T9" s="1477" t="s">
        <v>8</v>
      </c>
      <c r="U9" s="1478">
        <f t="shared" ref="U9:U17" si="1">H9</f>
        <v>0</v>
      </c>
      <c r="V9" s="1477" t="s">
        <v>8</v>
      </c>
      <c r="W9" s="1478">
        <f t="shared" ref="W9:W17" si="2">J9</f>
        <v>0</v>
      </c>
      <c r="X9" s="1479"/>
      <c r="Y9" s="3695" t="s">
        <v>508</v>
      </c>
      <c r="Z9" s="3696"/>
      <c r="AA9" s="1480" t="e">
        <f>D9/F9</f>
        <v>#DIV/0!</v>
      </c>
      <c r="AB9" s="1480" t="e">
        <f>D9/H9</f>
        <v>#DIV/0!</v>
      </c>
      <c r="AC9" s="1480" t="e">
        <f>D9/J9</f>
        <v>#DIV/0!</v>
      </c>
    </row>
    <row r="10" spans="1:30" s="1185" customFormat="1" ht="21"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695" t="s">
        <v>511</v>
      </c>
      <c r="Q10" s="3696"/>
      <c r="R10" s="1477" t="s">
        <v>8</v>
      </c>
      <c r="S10" s="1478">
        <f t="shared" si="0"/>
        <v>0</v>
      </c>
      <c r="T10" s="1477" t="s">
        <v>8</v>
      </c>
      <c r="U10" s="1478">
        <f t="shared" si="1"/>
        <v>0</v>
      </c>
      <c r="V10" s="1477" t="s">
        <v>8</v>
      </c>
      <c r="W10" s="1478">
        <f t="shared" si="2"/>
        <v>0</v>
      </c>
      <c r="X10" s="1479"/>
      <c r="Y10" s="3695" t="s">
        <v>511</v>
      </c>
      <c r="Z10" s="3696"/>
      <c r="AA10" s="1480" t="e">
        <f t="shared" ref="AA10:AA47" si="3">D10/F10</f>
        <v>#DIV/0!</v>
      </c>
      <c r="AB10" s="1480" t="e">
        <f t="shared" ref="AB10:AB47" si="4">D10/H10</f>
        <v>#DIV/0!</v>
      </c>
      <c r="AC10" s="1480" t="e">
        <f t="shared" ref="AC10:AC47" si="5">D10/J10</f>
        <v>#DIV/0!</v>
      </c>
    </row>
    <row r="11" spans="1:30" s="1185" customFormat="1" ht="20.25">
      <c r="A11" s="2599"/>
      <c r="B11" s="2606" t="s">
        <v>2709</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703" t="s">
        <v>513</v>
      </c>
      <c r="Q11" s="1116" t="str">
        <f t="shared" ref="Q11:Q17" si="6">B11</f>
        <v>用途</v>
      </c>
      <c r="R11" s="1477" t="s">
        <v>8</v>
      </c>
      <c r="S11" s="1478">
        <f t="shared" si="0"/>
        <v>100</v>
      </c>
      <c r="T11" s="1477" t="s">
        <v>8</v>
      </c>
      <c r="U11" s="1478">
        <f t="shared" si="1"/>
        <v>100</v>
      </c>
      <c r="V11" s="1477" t="s">
        <v>8</v>
      </c>
      <c r="W11" s="1478">
        <f t="shared" si="2"/>
        <v>100</v>
      </c>
      <c r="X11" s="1479"/>
      <c r="Y11" s="3644" t="s">
        <v>514</v>
      </c>
      <c r="Z11" s="1115" t="str">
        <f t="shared" ref="Z11:Z17" si="7">Q11</f>
        <v>用途</v>
      </c>
      <c r="AA11" s="1480">
        <f t="shared" si="3"/>
        <v>1</v>
      </c>
      <c r="AB11" s="1480">
        <f t="shared" si="4"/>
        <v>1</v>
      </c>
      <c r="AC11" s="1480">
        <f t="shared" si="5"/>
        <v>1</v>
      </c>
    </row>
    <row r="12" spans="1:30" s="1266" customFormat="1" ht="27">
      <c r="A12" s="2600"/>
      <c r="B12" s="2605" t="s">
        <v>2710</v>
      </c>
      <c r="C12" s="881"/>
      <c r="D12" s="253">
        <v>100</v>
      </c>
      <c r="E12" s="505"/>
      <c r="F12" s="253" t="e">
        <f>ROUND(100/'数据-取费表'!G16,0)</f>
        <v>#DIV/0!</v>
      </c>
      <c r="G12" s="506"/>
      <c r="H12" s="253" t="e">
        <f>ROUND(100/'数据-取费表'!G16,0)</f>
        <v>#DIV/0!</v>
      </c>
      <c r="I12" s="506"/>
      <c r="J12" s="253" t="e">
        <f>ROUND(100/'数据-取费表'!G16,0)</f>
        <v>#DIV/0!</v>
      </c>
      <c r="K12" s="507"/>
      <c r="L12" s="1991"/>
      <c r="M12" s="1985"/>
      <c r="N12" s="1985"/>
      <c r="O12" s="1992"/>
      <c r="P12" s="3703"/>
      <c r="Q12" s="1116" t="str">
        <f t="shared" si="6"/>
        <v>土地使用年限（年）</v>
      </c>
      <c r="R12" s="1477" t="s">
        <v>8</v>
      </c>
      <c r="S12" s="1478" t="e">
        <f t="shared" si="0"/>
        <v>#DIV/0!</v>
      </c>
      <c r="T12" s="1477" t="s">
        <v>8</v>
      </c>
      <c r="U12" s="1478" t="e">
        <f t="shared" si="1"/>
        <v>#DIV/0!</v>
      </c>
      <c r="V12" s="1477" t="s">
        <v>8</v>
      </c>
      <c r="W12" s="1478" t="e">
        <f t="shared" si="2"/>
        <v>#DIV/0!</v>
      </c>
      <c r="X12" s="1479"/>
      <c r="Y12" s="3644"/>
      <c r="Z12" s="1115" t="str">
        <f t="shared" si="7"/>
        <v>土地使用年限（年）</v>
      </c>
      <c r="AA12" s="1480" t="e">
        <f t="shared" si="3"/>
        <v>#DIV/0!</v>
      </c>
      <c r="AB12" s="1480" t="e">
        <f t="shared" si="4"/>
        <v>#DIV/0!</v>
      </c>
      <c r="AC12" s="1480" t="e">
        <f t="shared" si="5"/>
        <v>#DIV/0!</v>
      </c>
    </row>
    <row r="13" spans="1:30" ht="20.25">
      <c r="A13" s="2601"/>
      <c r="B13" s="2605"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703"/>
      <c r="Q13" s="1116" t="str">
        <f t="shared" si="6"/>
        <v>容积率</v>
      </c>
      <c r="R13" s="1477" t="s">
        <v>8</v>
      </c>
      <c r="S13" s="1478" t="e">
        <f t="shared" si="0"/>
        <v>#N/A</v>
      </c>
      <c r="T13" s="1477" t="s">
        <v>8</v>
      </c>
      <c r="U13" s="1478" t="e">
        <f t="shared" si="1"/>
        <v>#N/A</v>
      </c>
      <c r="V13" s="1477" t="s">
        <v>8</v>
      </c>
      <c r="W13" s="1478" t="e">
        <f t="shared" si="2"/>
        <v>#N/A</v>
      </c>
      <c r="X13" s="1479"/>
      <c r="Y13" s="3644"/>
      <c r="Z13" s="1115" t="str">
        <f t="shared" si="7"/>
        <v>容积率</v>
      </c>
      <c r="AA13" s="1480" t="e">
        <f t="shared" si="3"/>
        <v>#N/A</v>
      </c>
      <c r="AB13" s="1480" t="e">
        <f t="shared" si="4"/>
        <v>#N/A</v>
      </c>
      <c r="AC13" s="1480" t="e">
        <f t="shared" si="5"/>
        <v>#N/A</v>
      </c>
    </row>
    <row r="14" spans="1:30" s="1185" customFormat="1" ht="20.25">
      <c r="A14" s="2598"/>
      <c r="B14" s="2607" t="s">
        <v>2712</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703"/>
      <c r="Q14" s="1116" t="str">
        <f t="shared" si="6"/>
        <v>配建</v>
      </c>
      <c r="R14" s="1477" t="s">
        <v>8</v>
      </c>
      <c r="S14" s="1478">
        <f t="shared" si="0"/>
        <v>100</v>
      </c>
      <c r="T14" s="1477" t="s">
        <v>8</v>
      </c>
      <c r="U14" s="1478">
        <f t="shared" si="1"/>
        <v>100</v>
      </c>
      <c r="V14" s="1477" t="s">
        <v>8</v>
      </c>
      <c r="W14" s="1478">
        <f t="shared" si="2"/>
        <v>100</v>
      </c>
      <c r="X14" s="1479"/>
      <c r="Y14" s="3644"/>
      <c r="Z14" s="1115" t="str">
        <f t="shared" si="7"/>
        <v>配建</v>
      </c>
      <c r="AA14" s="1480">
        <f>D14/F14</f>
        <v>1</v>
      </c>
      <c r="AB14" s="1480">
        <f>D14/H14</f>
        <v>1</v>
      </c>
      <c r="AC14" s="1480">
        <f>D14/J14</f>
        <v>1</v>
      </c>
    </row>
    <row r="15" spans="1:30" ht="20.25">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703"/>
      <c r="Q15" s="1116">
        <f t="shared" si="6"/>
        <v>111</v>
      </c>
      <c r="R15" s="1477" t="s">
        <v>8</v>
      </c>
      <c r="S15" s="1478">
        <f t="shared" si="0"/>
        <v>100</v>
      </c>
      <c r="T15" s="1477" t="s">
        <v>8</v>
      </c>
      <c r="U15" s="1478">
        <f t="shared" si="1"/>
        <v>100</v>
      </c>
      <c r="V15" s="1477" t="s">
        <v>8</v>
      </c>
      <c r="W15" s="1478">
        <f t="shared" si="2"/>
        <v>100</v>
      </c>
      <c r="X15" s="1479"/>
      <c r="Y15" s="3644"/>
      <c r="Z15" s="1115">
        <f t="shared" si="7"/>
        <v>111</v>
      </c>
      <c r="AA15" s="1480">
        <f>D15/F15</f>
        <v>1</v>
      </c>
      <c r="AB15" s="1480">
        <f>D15/H15</f>
        <v>1</v>
      </c>
      <c r="AC15" s="1480">
        <f>D15/J15</f>
        <v>1</v>
      </c>
    </row>
    <row r="16" spans="1:30" ht="21"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703"/>
      <c r="Q16" s="1116">
        <f t="shared" si="6"/>
        <v>111</v>
      </c>
      <c r="R16" s="1477" t="s">
        <v>8</v>
      </c>
      <c r="S16" s="1478">
        <f t="shared" si="0"/>
        <v>100</v>
      </c>
      <c r="T16" s="1477" t="s">
        <v>8</v>
      </c>
      <c r="U16" s="1478">
        <f t="shared" si="1"/>
        <v>100</v>
      </c>
      <c r="V16" s="1477" t="s">
        <v>8</v>
      </c>
      <c r="W16" s="1478">
        <f t="shared" si="2"/>
        <v>100</v>
      </c>
      <c r="X16" s="1479"/>
      <c r="Y16" s="3644"/>
      <c r="Z16" s="1115">
        <f t="shared" si="7"/>
        <v>111</v>
      </c>
      <c r="AA16" s="1480">
        <f>D16/F16</f>
        <v>1</v>
      </c>
      <c r="AB16" s="1480">
        <f>D16/H16</f>
        <v>1</v>
      </c>
      <c r="AC16" s="1480">
        <f>D16/J16</f>
        <v>1</v>
      </c>
    </row>
    <row r="17" spans="1:29" ht="99.75">
      <c r="A17" s="2595"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705" t="s">
        <v>518</v>
      </c>
      <c r="Q17" s="1481" t="str">
        <f t="shared" si="6"/>
        <v>居住社区成熟度</v>
      </c>
      <c r="R17" s="1482" t="s">
        <v>8</v>
      </c>
      <c r="S17" s="1483">
        <f t="shared" si="0"/>
        <v>100</v>
      </c>
      <c r="T17" s="1482" t="s">
        <v>8</v>
      </c>
      <c r="U17" s="1483">
        <f t="shared" si="1"/>
        <v>100</v>
      </c>
      <c r="V17" s="1482" t="s">
        <v>8</v>
      </c>
      <c r="W17" s="1483">
        <f t="shared" si="2"/>
        <v>100</v>
      </c>
      <c r="X17" s="1476"/>
      <c r="Y17" s="3705" t="s">
        <v>518</v>
      </c>
      <c r="Z17" s="1484" t="str">
        <f t="shared" si="7"/>
        <v>居住社区成熟度</v>
      </c>
      <c r="AA17" s="1485">
        <f t="shared" si="3"/>
        <v>1</v>
      </c>
      <c r="AB17" s="1485">
        <f t="shared" si="4"/>
        <v>1</v>
      </c>
      <c r="AC17" s="1485">
        <f t="shared" si="5"/>
        <v>1</v>
      </c>
    </row>
    <row r="18" spans="1:29" ht="20.25">
      <c r="A18" s="508"/>
      <c r="B18" s="529"/>
      <c r="C18" s="530"/>
      <c r="D18" s="533"/>
      <c r="E18" s="534"/>
      <c r="F18" s="531"/>
      <c r="G18" s="532"/>
      <c r="H18" s="535"/>
      <c r="I18" s="534"/>
      <c r="J18" s="531"/>
      <c r="K18" s="507"/>
      <c r="L18" s="1995"/>
      <c r="M18" s="1985"/>
      <c r="N18" s="1985"/>
      <c r="O18" s="1994"/>
      <c r="P18" s="3706"/>
      <c r="Q18" s="1481"/>
      <c r="R18" s="1482"/>
      <c r="S18" s="1483"/>
      <c r="T18" s="1482"/>
      <c r="U18" s="1483"/>
      <c r="V18" s="1482"/>
      <c r="W18" s="1483"/>
      <c r="X18" s="1476"/>
      <c r="Y18" s="3706"/>
      <c r="Z18" s="1484"/>
      <c r="AA18" s="1485">
        <v>1</v>
      </c>
      <c r="AB18" s="1485">
        <v>1</v>
      </c>
      <c r="AC18" s="1485">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706"/>
      <c r="Q19" s="1481" t="str">
        <f>B19</f>
        <v>商业繁华度</v>
      </c>
      <c r="R19" s="1482" t="s">
        <v>8</v>
      </c>
      <c r="S19" s="1483">
        <f>F19</f>
        <v>100</v>
      </c>
      <c r="T19" s="1482" t="s">
        <v>8</v>
      </c>
      <c r="U19" s="1483">
        <f>H19</f>
        <v>100</v>
      </c>
      <c r="V19" s="1482" t="s">
        <v>8</v>
      </c>
      <c r="W19" s="1483">
        <f>J19</f>
        <v>100</v>
      </c>
      <c r="X19" s="1476"/>
      <c r="Y19" s="3706"/>
      <c r="Z19" s="1484" t="str">
        <f>Q19</f>
        <v>商业繁华度</v>
      </c>
      <c r="AA19" s="1485">
        <f t="shared" si="3"/>
        <v>1</v>
      </c>
      <c r="AB19" s="1485">
        <f t="shared" si="4"/>
        <v>1</v>
      </c>
      <c r="AC19" s="1485">
        <f t="shared" si="5"/>
        <v>1</v>
      </c>
    </row>
    <row r="20" spans="1:29" ht="20.25">
      <c r="A20" s="508"/>
      <c r="B20" s="542"/>
      <c r="C20" s="543"/>
      <c r="D20" s="539"/>
      <c r="E20" s="545"/>
      <c r="F20" s="535"/>
      <c r="G20" s="544"/>
      <c r="H20" s="531"/>
      <c r="I20" s="545"/>
      <c r="J20" s="531"/>
      <c r="K20" s="507"/>
      <c r="L20" s="1995"/>
      <c r="M20" s="1985"/>
      <c r="N20" s="1985"/>
      <c r="O20" s="1994"/>
      <c r="P20" s="3706"/>
      <c r="Q20" s="1481"/>
      <c r="R20" s="1482"/>
      <c r="S20" s="1483"/>
      <c r="T20" s="1482"/>
      <c r="U20" s="1483"/>
      <c r="V20" s="1482"/>
      <c r="W20" s="1483"/>
      <c r="X20" s="1476"/>
      <c r="Y20" s="3706"/>
      <c r="Z20" s="1484"/>
      <c r="AA20" s="1485">
        <v>1</v>
      </c>
      <c r="AB20" s="1485">
        <v>1</v>
      </c>
      <c r="AC20" s="1485">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706"/>
      <c r="Q21" s="1481" t="str">
        <f>B21</f>
        <v>办公集聚程度</v>
      </c>
      <c r="R21" s="1482" t="s">
        <v>8</v>
      </c>
      <c r="S21" s="1483">
        <f>F21</f>
        <v>100</v>
      </c>
      <c r="T21" s="1482" t="s">
        <v>8</v>
      </c>
      <c r="U21" s="1483">
        <f>H21</f>
        <v>100</v>
      </c>
      <c r="V21" s="1482" t="s">
        <v>8</v>
      </c>
      <c r="W21" s="1483">
        <f>J21</f>
        <v>100</v>
      </c>
      <c r="X21" s="1476"/>
      <c r="Y21" s="3706"/>
      <c r="Z21" s="1484" t="str">
        <f>Q21</f>
        <v>办公集聚程度</v>
      </c>
      <c r="AA21" s="1485">
        <f t="shared" si="3"/>
        <v>1</v>
      </c>
      <c r="AB21" s="1485">
        <f t="shared" si="4"/>
        <v>1</v>
      </c>
      <c r="AC21" s="1485">
        <f t="shared" si="5"/>
        <v>1</v>
      </c>
    </row>
    <row r="22" spans="1:29" ht="20.25">
      <c r="A22" s="508"/>
      <c r="B22" s="542"/>
      <c r="C22" s="530"/>
      <c r="D22" s="533"/>
      <c r="E22" s="534"/>
      <c r="F22" s="531"/>
      <c r="G22" s="532"/>
      <c r="H22" s="531"/>
      <c r="I22" s="534"/>
      <c r="J22" s="531"/>
      <c r="K22" s="507"/>
      <c r="L22" s="1995"/>
      <c r="M22" s="1985"/>
      <c r="N22" s="1985"/>
      <c r="O22" s="1994"/>
      <c r="P22" s="3706"/>
      <c r="Q22" s="1481"/>
      <c r="R22" s="1482"/>
      <c r="S22" s="1483"/>
      <c r="T22" s="1482"/>
      <c r="U22" s="1483"/>
      <c r="V22" s="1482"/>
      <c r="W22" s="1483"/>
      <c r="X22" s="1476"/>
      <c r="Y22" s="3706"/>
      <c r="Z22" s="1484"/>
      <c r="AA22" s="1485">
        <v>1</v>
      </c>
      <c r="AB22" s="1485">
        <v>1</v>
      </c>
      <c r="AC22" s="1485">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706"/>
      <c r="Q23" s="1481" t="str">
        <f>B23</f>
        <v>交通便捷度</v>
      </c>
      <c r="R23" s="1482" t="s">
        <v>8</v>
      </c>
      <c r="S23" s="1483">
        <f>F23</f>
        <v>100</v>
      </c>
      <c r="T23" s="1482" t="s">
        <v>8</v>
      </c>
      <c r="U23" s="1483">
        <f>H23</f>
        <v>100</v>
      </c>
      <c r="V23" s="1482" t="s">
        <v>8</v>
      </c>
      <c r="W23" s="1483">
        <f>J23</f>
        <v>100</v>
      </c>
      <c r="X23" s="1476"/>
      <c r="Y23" s="3706"/>
      <c r="Z23" s="1484" t="str">
        <f>Q23</f>
        <v>交通便捷度</v>
      </c>
      <c r="AA23" s="1485">
        <f t="shared" si="3"/>
        <v>1</v>
      </c>
      <c r="AB23" s="1485">
        <f t="shared" si="4"/>
        <v>1</v>
      </c>
      <c r="AC23" s="1485">
        <f t="shared" si="5"/>
        <v>1</v>
      </c>
    </row>
    <row r="24" spans="1:29" ht="20.25">
      <c r="A24" s="508"/>
      <c r="B24" s="554"/>
      <c r="C24" s="530"/>
      <c r="D24" s="533"/>
      <c r="E24" s="534"/>
      <c r="F24" s="531"/>
      <c r="G24" s="532"/>
      <c r="H24" s="531"/>
      <c r="I24" s="534"/>
      <c r="J24" s="531"/>
      <c r="K24" s="507"/>
      <c r="L24" s="1995"/>
      <c r="M24" s="1985"/>
      <c r="N24" s="1985"/>
      <c r="O24" s="1994"/>
      <c r="P24" s="3706"/>
      <c r="Q24" s="1481"/>
      <c r="R24" s="1482"/>
      <c r="S24" s="1483"/>
      <c r="T24" s="1482"/>
      <c r="U24" s="1483"/>
      <c r="V24" s="1482"/>
      <c r="W24" s="1483"/>
      <c r="X24" s="1476"/>
      <c r="Y24" s="3706"/>
      <c r="Z24" s="1484"/>
      <c r="AA24" s="1485">
        <v>1</v>
      </c>
      <c r="AB24" s="1485">
        <v>1</v>
      </c>
      <c r="AC24" s="1485">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706"/>
      <c r="Q25" s="1481" t="str">
        <f t="shared" ref="Q25:Q39" si="8">B25</f>
        <v>区域土地利用方向</v>
      </c>
      <c r="R25" s="1482" t="s">
        <v>8</v>
      </c>
      <c r="S25" s="1483">
        <f>F25</f>
        <v>100</v>
      </c>
      <c r="T25" s="1482" t="s">
        <v>8</v>
      </c>
      <c r="U25" s="1483">
        <f>H25</f>
        <v>100</v>
      </c>
      <c r="V25" s="1482" t="s">
        <v>8</v>
      </c>
      <c r="W25" s="1483">
        <f>J25</f>
        <v>100</v>
      </c>
      <c r="X25" s="1476"/>
      <c r="Y25" s="3706"/>
      <c r="Z25" s="1484" t="str">
        <f>Q25</f>
        <v>区域土地利用方向</v>
      </c>
      <c r="AA25" s="1485">
        <f t="shared" si="3"/>
        <v>1</v>
      </c>
      <c r="AB25" s="1485">
        <f t="shared" si="4"/>
        <v>1</v>
      </c>
      <c r="AC25" s="1485">
        <f t="shared" si="5"/>
        <v>1</v>
      </c>
    </row>
    <row r="26" spans="1:29" ht="20.25">
      <c r="A26" s="491"/>
      <c r="B26" s="976"/>
      <c r="C26" s="530"/>
      <c r="D26" s="533"/>
      <c r="E26" s="534"/>
      <c r="F26" s="531"/>
      <c r="G26" s="532"/>
      <c r="H26" s="531"/>
      <c r="I26" s="534"/>
      <c r="J26" s="531"/>
      <c r="K26" s="507"/>
      <c r="L26" s="1995"/>
      <c r="M26" s="1985"/>
      <c r="N26" s="1985"/>
      <c r="O26" s="1994"/>
      <c r="P26" s="3706"/>
      <c r="Q26" s="1481"/>
      <c r="R26" s="1482"/>
      <c r="S26" s="1483"/>
      <c r="T26" s="1482"/>
      <c r="U26" s="1483"/>
      <c r="V26" s="1482"/>
      <c r="W26" s="1483"/>
      <c r="X26" s="1476"/>
      <c r="Y26" s="3706"/>
      <c r="Z26" s="1484"/>
      <c r="AA26" s="1485"/>
      <c r="AB26" s="1485"/>
      <c r="AC26" s="1485"/>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706"/>
      <c r="Q27" s="1481" t="str">
        <f t="shared" si="8"/>
        <v>自然及人文环境状况</v>
      </c>
      <c r="R27" s="1482" t="s">
        <v>8</v>
      </c>
      <c r="S27" s="1483">
        <f>F27</f>
        <v>100</v>
      </c>
      <c r="T27" s="1482" t="s">
        <v>8</v>
      </c>
      <c r="U27" s="1483">
        <f>H27</f>
        <v>100</v>
      </c>
      <c r="V27" s="1482" t="s">
        <v>8</v>
      </c>
      <c r="W27" s="1483">
        <f>J27</f>
        <v>100</v>
      </c>
      <c r="X27" s="1476"/>
      <c r="Y27" s="3706"/>
      <c r="Z27" s="1484" t="str">
        <f>Q27</f>
        <v>自然及人文环境状况</v>
      </c>
      <c r="AA27" s="1485">
        <f t="shared" si="3"/>
        <v>1</v>
      </c>
      <c r="AB27" s="1485">
        <f t="shared" si="4"/>
        <v>1</v>
      </c>
      <c r="AC27" s="1485">
        <f t="shared" si="5"/>
        <v>1</v>
      </c>
    </row>
    <row r="28" spans="1:29" ht="20.25">
      <c r="A28" s="491"/>
      <c r="B28" s="542"/>
      <c r="C28" s="530"/>
      <c r="D28" s="533"/>
      <c r="E28" s="552"/>
      <c r="F28" s="531"/>
      <c r="G28" s="530"/>
      <c r="H28" s="531"/>
      <c r="I28" s="552"/>
      <c r="J28" s="531"/>
      <c r="K28" s="507"/>
      <c r="L28" s="1995"/>
      <c r="M28" s="1985"/>
      <c r="N28" s="1985"/>
      <c r="O28" s="1994"/>
      <c r="P28" s="3706"/>
      <c r="Q28" s="1481"/>
      <c r="R28" s="1482"/>
      <c r="S28" s="1483"/>
      <c r="T28" s="1482"/>
      <c r="U28" s="1483"/>
      <c r="V28" s="1482"/>
      <c r="W28" s="1483"/>
      <c r="X28" s="1476"/>
      <c r="Y28" s="3706"/>
      <c r="Z28" s="1484"/>
      <c r="AA28" s="1485">
        <v>1</v>
      </c>
      <c r="AB28" s="1485">
        <v>1</v>
      </c>
      <c r="AC28" s="1485">
        <v>1</v>
      </c>
    </row>
    <row r="29" spans="1:29" s="1185" customFormat="1" ht="42.75">
      <c r="A29" s="553"/>
      <c r="B29" s="2403"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706"/>
      <c r="Q29" s="1116" t="str">
        <f t="shared" si="8"/>
        <v>公共配套设施</v>
      </c>
      <c r="R29" s="1477" t="s">
        <v>8</v>
      </c>
      <c r="S29" s="1478">
        <f>F29</f>
        <v>100</v>
      </c>
      <c r="T29" s="1477" t="s">
        <v>8</v>
      </c>
      <c r="U29" s="1478">
        <f>H29</f>
        <v>100</v>
      </c>
      <c r="V29" s="1477" t="s">
        <v>8</v>
      </c>
      <c r="W29" s="1478">
        <f>J29</f>
        <v>100</v>
      </c>
      <c r="X29" s="1479"/>
      <c r="Y29" s="3706"/>
      <c r="Z29" s="1115" t="str">
        <f>Q29</f>
        <v>公共配套设施</v>
      </c>
      <c r="AA29" s="1485">
        <f>D29/F29</f>
        <v>1</v>
      </c>
      <c r="AB29" s="1485">
        <f>D29/H29</f>
        <v>1</v>
      </c>
      <c r="AC29" s="1485">
        <f>D29/J29</f>
        <v>1</v>
      </c>
    </row>
    <row r="30" spans="1:29" s="1185" customFormat="1" ht="20.25">
      <c r="A30" s="553"/>
      <c r="B30" s="542"/>
      <c r="C30" s="555"/>
      <c r="D30" s="533"/>
      <c r="E30" s="552"/>
      <c r="F30" s="531"/>
      <c r="G30" s="530"/>
      <c r="H30" s="531"/>
      <c r="I30" s="552"/>
      <c r="J30" s="531"/>
      <c r="K30" s="507"/>
      <c r="L30" s="1988"/>
      <c r="M30" s="1985"/>
      <c r="N30" s="1985"/>
      <c r="O30" s="1990"/>
      <c r="P30" s="3706"/>
      <c r="Q30" s="1116"/>
      <c r="R30" s="1477"/>
      <c r="S30" s="1478"/>
      <c r="T30" s="1477"/>
      <c r="U30" s="1478"/>
      <c r="V30" s="1477"/>
      <c r="W30" s="1478"/>
      <c r="X30" s="1479"/>
      <c r="Y30" s="3706"/>
      <c r="Z30" s="1115"/>
      <c r="AA30" s="1485">
        <v>1</v>
      </c>
      <c r="AB30" s="1485">
        <v>1</v>
      </c>
      <c r="AC30" s="1485">
        <v>1</v>
      </c>
    </row>
    <row r="31" spans="1:29" s="1185" customFormat="1" ht="28.5">
      <c r="A31" s="553"/>
      <c r="B31" s="2403"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706"/>
      <c r="Q31" s="2396" t="str">
        <f t="shared" ref="Q31" si="9">B31</f>
        <v>基础设施水平</v>
      </c>
      <c r="R31" s="1477" t="s">
        <v>8</v>
      </c>
      <c r="S31" s="1478">
        <f>F31</f>
        <v>100</v>
      </c>
      <c r="T31" s="1477" t="s">
        <v>8</v>
      </c>
      <c r="U31" s="1478">
        <f>H31</f>
        <v>100</v>
      </c>
      <c r="V31" s="1477" t="s">
        <v>8</v>
      </c>
      <c r="W31" s="1478">
        <f>J31</f>
        <v>100</v>
      </c>
      <c r="X31" s="1479"/>
      <c r="Y31" s="3706"/>
      <c r="Z31" s="2395" t="str">
        <f>Q31</f>
        <v>基础设施水平</v>
      </c>
      <c r="AA31" s="1485">
        <f>D31/F31</f>
        <v>1</v>
      </c>
      <c r="AB31" s="1485">
        <f>D31/H31</f>
        <v>1</v>
      </c>
      <c r="AC31" s="1485">
        <f>D31/J31</f>
        <v>1</v>
      </c>
    </row>
    <row r="32" spans="1:29" s="1185" customFormat="1" ht="20.25">
      <c r="A32" s="553"/>
      <c r="B32" s="542"/>
      <c r="C32" s="555"/>
      <c r="D32" s="533"/>
      <c r="E32" s="2404"/>
      <c r="F32" s="531"/>
      <c r="G32" s="555"/>
      <c r="H32" s="531"/>
      <c r="I32" s="555"/>
      <c r="J32" s="531"/>
      <c r="K32" s="507"/>
      <c r="L32" s="1988"/>
      <c r="M32" s="1985"/>
      <c r="N32" s="1985"/>
      <c r="O32" s="1990"/>
      <c r="P32" s="3706"/>
      <c r="Q32" s="2396"/>
      <c r="R32" s="1477"/>
      <c r="S32" s="1478"/>
      <c r="T32" s="1477"/>
      <c r="U32" s="1478"/>
      <c r="V32" s="1477"/>
      <c r="W32" s="1478"/>
      <c r="X32" s="1479"/>
      <c r="Y32" s="3706"/>
      <c r="Z32" s="2395"/>
      <c r="AA32" s="1485">
        <v>1</v>
      </c>
      <c r="AB32" s="1485">
        <v>1</v>
      </c>
      <c r="AC32" s="1485">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706"/>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706"/>
      <c r="Z33" s="1484" t="str">
        <f t="shared" ref="Z33:Z47" si="13">Q33</f>
        <v>临街状况</v>
      </c>
      <c r="AA33" s="1485">
        <f t="shared" si="3"/>
        <v>1</v>
      </c>
      <c r="AB33" s="1485">
        <f t="shared" si="4"/>
        <v>1</v>
      </c>
      <c r="AC33" s="1485">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706"/>
      <c r="Q34" s="1481" t="str">
        <f t="shared" si="8"/>
        <v>毗邻道路的类型与等级</v>
      </c>
      <c r="R34" s="1482" t="s">
        <v>8</v>
      </c>
      <c r="S34" s="1483">
        <f t="shared" si="10"/>
        <v>100</v>
      </c>
      <c r="T34" s="1482" t="s">
        <v>8</v>
      </c>
      <c r="U34" s="1483">
        <f t="shared" si="11"/>
        <v>100</v>
      </c>
      <c r="V34" s="1482" t="s">
        <v>8</v>
      </c>
      <c r="W34" s="1483">
        <f t="shared" si="12"/>
        <v>100</v>
      </c>
      <c r="X34" s="1476"/>
      <c r="Y34" s="3706"/>
      <c r="Z34" s="1484" t="str">
        <f t="shared" si="13"/>
        <v>毗邻道路的类型与等级</v>
      </c>
      <c r="AA34" s="1485">
        <f t="shared" si="3"/>
        <v>1</v>
      </c>
      <c r="AB34" s="1485">
        <f t="shared" si="4"/>
        <v>1</v>
      </c>
      <c r="AC34" s="1485">
        <f t="shared" si="5"/>
        <v>1</v>
      </c>
    </row>
    <row r="35" spans="1:29" ht="20.25">
      <c r="A35" s="508"/>
      <c r="B35" s="542"/>
      <c r="C35" s="530"/>
      <c r="D35" s="533"/>
      <c r="E35" s="552"/>
      <c r="F35" s="531"/>
      <c r="G35" s="530"/>
      <c r="H35" s="531"/>
      <c r="I35" s="552"/>
      <c r="J35" s="531"/>
      <c r="K35" s="557"/>
      <c r="L35" s="1995"/>
      <c r="M35" s="1985"/>
      <c r="N35" s="1985"/>
      <c r="O35" s="1994"/>
      <c r="P35" s="3706"/>
      <c r="Q35" s="1481"/>
      <c r="R35" s="1482"/>
      <c r="S35" s="1483"/>
      <c r="T35" s="1482"/>
      <c r="U35" s="1483"/>
      <c r="V35" s="1482"/>
      <c r="W35" s="1483"/>
      <c r="X35" s="1476"/>
      <c r="Y35" s="3706"/>
      <c r="Z35" s="1484"/>
      <c r="AA35" s="1485">
        <v>1</v>
      </c>
      <c r="AB35" s="1485">
        <v>1</v>
      </c>
      <c r="AC35" s="1485">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706"/>
      <c r="Q36" s="1481" t="str">
        <f t="shared" si="8"/>
        <v>土地级别</v>
      </c>
      <c r="R36" s="1482" t="s">
        <v>8</v>
      </c>
      <c r="S36" s="1483">
        <f t="shared" si="10"/>
        <v>100</v>
      </c>
      <c r="T36" s="1482" t="s">
        <v>8</v>
      </c>
      <c r="U36" s="1483">
        <f t="shared" si="11"/>
        <v>100</v>
      </c>
      <c r="V36" s="1482" t="s">
        <v>8</v>
      </c>
      <c r="W36" s="1483">
        <f t="shared" si="12"/>
        <v>100</v>
      </c>
      <c r="X36" s="1476"/>
      <c r="Y36" s="3706"/>
      <c r="Z36" s="1484" t="str">
        <f t="shared" si="13"/>
        <v>土地级别</v>
      </c>
      <c r="AA36" s="1485">
        <f t="shared" si="3"/>
        <v>1</v>
      </c>
      <c r="AB36" s="1485">
        <f t="shared" si="4"/>
        <v>1</v>
      </c>
      <c r="AC36" s="1485">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706"/>
      <c r="Q37" s="1481">
        <f t="shared" si="8"/>
        <v>111</v>
      </c>
      <c r="R37" s="1482" t="s">
        <v>8</v>
      </c>
      <c r="S37" s="1483">
        <f t="shared" si="10"/>
        <v>100</v>
      </c>
      <c r="T37" s="1482" t="s">
        <v>8</v>
      </c>
      <c r="U37" s="1483">
        <f t="shared" si="11"/>
        <v>100</v>
      </c>
      <c r="V37" s="1482" t="s">
        <v>8</v>
      </c>
      <c r="W37" s="1483">
        <f t="shared" si="12"/>
        <v>100</v>
      </c>
      <c r="X37" s="1476"/>
      <c r="Y37" s="3706"/>
      <c r="Z37" s="1484">
        <f t="shared" si="13"/>
        <v>111</v>
      </c>
      <c r="AA37" s="1485">
        <f t="shared" si="3"/>
        <v>1</v>
      </c>
      <c r="AB37" s="1485">
        <f t="shared" si="4"/>
        <v>1</v>
      </c>
      <c r="AC37" s="1485">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707" t="s">
        <v>528</v>
      </c>
      <c r="Q38" s="1481">
        <f t="shared" si="8"/>
        <v>111</v>
      </c>
      <c r="R38" s="1482" t="s">
        <v>8</v>
      </c>
      <c r="S38" s="1483">
        <f t="shared" si="10"/>
        <v>100</v>
      </c>
      <c r="T38" s="1482" t="s">
        <v>8</v>
      </c>
      <c r="U38" s="1483">
        <f t="shared" si="11"/>
        <v>100</v>
      </c>
      <c r="V38" s="1482" t="s">
        <v>8</v>
      </c>
      <c r="W38" s="1483">
        <f t="shared" si="12"/>
        <v>100</v>
      </c>
      <c r="X38" s="1476"/>
      <c r="Y38" s="3708" t="s">
        <v>528</v>
      </c>
      <c r="Z38" s="1484">
        <f t="shared" si="13"/>
        <v>111</v>
      </c>
      <c r="AA38" s="1485">
        <f t="shared" si="3"/>
        <v>1</v>
      </c>
      <c r="AB38" s="1485">
        <f t="shared" si="4"/>
        <v>1</v>
      </c>
      <c r="AC38" s="1485">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708"/>
      <c r="Q39" s="1481">
        <f t="shared" si="8"/>
        <v>111</v>
      </c>
      <c r="R39" s="1486" t="s">
        <v>8</v>
      </c>
      <c r="S39" s="1487">
        <f t="shared" si="10"/>
        <v>100</v>
      </c>
      <c r="T39" s="1486" t="s">
        <v>8</v>
      </c>
      <c r="U39" s="1487">
        <f t="shared" si="11"/>
        <v>100</v>
      </c>
      <c r="V39" s="1486" t="s">
        <v>8</v>
      </c>
      <c r="W39" s="1487">
        <f t="shared" si="12"/>
        <v>100</v>
      </c>
      <c r="X39" s="1488"/>
      <c r="Y39" s="3708"/>
      <c r="Z39" s="1489">
        <f t="shared" si="13"/>
        <v>111</v>
      </c>
      <c r="AA39" s="1485">
        <f t="shared" si="3"/>
        <v>1</v>
      </c>
      <c r="AB39" s="1485">
        <f t="shared" si="4"/>
        <v>1</v>
      </c>
      <c r="AC39" s="1485">
        <f t="shared" si="5"/>
        <v>1</v>
      </c>
    </row>
    <row r="40" spans="1:29" ht="20.25">
      <c r="A40" s="2592"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708"/>
      <c r="Q40" s="1481" t="str">
        <f>B40</f>
        <v>宗地面积</v>
      </c>
      <c r="R40" s="1482" t="s">
        <v>8</v>
      </c>
      <c r="S40" s="1483" t="e">
        <f t="shared" si="10"/>
        <v>#N/A</v>
      </c>
      <c r="T40" s="1482" t="s">
        <v>8</v>
      </c>
      <c r="U40" s="1483" t="e">
        <f t="shared" si="11"/>
        <v>#N/A</v>
      </c>
      <c r="V40" s="1482" t="s">
        <v>8</v>
      </c>
      <c r="W40" s="1483" t="e">
        <f t="shared" si="12"/>
        <v>#N/A</v>
      </c>
      <c r="X40" s="1476"/>
      <c r="Y40" s="3708"/>
      <c r="Z40" s="1484" t="str">
        <f t="shared" si="13"/>
        <v>宗地面积</v>
      </c>
      <c r="AA40" s="1485" t="e">
        <f t="shared" si="3"/>
        <v>#N/A</v>
      </c>
      <c r="AB40" s="1485" t="e">
        <f t="shared" si="4"/>
        <v>#N/A</v>
      </c>
      <c r="AC40" s="1485"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708"/>
      <c r="Q41" s="1481" t="str">
        <f t="shared" ref="Q41:Q47" si="14">B41</f>
        <v>宗地形状</v>
      </c>
      <c r="R41" s="1482" t="s">
        <v>8</v>
      </c>
      <c r="S41" s="1483">
        <f t="shared" si="10"/>
        <v>100</v>
      </c>
      <c r="T41" s="1482" t="s">
        <v>8</v>
      </c>
      <c r="U41" s="1483">
        <f t="shared" si="11"/>
        <v>100</v>
      </c>
      <c r="V41" s="1482" t="s">
        <v>8</v>
      </c>
      <c r="W41" s="1483">
        <f t="shared" si="12"/>
        <v>100</v>
      </c>
      <c r="X41" s="1476"/>
      <c r="Y41" s="3708"/>
      <c r="Z41" s="1484" t="str">
        <f t="shared" si="13"/>
        <v>宗地形状</v>
      </c>
      <c r="AA41" s="1485">
        <f t="shared" si="3"/>
        <v>1</v>
      </c>
      <c r="AB41" s="1485">
        <f t="shared" si="4"/>
        <v>1</v>
      </c>
      <c r="AC41" s="1485">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708"/>
      <c r="Q42" s="1481" t="str">
        <f t="shared" si="14"/>
        <v>临街宽度及深度</v>
      </c>
      <c r="R42" s="1482" t="s">
        <v>8</v>
      </c>
      <c r="S42" s="1483">
        <f t="shared" si="10"/>
        <v>100</v>
      </c>
      <c r="T42" s="1482" t="s">
        <v>8</v>
      </c>
      <c r="U42" s="1483">
        <f t="shared" si="11"/>
        <v>100</v>
      </c>
      <c r="V42" s="1482" t="s">
        <v>8</v>
      </c>
      <c r="W42" s="1483">
        <f t="shared" si="12"/>
        <v>100</v>
      </c>
      <c r="X42" s="1476"/>
      <c r="Y42" s="3708"/>
      <c r="Z42" s="1484" t="str">
        <f t="shared" si="13"/>
        <v>临街宽度及深度</v>
      </c>
      <c r="AA42" s="1485">
        <f t="shared" si="3"/>
        <v>1</v>
      </c>
      <c r="AB42" s="1485">
        <f t="shared" si="4"/>
        <v>1</v>
      </c>
      <c r="AC42" s="1485">
        <f t="shared" si="5"/>
        <v>1</v>
      </c>
    </row>
    <row r="43" spans="1:29" s="1185" customFormat="1" ht="20.25">
      <c r="A43" s="576"/>
      <c r="B43" s="1782"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708"/>
      <c r="Q43" s="1481" t="str">
        <f t="shared" si="14"/>
        <v>宗地开发程度</v>
      </c>
      <c r="R43" s="1477" t="s">
        <v>8</v>
      </c>
      <c r="S43" s="1478">
        <f t="shared" si="10"/>
        <v>100</v>
      </c>
      <c r="T43" s="1477" t="s">
        <v>8</v>
      </c>
      <c r="U43" s="1478">
        <f t="shared" si="11"/>
        <v>100</v>
      </c>
      <c r="V43" s="1477" t="s">
        <v>8</v>
      </c>
      <c r="W43" s="1478">
        <f t="shared" si="12"/>
        <v>100</v>
      </c>
      <c r="X43" s="1479"/>
      <c r="Y43" s="3708"/>
      <c r="Z43" s="1115" t="str">
        <f t="shared" si="13"/>
        <v>宗地开发程度</v>
      </c>
      <c r="AA43" s="1480">
        <f t="shared" si="3"/>
        <v>1</v>
      </c>
      <c r="AB43" s="1480">
        <f t="shared" si="4"/>
        <v>1</v>
      </c>
      <c r="AC43" s="1480">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708" t="s">
        <v>528</v>
      </c>
      <c r="Q44" s="1481" t="str">
        <f t="shared" si="14"/>
        <v>工程地质条件</v>
      </c>
      <c r="R44" s="1482" t="s">
        <v>8</v>
      </c>
      <c r="S44" s="1483">
        <f t="shared" si="10"/>
        <v>100</v>
      </c>
      <c r="T44" s="1482" t="s">
        <v>8</v>
      </c>
      <c r="U44" s="1483">
        <f t="shared" si="11"/>
        <v>100</v>
      </c>
      <c r="V44" s="1482" t="s">
        <v>8</v>
      </c>
      <c r="W44" s="1483">
        <f t="shared" si="12"/>
        <v>100</v>
      </c>
      <c r="X44" s="1476"/>
      <c r="Y44" s="3708" t="s">
        <v>528</v>
      </c>
      <c r="Z44" s="1484" t="str">
        <f t="shared" si="13"/>
        <v>工程地质条件</v>
      </c>
      <c r="AA44" s="1485">
        <f t="shared" si="3"/>
        <v>1</v>
      </c>
      <c r="AB44" s="1485">
        <f t="shared" si="4"/>
        <v>1</v>
      </c>
      <c r="AC44" s="1485">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708"/>
      <c r="Q45" s="1481">
        <f t="shared" si="14"/>
        <v>111</v>
      </c>
      <c r="R45" s="1482" t="s">
        <v>8</v>
      </c>
      <c r="S45" s="1483">
        <f t="shared" si="10"/>
        <v>100</v>
      </c>
      <c r="T45" s="1482" t="s">
        <v>8</v>
      </c>
      <c r="U45" s="1483">
        <f t="shared" si="11"/>
        <v>100</v>
      </c>
      <c r="V45" s="1482" t="s">
        <v>8</v>
      </c>
      <c r="W45" s="1483">
        <f t="shared" si="12"/>
        <v>100</v>
      </c>
      <c r="X45" s="1476"/>
      <c r="Y45" s="3708"/>
      <c r="Z45" s="1484">
        <f t="shared" si="13"/>
        <v>111</v>
      </c>
      <c r="AA45" s="1485">
        <f t="shared" si="3"/>
        <v>1</v>
      </c>
      <c r="AB45" s="1485">
        <f t="shared" si="4"/>
        <v>1</v>
      </c>
      <c r="AC45" s="1485">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708"/>
      <c r="Q46" s="1481">
        <f t="shared" si="14"/>
        <v>111</v>
      </c>
      <c r="R46" s="1482" t="s">
        <v>8</v>
      </c>
      <c r="S46" s="1483">
        <f t="shared" si="10"/>
        <v>100</v>
      </c>
      <c r="T46" s="1482" t="s">
        <v>8</v>
      </c>
      <c r="U46" s="1483">
        <f t="shared" si="11"/>
        <v>100</v>
      </c>
      <c r="V46" s="1482" t="s">
        <v>8</v>
      </c>
      <c r="W46" s="1483">
        <f t="shared" si="12"/>
        <v>100</v>
      </c>
      <c r="X46" s="1476"/>
      <c r="Y46" s="3708"/>
      <c r="Z46" s="1484">
        <f t="shared" si="13"/>
        <v>111</v>
      </c>
      <c r="AA46" s="1485">
        <f t="shared" si="3"/>
        <v>1</v>
      </c>
      <c r="AB46" s="1485">
        <f t="shared" si="4"/>
        <v>1</v>
      </c>
      <c r="AC46" s="1485">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708"/>
      <c r="Q47" s="1481">
        <f t="shared" si="14"/>
        <v>111</v>
      </c>
      <c r="R47" s="1486" t="s">
        <v>8</v>
      </c>
      <c r="S47" s="1487">
        <f t="shared" si="10"/>
        <v>100</v>
      </c>
      <c r="T47" s="1486" t="s">
        <v>8</v>
      </c>
      <c r="U47" s="1487">
        <f t="shared" si="11"/>
        <v>100</v>
      </c>
      <c r="V47" s="1486" t="s">
        <v>8</v>
      </c>
      <c r="W47" s="1487">
        <f t="shared" si="12"/>
        <v>100</v>
      </c>
      <c r="X47" s="1488"/>
      <c r="Y47" s="3708"/>
      <c r="Z47" s="1489">
        <f t="shared" si="13"/>
        <v>111</v>
      </c>
      <c r="AA47" s="1485">
        <f t="shared" si="3"/>
        <v>1</v>
      </c>
      <c r="AB47" s="1485">
        <f t="shared" si="4"/>
        <v>1</v>
      </c>
      <c r="AC47" s="1485">
        <f t="shared" si="5"/>
        <v>1</v>
      </c>
    </row>
    <row r="48" spans="1:29" ht="20.25">
      <c r="A48" s="583" t="s">
        <v>534</v>
      </c>
      <c r="B48" s="584" t="s">
        <v>2872</v>
      </c>
      <c r="C48" s="585" t="s">
        <v>1</v>
      </c>
      <c r="D48" s="586"/>
      <c r="E48" s="587"/>
      <c r="F48" s="588"/>
      <c r="G48" s="589"/>
      <c r="H48" s="590"/>
      <c r="I48" s="587"/>
      <c r="J48" s="590"/>
      <c r="K48" s="1268"/>
      <c r="L48" s="1997"/>
      <c r="M48" s="1985"/>
      <c r="N48" s="1985"/>
      <c r="O48" s="1998"/>
      <c r="P48" s="3703" t="str">
        <f>A48</f>
        <v>成交单价</v>
      </c>
      <c r="Q48" s="3703"/>
      <c r="R48" s="3717">
        <f>E48</f>
        <v>0</v>
      </c>
      <c r="S48" s="3717"/>
      <c r="T48" s="3717">
        <f>G48</f>
        <v>0</v>
      </c>
      <c r="U48" s="3717"/>
      <c r="V48" s="3717">
        <f>I48</f>
        <v>0</v>
      </c>
      <c r="W48" s="3717"/>
      <c r="X48" s="1471"/>
      <c r="Y48" s="1490"/>
      <c r="Z48" s="1471"/>
      <c r="AA48" s="1471"/>
      <c r="AB48" s="1471"/>
      <c r="AC48" s="1471"/>
    </row>
    <row r="49" spans="1:29" ht="21" thickBot="1">
      <c r="A49" s="591" t="s">
        <v>2646</v>
      </c>
      <c r="B49" s="592"/>
      <c r="C49" s="593" t="e">
        <f>R50</f>
        <v>#DIV/0!</v>
      </c>
      <c r="D49" s="2980" t="s">
        <v>2937</v>
      </c>
      <c r="E49" s="593" t="e">
        <f>R49</f>
        <v>#DIV/0!</v>
      </c>
      <c r="F49" s="2981"/>
      <c r="G49" s="594" t="e">
        <f>T49</f>
        <v>#DIV/0!</v>
      </c>
      <c r="H49" s="2981"/>
      <c r="I49" s="593" t="e">
        <f>V49</f>
        <v>#DIV/0!</v>
      </c>
      <c r="J49" s="2981"/>
      <c r="K49" s="2982">
        <f>F49+H49+J49</f>
        <v>0</v>
      </c>
      <c r="L49" s="1997"/>
      <c r="M49" s="1985"/>
      <c r="N49" s="1985"/>
      <c r="O49" s="1998"/>
      <c r="P49" s="3703" t="str">
        <f>A49</f>
        <v>比较价格（元/平方米）</v>
      </c>
      <c r="Q49" s="3703"/>
      <c r="R49" s="3727" t="e">
        <f>ROUND(PRODUCT(R48,AA9:AA47),0)</f>
        <v>#DIV/0!</v>
      </c>
      <c r="S49" s="3727"/>
      <c r="T49" s="3727" t="e">
        <f>ROUND(PRODUCT(T48,AB9:AB47),0)</f>
        <v>#DIV/0!</v>
      </c>
      <c r="U49" s="3727"/>
      <c r="V49" s="3727" t="e">
        <f>ROUND(PRODUCT(V48,AC9:AC47),0)</f>
        <v>#DIV/0!</v>
      </c>
      <c r="W49" s="3727"/>
      <c r="X49" s="1471"/>
      <c r="Y49" s="1471"/>
      <c r="Z49" s="1471"/>
      <c r="AA49" s="1471"/>
      <c r="AB49" s="1471"/>
      <c r="AC49" s="1471"/>
    </row>
    <row r="50" spans="1:29" ht="21" thickBot="1">
      <c r="A50" s="595" t="s">
        <v>2873</v>
      </c>
      <c r="B50" s="596"/>
      <c r="C50" s="597" t="e">
        <f>R50</f>
        <v>#DIV/0!</v>
      </c>
      <c r="D50" s="597"/>
      <c r="E50" s="597"/>
      <c r="F50" s="597"/>
      <c r="G50" s="597"/>
      <c r="H50" s="597"/>
      <c r="I50" s="597"/>
      <c r="J50" s="597"/>
      <c r="K50" s="1269"/>
      <c r="L50" s="1997"/>
      <c r="M50" s="1985"/>
      <c r="N50" s="1985"/>
      <c r="O50" s="1998"/>
      <c r="P50" s="3724" t="str">
        <f>A50</f>
        <v>估价对象XX用房的比较价格（楼面单价，元/平方米）</v>
      </c>
      <c r="Q50" s="3725"/>
      <c r="R50" s="3726" t="e">
        <f>ROUND(IF(D49="简单平均",AVERAGE(R49:W49),R49*F49+T49*H49+V49*J49),0)</f>
        <v>#DIV/0!</v>
      </c>
      <c r="S50" s="3726"/>
      <c r="T50" s="3726"/>
      <c r="U50" s="3726"/>
      <c r="V50" s="3726"/>
      <c r="W50" s="3726"/>
      <c r="X50" s="1471"/>
      <c r="Y50" s="1471"/>
      <c r="Z50" s="1471"/>
      <c r="AA50" s="1471"/>
      <c r="AB50" s="1471"/>
      <c r="AC50" s="1471"/>
    </row>
    <row r="51" spans="1:29" ht="20.25">
      <c r="A51" s="3179"/>
      <c r="B51" s="3179"/>
      <c r="C51" s="3179"/>
      <c r="D51" s="3179"/>
      <c r="E51" s="3179"/>
      <c r="F51" s="3179"/>
      <c r="G51" s="3181"/>
      <c r="H51" s="3179"/>
      <c r="I51" s="3179"/>
      <c r="J51" s="3179"/>
      <c r="K51" s="3182"/>
      <c r="L51" s="2002"/>
      <c r="M51" s="1985"/>
      <c r="N51" s="1985"/>
      <c r="O51" s="1998"/>
      <c r="P51" s="1998"/>
      <c r="Q51" s="1998"/>
      <c r="R51" s="1998"/>
      <c r="S51" s="1998"/>
      <c r="T51" s="1998"/>
      <c r="U51" s="1998"/>
      <c r="V51" s="1998"/>
      <c r="W51" s="1998"/>
      <c r="X51" s="1998"/>
      <c r="Y51" s="1998"/>
      <c r="Z51" s="1998"/>
      <c r="AA51" s="1998"/>
      <c r="AB51" s="1998"/>
      <c r="AC51" s="1998"/>
    </row>
    <row r="52" spans="1:29" ht="20.25">
      <c r="A52" s="3179"/>
      <c r="B52" s="3179"/>
      <c r="C52" s="3179"/>
      <c r="D52" s="3179"/>
      <c r="E52" s="3179"/>
      <c r="F52" s="3179"/>
      <c r="G52" s="3179"/>
      <c r="H52" s="3179"/>
      <c r="I52" s="3179"/>
      <c r="J52" s="3179"/>
      <c r="K52" s="3182"/>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83"/>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1699</v>
      </c>
      <c r="D57" s="2078" t="s">
        <v>2258</v>
      </c>
      <c r="E57" s="605" t="s">
        <v>540</v>
      </c>
      <c r="F57" s="606" t="s">
        <v>541</v>
      </c>
      <c r="G57" s="3687" t="s">
        <v>2247</v>
      </c>
      <c r="H57" s="3688"/>
      <c r="I57" s="1468" t="s">
        <v>1697</v>
      </c>
      <c r="J57" s="1468">
        <f>项目基本情况!F41</f>
        <v>0</v>
      </c>
      <c r="K57" s="2006" t="s">
        <v>1698</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7" t="s">
        <v>542</v>
      </c>
      <c r="B58" s="608" t="e">
        <f>C50</f>
        <v>#DIV/0!</v>
      </c>
      <c r="C58" s="609">
        <v>1</v>
      </c>
      <c r="D58" s="2079">
        <v>1</v>
      </c>
      <c r="E58" s="609">
        <f>'数据-汇总表'!E8+'数据-汇总表'!E9</f>
        <v>18388.8</v>
      </c>
      <c r="F58" s="610" t="e">
        <f t="shared" ref="F58:F67" si="15">ROUND(B58*E58/10000,0)</f>
        <v>#DIV/0!</v>
      </c>
      <c r="G58" s="3689"/>
      <c r="H58" s="3690"/>
      <c r="I58" s="1469">
        <v>1</v>
      </c>
      <c r="J58" s="1469">
        <v>1</v>
      </c>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543</v>
      </c>
      <c r="B59" s="612" t="e">
        <f>ROUND($C$50*C59*D59,0)</f>
        <v>#DIV/0!</v>
      </c>
      <c r="C59" s="372">
        <f t="shared" ref="C59:C67" si="16">IF($C$57="北京市系数",I59,J59)</f>
        <v>0</v>
      </c>
      <c r="D59" s="2080">
        <v>0.25</v>
      </c>
      <c r="E59" s="613">
        <v>0</v>
      </c>
      <c r="F59" s="610" t="e">
        <f t="shared" si="15"/>
        <v>#DIV/0!</v>
      </c>
      <c r="G59" s="3691" t="s">
        <v>2248</v>
      </c>
      <c r="H59" s="1835">
        <f>项目基本情况!B43</f>
        <v>0</v>
      </c>
      <c r="I59" s="1469">
        <f>SUMIF(修正!$A$45:$A$56,H59,修正!B45:B56)</f>
        <v>0</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544</v>
      </c>
      <c r="B60" s="612" t="e">
        <f t="shared" ref="B60:B67" si="17">ROUND($C$50*C60*D60,0)</f>
        <v>#DIV/0!</v>
      </c>
      <c r="C60" s="372">
        <f t="shared" si="16"/>
        <v>0</v>
      </c>
      <c r="D60" s="2080">
        <v>0.25</v>
      </c>
      <c r="E60" s="613">
        <v>0</v>
      </c>
      <c r="F60" s="610" t="e">
        <f t="shared" si="15"/>
        <v>#DIV/0!</v>
      </c>
      <c r="G60" s="3691"/>
      <c r="H60" s="1835">
        <f>项目基本情况!B43</f>
        <v>0</v>
      </c>
      <c r="I60" s="1469">
        <f>SUMIF(修正!$A$45:$A$56,H60,修正!C45:C56)</f>
        <v>0</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545</v>
      </c>
      <c r="B61" s="612" t="e">
        <f t="shared" si="17"/>
        <v>#DIV/0!</v>
      </c>
      <c r="C61" s="372">
        <f t="shared" si="16"/>
        <v>0</v>
      </c>
      <c r="D61" s="2080">
        <v>0.25</v>
      </c>
      <c r="E61" s="613">
        <v>0</v>
      </c>
      <c r="F61" s="610" t="e">
        <f t="shared" si="15"/>
        <v>#DIV/0!</v>
      </c>
      <c r="G61" s="3691"/>
      <c r="H61" s="1835">
        <f>项目基本情况!B43</f>
        <v>0</v>
      </c>
      <c r="I61" s="1469">
        <f>SUMIF(修正!$A$45:$A$56,H61,修正!D45:D56)</f>
        <v>0</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1" t="s">
        <v>546</v>
      </c>
      <c r="B62" s="612" t="e">
        <f t="shared" si="17"/>
        <v>#DIV/0!</v>
      </c>
      <c r="C62" s="372">
        <f t="shared" si="16"/>
        <v>0</v>
      </c>
      <c r="D62" s="2080">
        <v>0.25</v>
      </c>
      <c r="E62" s="613">
        <v>0</v>
      </c>
      <c r="F62" s="610" t="e">
        <f t="shared" si="15"/>
        <v>#DIV/0!</v>
      </c>
      <c r="G62" s="3691"/>
      <c r="H62" s="1835">
        <f>项目基本情况!B43</f>
        <v>0</v>
      </c>
      <c r="I62" s="1469">
        <f>SUMIF(修正!$A$45:$A$56,H62,修正!E45:E56)</f>
        <v>0</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2293</v>
      </c>
      <c r="B63" s="612" t="e">
        <f t="shared" si="17"/>
        <v>#DIV/0!</v>
      </c>
      <c r="C63" s="372">
        <f t="shared" si="16"/>
        <v>0.2</v>
      </c>
      <c r="D63" s="2080">
        <v>0.25</v>
      </c>
      <c r="E63" s="615">
        <f>'数据-汇总表'!E11</f>
        <v>0</v>
      </c>
      <c r="F63" s="610" t="e">
        <f t="shared" si="15"/>
        <v>#DIV/0!</v>
      </c>
      <c r="G63" s="1832" t="s">
        <v>2249</v>
      </c>
      <c r="H63" s="1835" t="str">
        <f>项目基本情况!C43</f>
        <v>九级</v>
      </c>
      <c r="I63" s="1469">
        <f>SUMIF(修正!$A$45:$A$56,H63,修正!F45:F56)</f>
        <v>0.2</v>
      </c>
      <c r="J63" s="1470"/>
      <c r="K63" s="3184"/>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1" t="s">
        <v>547</v>
      </c>
      <c r="B64" s="612" t="e">
        <f t="shared" si="17"/>
        <v>#DIV/0!</v>
      </c>
      <c r="C64" s="372">
        <f t="shared" si="16"/>
        <v>0.2</v>
      </c>
      <c r="D64" s="2080">
        <v>0.25</v>
      </c>
      <c r="E64" s="615">
        <f>'数据-汇总表'!E12</f>
        <v>0</v>
      </c>
      <c r="F64" s="610" t="e">
        <f t="shared" si="15"/>
        <v>#DIV/0!</v>
      </c>
      <c r="G64" s="1833" t="s">
        <v>1652</v>
      </c>
      <c r="H64" s="1831" t="str">
        <f>IF(G64="商业",项目基本情况!B43,IF(G64="办公",项目基本情况!C43,IF(G64="住宅",项目基本情况!D43,项目基本情况!E43)))</f>
        <v>九级</v>
      </c>
      <c r="I64" s="1469">
        <f>SUMIF(修正!$A$45:$A$56,H64,修正!G45:G56)</f>
        <v>0.2</v>
      </c>
      <c r="J64" s="1470"/>
      <c r="K64" s="3184"/>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1" t="s">
        <v>548</v>
      </c>
      <c r="B65" s="612" t="e">
        <f t="shared" si="17"/>
        <v>#DIV/0!</v>
      </c>
      <c r="C65" s="372">
        <f t="shared" si="16"/>
        <v>0</v>
      </c>
      <c r="D65" s="2080">
        <v>0.25</v>
      </c>
      <c r="E65" s="615">
        <f>'数据-汇总表'!E13</f>
        <v>0</v>
      </c>
      <c r="F65" s="610" t="e">
        <f t="shared" si="15"/>
        <v>#DIV/0!</v>
      </c>
      <c r="G65" s="1833" t="s">
        <v>898</v>
      </c>
      <c r="H65" s="1831">
        <f>IF(G65="商业",项目基本情况!B43,IF(G65="办公",项目基本情况!C43,IF(G65="住宅",项目基本情况!D43,项目基本情况!E43)))</f>
        <v>0</v>
      </c>
      <c r="I65" s="1469">
        <f>SUMIF(修正!$A$45:$A$56,H65,修正!H45:H56)</f>
        <v>0</v>
      </c>
      <c r="J65" s="1470"/>
      <c r="K65" s="3184"/>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1" t="s">
        <v>549</v>
      </c>
      <c r="B66" s="612" t="e">
        <f t="shared" si="17"/>
        <v>#DIV/0!</v>
      </c>
      <c r="C66" s="372">
        <f t="shared" si="16"/>
        <v>0</v>
      </c>
      <c r="D66" s="2080">
        <v>0.25</v>
      </c>
      <c r="E66" s="615">
        <f>'数据-汇总表'!E14</f>
        <v>0</v>
      </c>
      <c r="F66" s="610" t="e">
        <f t="shared" si="15"/>
        <v>#DIV/0!</v>
      </c>
      <c r="G66" s="1832" t="s">
        <v>2248</v>
      </c>
      <c r="H66" s="1835">
        <f>项目基本情况!B43</f>
        <v>0</v>
      </c>
      <c r="I66" s="1469">
        <f>SUMIF(修正!$A$45:$A$56,H66,修正!H45:H56)</f>
        <v>0</v>
      </c>
      <c r="J66" s="1470"/>
      <c r="K66" s="3184"/>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7"/>
        <v>#DIV/0!</v>
      </c>
      <c r="C67" s="372">
        <f t="shared" si="16"/>
        <v>0.15</v>
      </c>
      <c r="D67" s="2080">
        <v>0.25</v>
      </c>
      <c r="E67" s="615">
        <f>'数据-汇总表'!E15</f>
        <v>0</v>
      </c>
      <c r="F67" s="610" t="e">
        <f t="shared" si="15"/>
        <v>#DIV/0!</v>
      </c>
      <c r="G67" s="1834" t="s">
        <v>2249</v>
      </c>
      <c r="H67" s="1836" t="str">
        <f>项目基本情况!C43</f>
        <v>九级</v>
      </c>
      <c r="I67" s="1469">
        <f>SUMIF(修正!$A$45:$A$56,H67,修正!H45:H56)</f>
        <v>0.15</v>
      </c>
      <c r="J67" s="1470"/>
      <c r="K67" s="3184"/>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6" t="s">
        <v>551</v>
      </c>
      <c r="B68" s="617" t="s">
        <v>17</v>
      </c>
      <c r="C68" s="617" t="s">
        <v>18</v>
      </c>
      <c r="D68" s="617" t="s">
        <v>2259</v>
      </c>
      <c r="E68" s="617">
        <f>IF(B48="楼面地价",SUM(E58:E67),'数据-汇总表'!D3)</f>
        <v>18388.8</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2022-3-1</v>
      </c>
      <c r="D70" s="2484">
        <f>EDATE(C70,-3)</f>
        <v>44531</v>
      </c>
      <c r="E70" s="2484">
        <f t="shared" ref="E70:N70" si="18">EDATE(D70,-3)</f>
        <v>44440</v>
      </c>
      <c r="F70" s="2484">
        <f t="shared" si="18"/>
        <v>44348</v>
      </c>
      <c r="G70" s="2484">
        <f t="shared" si="18"/>
        <v>44256</v>
      </c>
      <c r="H70" s="2484">
        <f t="shared" si="18"/>
        <v>44166</v>
      </c>
      <c r="I70" s="2484">
        <f t="shared" si="18"/>
        <v>44075</v>
      </c>
      <c r="J70" s="2484">
        <f t="shared" si="18"/>
        <v>43983</v>
      </c>
      <c r="K70" s="2484">
        <f t="shared" si="18"/>
        <v>43891</v>
      </c>
      <c r="L70" s="2484">
        <f t="shared" si="18"/>
        <v>43800</v>
      </c>
      <c r="M70" s="2484">
        <f t="shared" si="18"/>
        <v>43709</v>
      </c>
      <c r="N70" s="2484">
        <f t="shared" si="18"/>
        <v>43617</v>
      </c>
      <c r="O70" s="1998"/>
      <c r="P70" s="1998"/>
      <c r="Q70" s="1998"/>
      <c r="R70" s="1998"/>
      <c r="S70" s="1998"/>
      <c r="T70" s="1998"/>
      <c r="U70" s="1998"/>
      <c r="V70" s="1998"/>
      <c r="W70" s="1998"/>
      <c r="X70" s="1998"/>
      <c r="Y70" s="1998"/>
      <c r="Z70" s="1998"/>
      <c r="AA70" s="1998"/>
      <c r="AB70" s="1998"/>
      <c r="AC70" s="1998"/>
    </row>
    <row r="71" spans="1:29" ht="21.7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ht="15">
      <c r="A72" s="2389" t="s">
        <v>2486</v>
      </c>
      <c r="B72" s="2390"/>
      <c r="C72" s="2481" t="str">
        <f>YEAR(C70)&amp;"-"&amp;ROUNDUP(MONTH(C70)/3,0)</f>
        <v>2022-1</v>
      </c>
      <c r="D72" s="2486" t="str">
        <f>YEAR(D70)&amp;"-"&amp;ROUNDUP(MONTH(D70)/3,0)</f>
        <v>2021-4</v>
      </c>
      <c r="E72" s="2486" t="str">
        <f t="shared" ref="E72:N72" si="19">YEAR(E70)&amp;"-"&amp;ROUNDUP(MONTH(E70)/3,0)</f>
        <v>2021-3</v>
      </c>
      <c r="F72" s="2486" t="str">
        <f t="shared" si="19"/>
        <v>2021-2</v>
      </c>
      <c r="G72" s="2486" t="str">
        <f t="shared" si="19"/>
        <v>2021-1</v>
      </c>
      <c r="H72" s="2486" t="str">
        <f t="shared" si="19"/>
        <v>2020-4</v>
      </c>
      <c r="I72" s="2486" t="str">
        <f t="shared" si="19"/>
        <v>2020-3</v>
      </c>
      <c r="J72" s="2486" t="str">
        <f t="shared" si="19"/>
        <v>2020-2</v>
      </c>
      <c r="K72" s="2486" t="str">
        <f t="shared" si="19"/>
        <v>2020-1</v>
      </c>
      <c r="L72" s="2486" t="str">
        <f t="shared" si="19"/>
        <v>2019-4</v>
      </c>
      <c r="M72" s="2486" t="str">
        <f t="shared" si="19"/>
        <v>2019-3</v>
      </c>
      <c r="N72" s="2486"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2600</v>
      </c>
      <c r="B73" s="472" t="str">
        <f>"北京市平均增长率"&amp;TEXT(SUMIF(基准地价!N21:N25,A73,基准地价!P21:P25),"0.00%")</f>
        <v>北京市平均增长率1.61%</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2599</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ht="15">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5.7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7.7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5.7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5.7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5.7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5.75" thickTop="1">
      <c r="A102" s="661"/>
      <c r="B102" s="1783" t="s">
        <v>2502</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1"/>
      <c r="B104" s="2409" t="s">
        <v>2504</v>
      </c>
      <c r="C104" s="2410" t="s">
        <v>2505</v>
      </c>
      <c r="D104" s="2410" t="s">
        <v>2506</v>
      </c>
      <c r="E104" s="2410" t="s">
        <v>2507</v>
      </c>
      <c r="F104" s="2410" t="s">
        <v>2508</v>
      </c>
      <c r="G104" s="2410" t="s">
        <v>2509</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6" t="str">
        <f t="shared" si="25"/>
        <v>(含)-</v>
      </c>
      <c r="K118" s="2746" t="str">
        <f t="shared" si="25"/>
        <v>(含)-</v>
      </c>
      <c r="L118" s="2747" t="str">
        <f t="shared" si="25"/>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2"/>
      <c r="B125" s="1783" t="s">
        <v>2387</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5.7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0" priority="18" stopIfTrue="1" operator="containsText" text="超过">
      <formula>NOT(ISERROR(SEARCH("超过",F53)))</formula>
    </cfRule>
  </conditionalFormatting>
  <conditionalFormatting sqref="J55">
    <cfRule type="containsText" dxfId="159" priority="17" stopIfTrue="1" operator="containsText" text="超过">
      <formula>NOT(ISERROR(SEARCH("超过",J55)))</formula>
    </cfRule>
  </conditionalFormatting>
  <conditionalFormatting sqref="H55">
    <cfRule type="containsText" dxfId="158" priority="16" stopIfTrue="1" operator="containsText" text="超过">
      <formula>NOT(ISERROR(SEARCH("超过",H55)))</formula>
    </cfRule>
  </conditionalFormatting>
  <conditionalFormatting sqref="F55">
    <cfRule type="containsText" dxfId="157" priority="15" stopIfTrue="1" operator="containsText" text="超过">
      <formula>NOT(ISERROR(SEARCH("超过",F55)))</formula>
    </cfRule>
  </conditionalFormatting>
  <conditionalFormatting sqref="F54 H54 J54">
    <cfRule type="containsText" dxfId="156" priority="14" stopIfTrue="1" operator="containsText" text="超过">
      <formula>NOT(ISERROR(SEARCH("超过",F54)))</formula>
    </cfRule>
  </conditionalFormatting>
  <conditionalFormatting sqref="E53">
    <cfRule type="expression" dxfId="155" priority="13" stopIfTrue="1">
      <formula>$F$53="超过30%"</formula>
    </cfRule>
  </conditionalFormatting>
  <conditionalFormatting sqref="G55">
    <cfRule type="expression" dxfId="154" priority="12" stopIfTrue="1">
      <formula>$H$55="超过30%"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G53">
    <cfRule type="expression" dxfId="151" priority="9" stopIfTrue="1">
      <formula>$H$55+$H$53="超过30%"</formula>
    </cfRule>
  </conditionalFormatting>
  <conditionalFormatting sqref="G54">
    <cfRule type="expression" dxfId="150" priority="8" stopIfTrue="1">
      <formula>$H$54="超过20%"</formula>
    </cfRule>
  </conditionalFormatting>
  <conditionalFormatting sqref="I53">
    <cfRule type="expression" dxfId="149" priority="7" stopIfTrue="1">
      <formula>$J$53="超过30%"</formula>
    </cfRule>
  </conditionalFormatting>
  <conditionalFormatting sqref="I54">
    <cfRule type="expression" dxfId="148" priority="6" stopIfTrue="1">
      <formula>$J$54="超过20%"</formula>
    </cfRule>
  </conditionalFormatting>
  <conditionalFormatting sqref="I55">
    <cfRule type="expression" dxfId="147" priority="5" stopIfTrue="1">
      <formula>$J$55="超过30%"</formula>
    </cfRule>
  </conditionalFormatting>
  <conditionalFormatting sqref="F49">
    <cfRule type="expression" dxfId="146" priority="4">
      <formula>$D$49="简单平均"</formula>
    </cfRule>
  </conditionalFormatting>
  <conditionalFormatting sqref="H49">
    <cfRule type="expression" dxfId="145" priority="3">
      <formula>$D$49="简单平均"</formula>
    </cfRule>
  </conditionalFormatting>
  <conditionalFormatting sqref="J49">
    <cfRule type="expression" dxfId="144" priority="2">
      <formula>$D$49="简单平均"</formula>
    </cfRule>
  </conditionalFormatting>
  <conditionalFormatting sqref="F9:F47 H9:H47 J9:J47">
    <cfRule type="cellIs" dxfId="143"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792C6-9553-4814-B2B9-A69164EE06EC}">
  <sheetPr>
    <tabColor rgb="FF92D050"/>
  </sheetPr>
  <dimension ref="Q5:R55"/>
  <sheetViews>
    <sheetView workbookViewId="0">
      <selection activeCell="K91" sqref="K91"/>
    </sheetView>
  </sheetViews>
  <sheetFormatPr defaultRowHeight="13.5"/>
  <sheetData>
    <row r="5" spans="18:18">
      <c r="R5" s="3446" t="s">
        <v>3143</v>
      </c>
    </row>
    <row r="26" spans="18:18">
      <c r="R26" s="3446" t="s">
        <v>3142</v>
      </c>
    </row>
    <row r="50" spans="17:17" ht="15.95" customHeight="1"/>
    <row r="55" spans="17:17">
      <c r="Q55" s="3446" t="s">
        <v>3144</v>
      </c>
    </row>
  </sheetData>
  <phoneticPr fontId="225" type="noConversion"/>
  <hyperlinks>
    <hyperlink ref="R26" r:id="rId1" location="weizhiFlag" xr:uid="{FEF30D62-8564-4EBB-ABD5-7774BE956735}"/>
    <hyperlink ref="R5" r:id="rId2" xr:uid="{D0D251F7-3BF4-46E3-91F5-78E66C5C3D55}"/>
    <hyperlink ref="Q55" r:id="rId3" xr:uid="{6255A819-DD08-401F-90CA-7081AE67C5FA}"/>
  </hyperlinks>
  <pageMargins left="0.7" right="0.7" top="0.75" bottom="0.75" header="0.3" footer="0.3"/>
  <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70" zoomScaleNormal="60" zoomScaleSheetLayoutView="70" workbookViewId="0">
      <selection activeCell="D29" sqref="D29"/>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37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2388</v>
      </c>
      <c r="D1" s="1435">
        <f>SUM(D29:D30,D33:D39)</f>
        <v>0</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2715</v>
      </c>
      <c r="T1" s="2621" t="s">
        <v>2736</v>
      </c>
      <c r="U1" s="2621" t="s">
        <v>2737</v>
      </c>
      <c r="V1" s="2621" t="s">
        <v>2738</v>
      </c>
      <c r="W1" s="2041"/>
      <c r="X1" s="2041"/>
      <c r="Y1" s="2041"/>
      <c r="Z1" s="2041"/>
      <c r="AA1" s="2041"/>
      <c r="AB1" s="2041"/>
      <c r="AC1" s="2042"/>
    </row>
    <row r="2" spans="1:39" ht="15.75">
      <c r="A2" s="1329" t="s">
        <v>895</v>
      </c>
      <c r="B2" s="1007">
        <f ca="1">C26</f>
        <v>0</v>
      </c>
      <c r="C2" s="1330" t="s">
        <v>896</v>
      </c>
      <c r="D2" s="1331" t="s">
        <v>897</v>
      </c>
      <c r="E2" s="1332" t="s">
        <v>1652</v>
      </c>
      <c r="F2" s="1331" t="s">
        <v>899</v>
      </c>
      <c r="G2" s="1554" t="str">
        <f>IF(E2="商业",项目基本情况!B43,IF(E2="办公",项目基本情况!C43,IF(E2="住宅",项目基本情况!D43,项目基本情况!E43)))</f>
        <v>九级</v>
      </c>
      <c r="H2" s="1331" t="s">
        <v>901</v>
      </c>
      <c r="I2" s="1555" t="str">
        <f>IF(E2="商业",项目基本情况!B44,IF(E2="办公",项目基本情况!C44,IF(E2="住宅",项目基本情况!D44,项目基本情况!E44)))</f>
        <v>Ⅸ-顺3</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1.9419999999999999</v>
      </c>
      <c r="T2" s="2622">
        <f ca="1">ROUND($C$5*$C$18*$C$19*$C$20*S2*$C$24,0)</f>
        <v>8371</v>
      </c>
      <c r="U2" s="2611"/>
      <c r="V2" s="2622">
        <f ca="1">ROUND(T2*U2/10000,0)</f>
        <v>0</v>
      </c>
      <c r="W2" s="2041"/>
      <c r="X2" s="2041"/>
      <c r="Y2" s="2041"/>
      <c r="Z2" s="2041"/>
      <c r="AA2" s="2041"/>
      <c r="AB2" s="2041"/>
      <c r="AC2" s="2042"/>
    </row>
    <row r="3" spans="1:39" ht="15.75">
      <c r="A3" s="1334" t="s">
        <v>1662</v>
      </c>
      <c r="B3" s="1007" t="e">
        <f ca="1">ROUND(B2*10000/D1,0)</f>
        <v>#DIV/0!</v>
      </c>
      <c r="C3" s="1330" t="s">
        <v>902</v>
      </c>
      <c r="D3" s="1331" t="s">
        <v>903</v>
      </c>
      <c r="E3" s="1335" t="s">
        <v>3125</v>
      </c>
      <c r="F3" s="1336" t="s">
        <v>3136</v>
      </c>
      <c r="G3" s="1008">
        <f>IF(F3="宗地容积率",'数据-汇总表'!I4,IF(F3="估价对象容积率",'数据-汇总表'!I6,'数据-汇总表'!I7))</f>
        <v>1</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1.2799</v>
      </c>
      <c r="T3" s="2622">
        <f t="shared" ref="T3:T16" ca="1" si="0">ROUND($C$5*$C$18*$C$19*$C$20*S3*$C$24,0)</f>
        <v>5517</v>
      </c>
      <c r="U3" s="2611"/>
      <c r="V3" s="2622">
        <f t="shared" ref="V3:V16" ca="1" si="1">ROUND(T3*U3/10000,0)</f>
        <v>0</v>
      </c>
      <c r="W3" s="2041"/>
      <c r="X3" s="2041"/>
      <c r="Y3" s="2041"/>
      <c r="Z3" s="2041"/>
      <c r="AA3" s="2041"/>
      <c r="AB3" s="2041"/>
      <c r="AC3" s="2042"/>
    </row>
    <row r="4" spans="1:39" ht="28.5">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1.0072000000000001</v>
      </c>
      <c r="T4" s="2622">
        <f t="shared" ca="1" si="0"/>
        <v>4341</v>
      </c>
      <c r="U4" s="2611"/>
      <c r="V4" s="2622">
        <f t="shared" ca="1" si="1"/>
        <v>0</v>
      </c>
      <c r="W4" s="2041"/>
      <c r="X4" s="2041"/>
      <c r="Y4" s="2041"/>
      <c r="Z4" s="2041"/>
      <c r="AA4" s="2041"/>
      <c r="AB4" s="2041"/>
      <c r="AC4" s="2042"/>
    </row>
    <row r="5" spans="1:39" s="1344" customFormat="1" ht="15.75" thickBot="1">
      <c r="A5" s="1540" t="s">
        <v>1798</v>
      </c>
      <c r="B5" s="1338" t="s">
        <v>906</v>
      </c>
      <c r="C5" s="1010">
        <f>ROUND(IF(E2="商业",C6*C7+C16,(IF(E2="住宅",C6*C12+C16,C6+C16))),0)</f>
        <v>3430</v>
      </c>
      <c r="D5" s="2759">
        <f>ROUND(C6+C16,0)</f>
        <v>3430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0.75249999999999995</v>
      </c>
      <c r="T5" s="2622">
        <f t="shared" ca="1" si="0"/>
        <v>3244</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1839</v>
      </c>
      <c r="B6" s="1345" t="s">
        <v>906</v>
      </c>
      <c r="C6" s="1011">
        <f>SUMIF(L1:L12,基准地价!G2,M1:M12)</f>
        <v>3430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0.56589999999999996</v>
      </c>
      <c r="T6" s="2622">
        <f t="shared" ca="1" si="0"/>
        <v>2439</v>
      </c>
      <c r="U6" s="2611"/>
      <c r="V6" s="2622">
        <f t="shared" ca="1" si="1"/>
        <v>0</v>
      </c>
      <c r="W6" s="2041"/>
      <c r="X6" s="2041"/>
      <c r="Y6" s="2041"/>
      <c r="Z6" s="2041"/>
      <c r="AA6" s="2041"/>
      <c r="AB6" s="2041"/>
      <c r="AC6" s="2043"/>
      <c r="AD6" s="1342"/>
      <c r="AE6" s="1342"/>
      <c r="AF6" s="1342"/>
      <c r="AG6" s="1342"/>
      <c r="AH6" s="1342"/>
      <c r="AI6" s="1342"/>
      <c r="AJ6" s="1343"/>
    </row>
    <row r="7" spans="1:39" ht="24">
      <c r="A7" s="3729" t="str">
        <f>IF(E2="商业",IF(C8="不临58条商业街","",2),"")</f>
        <v/>
      </c>
      <c r="B7" s="1350" t="s">
        <v>907</v>
      </c>
      <c r="C7" s="1012" t="e">
        <f>IF(C8="不临58条商业街",1,ROUND(1+(1.6*E8+1.2*E9+0.8*E10+0.4*E11)*C9,4))</f>
        <v>#DIV/0!</v>
      </c>
      <c r="D7" s="1351" t="s">
        <v>908</v>
      </c>
      <c r="E7" s="1013"/>
      <c r="F7" s="1352"/>
      <c r="G7" s="1353"/>
      <c r="H7" s="1353"/>
      <c r="I7" s="1353"/>
      <c r="J7" s="1354"/>
      <c r="K7" s="3200"/>
      <c r="L7" s="1772" t="s">
        <v>2211</v>
      </c>
      <c r="M7" s="1773">
        <f>SUMPRODUCT((区片价!B158:B205=I2)*(区片价!C3:F3=E2)*(区片价!C158:F205))</f>
        <v>0</v>
      </c>
      <c r="N7" s="1774">
        <f>SUMPRODUCT((因素修正幅度!B158:B205=I2)*(因素修正幅度!C3:F3=E2)*(因素修正幅度!C158:F205))</f>
        <v>0</v>
      </c>
      <c r="O7" s="3200"/>
      <c r="P7" s="3203"/>
      <c r="Q7" s="2041"/>
      <c r="R7" s="2622">
        <v>6</v>
      </c>
      <c r="S7" s="2622">
        <f>ROUND(IF(G3&gt;1,IF(R7&lt;7,SUMPRODUCT((B93:B98=R7)*(C92:N92=G2)*(C93:N98)),SUMIF(C92:N92,G2,C100:N100)),IF(R7&lt;7,SUMPRODUCT((B102:B107=R7)*(C92:N92=G2)*(C102:N107)),SUMIF(C92:N92,G2,C109:N109))),4)</f>
        <v>0.45250000000000001</v>
      </c>
      <c r="T7" s="2622">
        <f t="shared" ca="1" si="0"/>
        <v>1950</v>
      </c>
      <c r="U7" s="2611"/>
      <c r="V7" s="2622">
        <f t="shared" ca="1" si="1"/>
        <v>0</v>
      </c>
      <c r="W7" s="2620" t="s">
        <v>2717</v>
      </c>
      <c r="X7" s="2612" t="str">
        <f>G2</f>
        <v>九级</v>
      </c>
      <c r="Y7" s="2612" t="s">
        <v>2718</v>
      </c>
      <c r="Z7" s="2613">
        <f>G3</f>
        <v>1</v>
      </c>
      <c r="AA7" s="2044"/>
      <c r="AB7" s="2044"/>
      <c r="AC7" s="2045"/>
      <c r="AD7" s="2614"/>
      <c r="AE7" s="2614"/>
      <c r="AF7" s="2614"/>
      <c r="AG7" s="2614"/>
      <c r="AH7" s="2614"/>
      <c r="AI7" s="2614"/>
      <c r="AJ7" s="2615"/>
    </row>
    <row r="8" spans="1:39" ht="15">
      <c r="A8" s="3730"/>
      <c r="B8" s="1337" t="s">
        <v>909</v>
      </c>
      <c r="C8" s="1443"/>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40" t="s">
        <v>2735</v>
      </c>
      <c r="X8" s="3741"/>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
      <c r="A9" s="3730"/>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3430</v>
      </c>
      <c r="N9" s="1774">
        <f>SUMPRODUCT((因素修正幅度!B245:B289=I2)*(因素修正幅度!C3:F3=E2)*(因素修正幅度!C245:F289))</f>
        <v>0.15</v>
      </c>
      <c r="O9" s="3200"/>
      <c r="P9" s="2041"/>
      <c r="Q9" s="2041"/>
      <c r="R9" s="2622">
        <v>8</v>
      </c>
      <c r="S9" s="2611"/>
      <c r="T9" s="2622">
        <f t="shared" ca="1" si="0"/>
        <v>0</v>
      </c>
      <c r="U9" s="2611"/>
      <c r="V9" s="2622">
        <f t="shared" ca="1" si="1"/>
        <v>0</v>
      </c>
      <c r="W9" s="3739"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30"/>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39"/>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30"/>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39" t="s">
        <v>2733</v>
      </c>
      <c r="X11" s="1017" t="s">
        <v>2718</v>
      </c>
      <c r="Y11" s="1555">
        <f>$G$3</f>
        <v>1</v>
      </c>
      <c r="Z11" s="1555">
        <f t="shared" ref="Z11:AJ11" si="3">$G$3</f>
        <v>1</v>
      </c>
      <c r="AA11" s="1555">
        <f t="shared" si="3"/>
        <v>1</v>
      </c>
      <c r="AB11" s="1555">
        <f t="shared" si="3"/>
        <v>1</v>
      </c>
      <c r="AC11" s="1555">
        <f t="shared" si="3"/>
        <v>1</v>
      </c>
      <c r="AD11" s="1555">
        <f t="shared" si="3"/>
        <v>1</v>
      </c>
      <c r="AE11" s="1555">
        <f t="shared" si="3"/>
        <v>1</v>
      </c>
      <c r="AF11" s="1555">
        <f t="shared" si="3"/>
        <v>1</v>
      </c>
      <c r="AG11" s="1555">
        <f t="shared" si="3"/>
        <v>1</v>
      </c>
      <c r="AH11" s="1555">
        <f t="shared" si="3"/>
        <v>1</v>
      </c>
      <c r="AI11" s="1555">
        <f t="shared" si="3"/>
        <v>1</v>
      </c>
      <c r="AJ11" s="1555">
        <f t="shared" si="3"/>
        <v>1</v>
      </c>
    </row>
    <row r="12" spans="1:39" ht="25.5" thickBot="1">
      <c r="A12" s="3729" t="s">
        <v>1840</v>
      </c>
      <c r="B12" s="1362" t="s">
        <v>921</v>
      </c>
      <c r="C12" s="1012">
        <f>ROUND(C15*D15*E15*F15*G15*H15*I15*J15,4)</f>
        <v>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39"/>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31"/>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39"/>
      <c r="X13" s="2619"/>
      <c r="Y13" s="2618">
        <f>(-0.163*(Y12^2)-0.59*Y12+7617)*(10^(-4))/Y11</f>
        <v>0.76170000000000004</v>
      </c>
      <c r="Z13" s="2618">
        <f t="shared" ref="Z13:AJ13" si="5">(-0.163*(Z12^2)-0.59*Z12+7617)*(10^(-4))/Z11</f>
        <v>0.76170000000000004</v>
      </c>
      <c r="AA13" s="2618">
        <f t="shared" si="5"/>
        <v>0.76170000000000004</v>
      </c>
      <c r="AB13" s="2618">
        <f t="shared" si="5"/>
        <v>0.76170000000000004</v>
      </c>
      <c r="AC13" s="2618">
        <f t="shared" si="5"/>
        <v>0.76170000000000004</v>
      </c>
      <c r="AD13" s="2618">
        <f t="shared" si="5"/>
        <v>0.76170000000000004</v>
      </c>
      <c r="AE13" s="2618">
        <f t="shared" si="5"/>
        <v>0.76170000000000004</v>
      </c>
      <c r="AF13" s="2618">
        <f t="shared" si="5"/>
        <v>0.76170000000000004</v>
      </c>
      <c r="AG13" s="2618">
        <f t="shared" si="5"/>
        <v>0.76170000000000004</v>
      </c>
      <c r="AH13" s="2618">
        <f t="shared" si="5"/>
        <v>0.76170000000000004</v>
      </c>
      <c r="AI13" s="2618">
        <f t="shared" si="5"/>
        <v>0.76170000000000004</v>
      </c>
      <c r="AJ13" s="2618">
        <f t="shared" si="5"/>
        <v>0.76170000000000004</v>
      </c>
    </row>
    <row r="14" spans="1:39" ht="12.75" customHeight="1">
      <c r="A14" s="3731"/>
      <c r="B14" s="1374"/>
      <c r="C14" s="1375"/>
      <c r="D14" s="1376"/>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32"/>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29" t="s">
        <v>1813</v>
      </c>
      <c r="B16" s="1350" t="s">
        <v>925</v>
      </c>
      <c r="C16" s="1021">
        <f>ROUND(IF(F17="与级别开发程度一致",0,(G17-E17)/C17),0)</f>
        <v>0</v>
      </c>
      <c r="D16" s="3747" t="s">
        <v>929</v>
      </c>
      <c r="E16" s="3748"/>
      <c r="F16" s="3747" t="s">
        <v>926</v>
      </c>
      <c r="G16" s="3748"/>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33"/>
      <c r="B17" s="2820" t="s">
        <v>928</v>
      </c>
      <c r="C17" s="2821">
        <f>SUMPRODUCT((修正!A2:A5=E2)*(修正!B1:M1=G2)*(修正!B2:M5))</f>
        <v>2</v>
      </c>
      <c r="D17" s="2822" t="str">
        <f>IF(OR(G2="八级",G2="九级",G2="十级",G2="十一级",G2="十二级"),"五通一平","七通一平")</f>
        <v>五通一平</v>
      </c>
      <c r="E17" s="2812">
        <f>SUMPRODUCT((修正!B1:M1=G2)*(修正!B15:M15))</f>
        <v>155</v>
      </c>
      <c r="F17" s="2813" t="s">
        <v>3139</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1804</v>
      </c>
      <c r="B18" s="2815" t="s">
        <v>930</v>
      </c>
      <c r="C18" s="2816">
        <f>SUMIF(修正!C18:C39,E3,修正!E18:E39)</f>
        <v>0.9</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1810</v>
      </c>
      <c r="B19" s="1385" t="s">
        <v>931</v>
      </c>
      <c r="C19" s="1022">
        <f>ROUND(IF(H19="按公示增长率计算",SUMPRODUCT((地价!A3:A37=YEAR(G19)&amp;"-"&amp;ROUNDUP(MONTH(G19)/3,0))*(地价!X2:AB2=E2)*(地价!X3:AB37)),IF(H19="地价指数",M20/M19,(1+I19)^O19)),4)</f>
        <v>1.3963000000000001</v>
      </c>
      <c r="D19" s="1389" t="s">
        <v>932</v>
      </c>
      <c r="E19" s="1023">
        <v>41640</v>
      </c>
      <c r="F19" s="1389" t="s">
        <v>933</v>
      </c>
      <c r="G19" s="1024">
        <f>'数据-取费表'!B2</f>
        <v>44623</v>
      </c>
      <c r="H19" s="1390" t="s">
        <v>3140</v>
      </c>
      <c r="I19" s="2471" t="str">
        <f>IF(H19="季度增幅（自定义）",SUMIF(N21:N24,E2,O21:O24),"")</f>
        <v/>
      </c>
      <c r="J19" s="1386"/>
      <c r="K19" s="3199"/>
      <c r="L19" s="2719" t="s">
        <v>2790</v>
      </c>
      <c r="M19" s="2720">
        <f>ROUND(SUMIF(地价!B2:F2,E2,地价!B37:F37),0)</f>
        <v>258</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1811</v>
      </c>
      <c r="B20" s="2466" t="s">
        <v>946</v>
      </c>
      <c r="C20" s="2467">
        <f ca="1">ROUND(POWER(1+G20,J20-I20)*(POWER(1+G20,I20)-1)/(POWER(1+G20,J20)-1),4)</f>
        <v>1</v>
      </c>
      <c r="D20" s="2468" t="s">
        <v>947</v>
      </c>
      <c r="E20" s="2749">
        <f ca="1">存贷款利率!I4/100</f>
        <v>4.3499999999999997E-2</v>
      </c>
      <c r="F20" s="2468" t="s">
        <v>948</v>
      </c>
      <c r="G20" s="2469">
        <f ca="1">SUMIF(M26:P26,E2,M28:P28)</f>
        <v>5.1999999999999998E-2</v>
      </c>
      <c r="H20" s="2468" t="s">
        <v>949</v>
      </c>
      <c r="I20" s="2464">
        <f>SUMIF('数据-取费表'!C6:C15,E2,'数据-取费表'!F6:F15)/COUNTIF('数据-取费表'!C6:C15,E2)</f>
        <v>50</v>
      </c>
      <c r="J20" s="2470">
        <f>IF(E2="住宅",70,IF(E2="商业",40,50))</f>
        <v>50</v>
      </c>
      <c r="K20" s="2810"/>
      <c r="L20" s="2721" t="s">
        <v>2791</v>
      </c>
      <c r="M20" s="2803">
        <f>ROUND(SUMPRODUCT((地价!A4:A37=YEAR(G19)&amp;"-"&amp;ROUNDUP(MONTH(G19)/3,0))*(地价!B2:F2=E2)*(地价!B4:F37)),0)</f>
        <v>352</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25">
      <c r="A21" s="1544" t="s">
        <v>1812</v>
      </c>
      <c r="B21" s="1395" t="s">
        <v>3141</v>
      </c>
      <c r="C21" s="1123">
        <f>IF(B21="容积率修正",IF(G3&lt;=10,D22,J22),C23)</f>
        <v>1.2383999999999999</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25">
      <c r="A22" s="1545" t="s">
        <v>1839</v>
      </c>
      <c r="B22" s="1398" t="s">
        <v>951</v>
      </c>
      <c r="C22" s="1025" t="s">
        <v>1677</v>
      </c>
      <c r="D22" s="1025">
        <f>IF(E22=G22,F22,IF(G3&lt;=10,ROUND(F22+(H22-F22)*(G3-E22)/(G22-E22),4),"——"))</f>
        <v>1.2383999999999999</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1.2383999999999999</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1.2383999999999999</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0</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5338</v>
      </c>
      <c r="D29" s="1418"/>
      <c r="E29" s="1736">
        <f ca="1">ROUND(C29*D29/10000,0)</f>
        <v>0</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1335</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36"/>
      <c r="B33" s="1438" t="s">
        <v>974</v>
      </c>
      <c r="C33" s="1028">
        <f ca="1">ROUND(D5*C19*C20*C24*F33,0)</f>
        <v>2874</v>
      </c>
      <c r="D33" s="1451"/>
      <c r="E33" s="1017">
        <f ca="1">ROUND(C33*D33/10000,0)</f>
        <v>0</v>
      </c>
      <c r="F33" s="1017">
        <f>SUMIF(修正!A45:A56,G2,修正!B45:B56)</f>
        <v>0.6</v>
      </c>
      <c r="G33" s="1017">
        <f t="shared" ref="G33" ca="1" si="6">ROUND(IF(E2="工业",C33*$M$39,C33*$M$38),0)</f>
        <v>719</v>
      </c>
      <c r="H33" s="1017">
        <f>D33</f>
        <v>0</v>
      </c>
      <c r="I33" s="1017">
        <f ca="1">ROUND(G33*H33/10000,0)</f>
        <v>0</v>
      </c>
      <c r="J33" s="3736"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37"/>
      <c r="B34" s="1368" t="s">
        <v>975</v>
      </c>
      <c r="C34" s="1028">
        <f ca="1">ROUND(D5*C19*C20*C24*F34,0)</f>
        <v>1437</v>
      </c>
      <c r="D34" s="1451"/>
      <c r="E34" s="1017">
        <f t="shared" ref="E34:E39" ca="1" si="7">ROUND(C34*D34/10000,0)</f>
        <v>0</v>
      </c>
      <c r="F34" s="1017">
        <f>SUMIF(修正!A45:A56,G2,修正!C45:C56)</f>
        <v>0.3</v>
      </c>
      <c r="G34" s="1017">
        <f ca="1">ROUND(IF(E2="工业",C34*$M$39,C34*$M$38),0)</f>
        <v>359</v>
      </c>
      <c r="H34" s="1017">
        <f t="shared" ref="H34:H39" si="8">D34</f>
        <v>0</v>
      </c>
      <c r="I34" s="1017">
        <f t="shared" ref="I34:I39" ca="1" si="9">ROUND(G34*H34/10000,0)</f>
        <v>0</v>
      </c>
      <c r="J34" s="3737"/>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37"/>
      <c r="B35" s="1368" t="s">
        <v>976</v>
      </c>
      <c r="C35" s="1028">
        <f ca="1">ROUND(D5*C19*C20*C24*F35,0)</f>
        <v>958</v>
      </c>
      <c r="D35" s="1451"/>
      <c r="E35" s="1017">
        <f t="shared" ca="1" si="7"/>
        <v>0</v>
      </c>
      <c r="F35" s="1017">
        <f>SUMIF(修正!A45:A56,G2,修正!D45:D56)</f>
        <v>0.2</v>
      </c>
      <c r="G35" s="1017">
        <f ca="1">ROUND(IF(E2="工业",C35*$M$39,C35*$M$38),0)</f>
        <v>240</v>
      </c>
      <c r="H35" s="1017">
        <f t="shared" si="8"/>
        <v>0</v>
      </c>
      <c r="I35" s="1017">
        <f t="shared" ca="1" si="9"/>
        <v>0</v>
      </c>
      <c r="J35" s="3737"/>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38"/>
      <c r="B36" s="1368" t="s">
        <v>977</v>
      </c>
      <c r="C36" s="1028">
        <f ca="1">ROUND(D5*C19*C20*C24*F36,0)</f>
        <v>958</v>
      </c>
      <c r="D36" s="1451"/>
      <c r="E36" s="1017">
        <f t="shared" ca="1" si="7"/>
        <v>0</v>
      </c>
      <c r="F36" s="1017">
        <f>SUMIF(修正!A45:A56,G2,修正!E45:E56)</f>
        <v>0.2</v>
      </c>
      <c r="G36" s="1017">
        <f ca="1">ROUND(IF(E2="工业",C36*$M$39,C36*$M$38),0)</f>
        <v>240</v>
      </c>
      <c r="H36" s="1017">
        <f t="shared" si="8"/>
        <v>0</v>
      </c>
      <c r="I36" s="1017">
        <f t="shared" ca="1" si="9"/>
        <v>0</v>
      </c>
      <c r="J36" s="3738"/>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958</v>
      </c>
      <c r="D37" s="1451"/>
      <c r="E37" s="1017">
        <f t="shared" ca="1" si="7"/>
        <v>0</v>
      </c>
      <c r="F37" s="1028">
        <f>SUMIF(修正!A45:A56,G2,修正!F45:F56)</f>
        <v>0.2</v>
      </c>
      <c r="G37" s="1017">
        <f ca="1">ROUND(IF(E2="工业",C37*$M$39,C37*$M$38),0)</f>
        <v>240</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2918</v>
      </c>
      <c r="C41" s="810">
        <f ca="1">ROUND(POWER(1+E41,H41-G41)*(POWER(1+E41,G41)-1)/(POWER(1+E41,H41)-1),4)</f>
        <v>0</v>
      </c>
      <c r="D41" s="372" t="s">
        <v>2916</v>
      </c>
      <c r="E41" s="2798">
        <f ca="1">G20</f>
        <v>5.1999999999999998E-2</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998</v>
      </c>
      <c r="B50" s="2751" t="s">
        <v>2875</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999</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1000</v>
      </c>
      <c r="B52" s="2750" t="s">
        <v>2874</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1001</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1003</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983</v>
      </c>
      <c r="B57" s="2234"/>
      <c r="C57" s="2256" t="s">
        <v>985</v>
      </c>
      <c r="D57" s="2257" t="s">
        <v>986</v>
      </c>
      <c r="E57" s="2258" t="s">
        <v>988</v>
      </c>
      <c r="F57" s="2259" t="s">
        <v>2218</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f>IF(E2="办公",SUMIF(L1:L12,G2,N1:N12),"——")</f>
        <v>0.15</v>
      </c>
      <c r="G58" s="2241"/>
      <c r="H58" s="2286">
        <f>IFERROR(ROUNDDOWN($F$58*I58/2,4),"——")</f>
        <v>1.7999999999999999E-2</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f t="shared" ref="H59:H66" si="19">IFERROR($F$58*I59/2,"——")</f>
        <v>2.2499999999999999E-2</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997</v>
      </c>
      <c r="B60" s="2234">
        <f>估价对象房地状况!C19</f>
        <v>0</v>
      </c>
      <c r="C60" s="1019"/>
      <c r="D60" s="2243">
        <f t="shared" si="15"/>
        <v>0</v>
      </c>
      <c r="E60" s="2265"/>
      <c r="F60" s="2263"/>
      <c r="G60" s="2241"/>
      <c r="H60" s="2242">
        <f t="shared" si="19"/>
        <v>6.0000000000000001E-3</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998</v>
      </c>
      <c r="B61" s="2751" t="s">
        <v>2876</v>
      </c>
      <c r="C61" s="1019"/>
      <c r="D61" s="2243">
        <f t="shared" si="15"/>
        <v>0</v>
      </c>
      <c r="E61" s="2265"/>
      <c r="F61" s="2263"/>
      <c r="G61" s="2241"/>
      <c r="H61" s="2242">
        <f t="shared" si="19"/>
        <v>3.0000000000000001E-3</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999</v>
      </c>
      <c r="B62" s="2234">
        <f>估价对象房地状况!C24</f>
        <v>0</v>
      </c>
      <c r="C62" s="1019"/>
      <c r="D62" s="2243">
        <f t="shared" si="15"/>
        <v>0</v>
      </c>
      <c r="E62" s="2265"/>
      <c r="F62" s="2263"/>
      <c r="G62" s="2241"/>
      <c r="H62" s="2242">
        <f t="shared" si="19"/>
        <v>3.7499999999999999E-3</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1000</v>
      </c>
      <c r="B63" s="2750" t="s">
        <v>2874</v>
      </c>
      <c r="C63" s="1019"/>
      <c r="D63" s="2243">
        <f t="shared" si="15"/>
        <v>0</v>
      </c>
      <c r="E63" s="2265"/>
      <c r="F63" s="2263"/>
      <c r="G63" s="2241"/>
      <c r="H63" s="2242">
        <f t="shared" si="19"/>
        <v>3.7499999999999999E-3</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1001</v>
      </c>
      <c r="B64" s="2235" t="str">
        <f>估价对象房地状况!C21</f>
        <v>估价对象所在区域公共配套设施齐备情况</v>
      </c>
      <c r="C64" s="1019"/>
      <c r="D64" s="2243">
        <f t="shared" si="15"/>
        <v>0</v>
      </c>
      <c r="E64" s="2265"/>
      <c r="F64" s="2263"/>
      <c r="G64" s="2241"/>
      <c r="H64" s="2242">
        <f t="shared" si="19"/>
        <v>4.4999999999999997E-3</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1002</v>
      </c>
      <c r="B65" s="2235" t="str">
        <f>估价对象房地状况!C22</f>
        <v>估价对象所在区域基础设施水平</v>
      </c>
      <c r="C65" s="1019"/>
      <c r="D65" s="2243">
        <f t="shared" si="15"/>
        <v>0</v>
      </c>
      <c r="E65" s="2265"/>
      <c r="F65" s="2263"/>
      <c r="G65" s="2241"/>
      <c r="H65" s="2242">
        <f t="shared" si="19"/>
        <v>8.9999999999999993E-3</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1003</v>
      </c>
      <c r="B66" s="2239" t="str">
        <f>估价对象房地状况!C20</f>
        <v>区域自然环境：；人文环境；综合评价环境状况一般</v>
      </c>
      <c r="C66" s="1019"/>
      <c r="D66" s="2243">
        <f t="shared" si="15"/>
        <v>0</v>
      </c>
      <c r="E66" s="2269"/>
      <c r="F66" s="2263"/>
      <c r="G66" s="2241"/>
      <c r="H66" s="2242">
        <f t="shared" si="19"/>
        <v>4.4999999999999997E-3</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983</v>
      </c>
      <c r="B68" s="2234"/>
      <c r="C68" s="2256" t="s">
        <v>985</v>
      </c>
      <c r="D68" s="2257" t="s">
        <v>986</v>
      </c>
      <c r="E68" s="2258" t="s">
        <v>988</v>
      </c>
      <c r="F68" s="2259" t="s">
        <v>2219</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1008</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1009</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1001</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1000</v>
      </c>
      <c r="B75" s="2750" t="s">
        <v>2874</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1003</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2220</v>
      </c>
      <c r="G79" s="2257" t="s">
        <v>989</v>
      </c>
      <c r="H79" s="2240" t="s">
        <v>2380</v>
      </c>
      <c r="I79" s="2257" t="s">
        <v>987</v>
      </c>
      <c r="J79" s="2260" t="s">
        <v>990</v>
      </c>
      <c r="K79" s="2260" t="s">
        <v>991</v>
      </c>
      <c r="L79" s="2260" t="s">
        <v>992</v>
      </c>
      <c r="M79" s="2260" t="s">
        <v>993</v>
      </c>
      <c r="N79" s="2260" t="s">
        <v>994</v>
      </c>
      <c r="AC79" s="1328"/>
      <c r="AD79" s="1327"/>
      <c r="AJ79" s="1326"/>
      <c r="AN79" s="1327"/>
    </row>
    <row r="80" spans="1:40" ht="36">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1008</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34" t="s">
        <v>1608</v>
      </c>
      <c r="B90" s="3734"/>
      <c r="C90" s="3734"/>
      <c r="D90" s="3734"/>
      <c r="E90" s="3734"/>
      <c r="F90" s="3734"/>
      <c r="G90" s="3734"/>
      <c r="H90" s="3734"/>
      <c r="I90" s="3734"/>
      <c r="J90" s="3734"/>
      <c r="K90" s="2276"/>
      <c r="L90" s="2276"/>
      <c r="M90" s="2276"/>
      <c r="N90" s="2276"/>
    </row>
    <row r="91" spans="1:40">
      <c r="A91" s="3735" t="s">
        <v>1418</v>
      </c>
      <c r="B91" s="3735" t="s">
        <v>1609</v>
      </c>
      <c r="C91" s="1105" t="s">
        <v>1610</v>
      </c>
      <c r="D91" s="1106"/>
      <c r="E91" s="1106"/>
      <c r="F91" s="1106"/>
      <c r="G91" s="1106"/>
      <c r="H91" s="1106"/>
      <c r="I91" s="1106"/>
      <c r="J91" s="1107"/>
      <c r="K91" s="1099"/>
      <c r="L91" s="1099"/>
      <c r="M91" s="1099"/>
      <c r="N91" s="1099"/>
    </row>
    <row r="92" spans="1:40">
      <c r="A92" s="3735"/>
      <c r="B92" s="3735"/>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3742"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43"/>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43"/>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43"/>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43"/>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43"/>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43"/>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44"/>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42" t="s">
        <v>1612</v>
      </c>
      <c r="B101" s="1112" t="s">
        <v>881</v>
      </c>
      <c r="C101" s="1113">
        <f>$G$3</f>
        <v>1</v>
      </c>
      <c r="D101" s="1113">
        <f t="shared" ref="D101:N101" si="31">$G$3</f>
        <v>1</v>
      </c>
      <c r="E101" s="1113">
        <f t="shared" si="31"/>
        <v>1</v>
      </c>
      <c r="F101" s="1113">
        <f t="shared" si="31"/>
        <v>1</v>
      </c>
      <c r="G101" s="1113">
        <f t="shared" si="31"/>
        <v>1</v>
      </c>
      <c r="H101" s="1113">
        <f t="shared" si="31"/>
        <v>1</v>
      </c>
      <c r="I101" s="1113">
        <f t="shared" si="31"/>
        <v>1</v>
      </c>
      <c r="J101" s="1113">
        <f t="shared" si="31"/>
        <v>1</v>
      </c>
      <c r="K101" s="1113">
        <f t="shared" si="31"/>
        <v>1</v>
      </c>
      <c r="L101" s="1113">
        <f t="shared" si="31"/>
        <v>1</v>
      </c>
      <c r="M101" s="1113">
        <f t="shared" si="31"/>
        <v>1</v>
      </c>
      <c r="N101" s="1113">
        <f t="shared" si="31"/>
        <v>1</v>
      </c>
    </row>
    <row r="102" spans="1:14">
      <c r="A102" s="3743"/>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743"/>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743"/>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743"/>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743"/>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743"/>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743"/>
      <c r="B108" s="3745"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44"/>
      <c r="B109" s="3746"/>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728" t="s">
        <v>1614</v>
      </c>
      <c r="B110" s="3728"/>
      <c r="C110" s="3728"/>
      <c r="D110" s="3728"/>
      <c r="E110" s="3728"/>
      <c r="F110" s="3728"/>
      <c r="G110" s="3728"/>
      <c r="H110" s="3728"/>
      <c r="I110" s="3728"/>
      <c r="J110" s="3728"/>
      <c r="K110" s="2274"/>
      <c r="L110" s="2274"/>
      <c r="M110" s="2274"/>
      <c r="N110" s="2274"/>
    </row>
    <row r="112" spans="1:14" ht="12.75" thickBot="1"/>
    <row r="113" spans="1:13" ht="25.5" thickBot="1">
      <c r="A113" s="985" t="s">
        <v>871</v>
      </c>
      <c r="B113" s="2277">
        <f>G3</f>
        <v>1</v>
      </c>
      <c r="C113" s="986" t="s">
        <v>872</v>
      </c>
      <c r="D113" s="987">
        <f>SUMPRODUCT((A115:A118=F113)*(B114:M114=H113)*B115:M118)</f>
        <v>0.75539999999999996</v>
      </c>
      <c r="E113" s="988" t="s">
        <v>873</v>
      </c>
      <c r="F113" s="989" t="str">
        <f>E2</f>
        <v>办公</v>
      </c>
      <c r="G113" s="988" t="s">
        <v>874</v>
      </c>
      <c r="H113" s="989" t="str">
        <f>G2</f>
        <v>九级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3">I115</f>
        <v>0.67349999999999999</v>
      </c>
      <c r="K115" s="999">
        <f t="shared" si="33"/>
        <v>0.67349999999999999</v>
      </c>
      <c r="L115" s="999">
        <f t="shared" si="33"/>
        <v>0.67349999999999999</v>
      </c>
      <c r="M115" s="1000">
        <f t="shared" si="33"/>
        <v>0.67349999999999999</v>
      </c>
    </row>
    <row r="116" spans="1:13" ht="12.75">
      <c r="A116" s="998" t="s">
        <v>876</v>
      </c>
      <c r="B116" s="999">
        <f>ROUND(0.949-0.012*B113,4)</f>
        <v>0.93700000000000006</v>
      </c>
      <c r="C116" s="999">
        <f>B116</f>
        <v>0.93700000000000006</v>
      </c>
      <c r="D116" s="999">
        <f>ROUND(0.8567-0.013*B113,4)</f>
        <v>0.84370000000000001</v>
      </c>
      <c r="E116" s="999">
        <f t="shared" ref="E116:H117" si="34">D116</f>
        <v>0.84370000000000001</v>
      </c>
      <c r="F116" s="999">
        <f t="shared" si="34"/>
        <v>0.84370000000000001</v>
      </c>
      <c r="G116" s="999">
        <f t="shared" si="34"/>
        <v>0.84370000000000001</v>
      </c>
      <c r="H116" s="999">
        <f t="shared" si="34"/>
        <v>0.84370000000000001</v>
      </c>
      <c r="I116" s="999">
        <f>ROUND(0.7694-0.014*B113,4)</f>
        <v>0.75539999999999996</v>
      </c>
      <c r="J116" s="999">
        <f t="shared" si="33"/>
        <v>0.75539999999999996</v>
      </c>
      <c r="K116" s="999">
        <f t="shared" si="33"/>
        <v>0.75539999999999996</v>
      </c>
      <c r="L116" s="999">
        <f t="shared" si="33"/>
        <v>0.75539999999999996</v>
      </c>
      <c r="M116" s="1000">
        <f t="shared" si="33"/>
        <v>0.75539999999999996</v>
      </c>
    </row>
    <row r="117" spans="1:13" ht="12.75">
      <c r="A117" s="1001" t="s">
        <v>877</v>
      </c>
      <c r="B117" s="999">
        <f>ROUND(0.8808-0.006*B113,4)</f>
        <v>0.87480000000000002</v>
      </c>
      <c r="C117" s="999">
        <f>B117</f>
        <v>0.87480000000000002</v>
      </c>
      <c r="D117" s="999">
        <f>ROUND(0.8748-0.008*B113,4)</f>
        <v>0.86680000000000001</v>
      </c>
      <c r="E117" s="999">
        <f t="shared" si="34"/>
        <v>0.86680000000000001</v>
      </c>
      <c r="F117" s="999">
        <f t="shared" si="34"/>
        <v>0.86680000000000001</v>
      </c>
      <c r="G117" s="999">
        <f t="shared" si="34"/>
        <v>0.86680000000000001</v>
      </c>
      <c r="H117" s="999">
        <f t="shared" si="34"/>
        <v>0.86680000000000001</v>
      </c>
      <c r="I117" s="999">
        <f>ROUND(0.7412-0.0095*B113,4)</f>
        <v>0.73170000000000002</v>
      </c>
      <c r="J117" s="999">
        <f t="shared" si="33"/>
        <v>0.73170000000000002</v>
      </c>
      <c r="K117" s="999">
        <f t="shared" si="33"/>
        <v>0.73170000000000002</v>
      </c>
      <c r="L117" s="999">
        <f t="shared" si="33"/>
        <v>0.73170000000000002</v>
      </c>
      <c r="M117" s="1000">
        <f t="shared" si="33"/>
        <v>0.73170000000000002</v>
      </c>
    </row>
    <row r="118" spans="1:13" ht="13.5" thickBot="1">
      <c r="A118" s="1002" t="s">
        <v>878</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3"/>
        <v>0.55310000000000004</v>
      </c>
      <c r="K118" s="1003">
        <f t="shared" si="33"/>
        <v>0.55310000000000004</v>
      </c>
      <c r="L118" s="1003">
        <f t="shared" si="33"/>
        <v>0.55310000000000004</v>
      </c>
      <c r="M118" s="1004">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2920</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 t="shared" ref="J15:M15" si="1">SUM(J6:J10,J13)</f>
        <v>155</v>
      </c>
      <c r="K15" s="2757">
        <f t="shared" si="1"/>
        <v>155</v>
      </c>
      <c r="L15" s="2757">
        <f t="shared" si="1"/>
        <v>155</v>
      </c>
      <c r="M15" s="2757">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3735" t="s">
        <v>982</v>
      </c>
      <c r="B18" s="1119" t="s">
        <v>1421</v>
      </c>
      <c r="C18" s="1096" t="s">
        <v>1422</v>
      </c>
      <c r="D18" s="1097"/>
      <c r="E18" s="1119">
        <v>1</v>
      </c>
      <c r="F18" s="1098" t="s">
        <v>1423</v>
      </c>
      <c r="G18" s="1099"/>
      <c r="H18" s="1070"/>
      <c r="I18" s="1070"/>
    </row>
    <row r="19" spans="1:9" s="1504" customFormat="1" ht="19.5" customHeight="1">
      <c r="A19" s="3735"/>
      <c r="B19" s="3735" t="s">
        <v>1424</v>
      </c>
      <c r="C19" s="1096" t="s">
        <v>1425</v>
      </c>
      <c r="D19" s="1097"/>
      <c r="E19" s="1119">
        <v>0.9</v>
      </c>
      <c r="F19" s="1098" t="s">
        <v>1426</v>
      </c>
      <c r="G19" s="1099"/>
      <c r="H19" s="1070"/>
      <c r="I19" s="1070"/>
    </row>
    <row r="20" spans="1:9" s="1504" customFormat="1" ht="19.5" customHeight="1">
      <c r="A20" s="3735"/>
      <c r="B20" s="3735"/>
      <c r="C20" s="1096" t="s">
        <v>1427</v>
      </c>
      <c r="D20" s="1097"/>
      <c r="E20" s="1119">
        <v>1.1000000000000001</v>
      </c>
      <c r="F20" s="1098" t="s">
        <v>1428</v>
      </c>
      <c r="G20" s="1099"/>
      <c r="H20" s="1070"/>
      <c r="I20" s="1070"/>
    </row>
    <row r="21" spans="1:9" s="1504" customFormat="1" ht="19.5" customHeight="1">
      <c r="A21" s="3735"/>
      <c r="B21" s="3735"/>
      <c r="C21" s="1096" t="s">
        <v>1429</v>
      </c>
      <c r="D21" s="1097"/>
      <c r="E21" s="1119">
        <v>0.8</v>
      </c>
      <c r="F21" s="1098" t="s">
        <v>1430</v>
      </c>
      <c r="G21" s="1099"/>
      <c r="H21" s="1070"/>
      <c r="I21" s="1070"/>
    </row>
    <row r="22" spans="1:9" s="1504" customFormat="1" ht="19.5" customHeight="1">
      <c r="A22" s="3735"/>
      <c r="B22" s="3735"/>
      <c r="C22" s="1096" t="s">
        <v>1431</v>
      </c>
      <c r="D22" s="1097"/>
      <c r="E22" s="1119">
        <v>0.5</v>
      </c>
      <c r="F22" s="1098"/>
      <c r="G22" s="1099"/>
      <c r="H22" s="1070"/>
      <c r="I22" s="1070"/>
    </row>
    <row r="23" spans="1:9" s="1504" customFormat="1" ht="19.5" customHeight="1">
      <c r="A23" s="3735" t="s">
        <v>1004</v>
      </c>
      <c r="B23" s="1119" t="s">
        <v>1421</v>
      </c>
      <c r="C23" s="1096" t="s">
        <v>1432</v>
      </c>
      <c r="D23" s="1097"/>
      <c r="E23" s="1119">
        <v>1</v>
      </c>
      <c r="F23" s="1098" t="s">
        <v>1433</v>
      </c>
      <c r="G23" s="1099"/>
      <c r="H23" s="1070"/>
      <c r="I23" s="1070"/>
    </row>
    <row r="24" spans="1:9" s="1504" customFormat="1" ht="19.5" customHeight="1">
      <c r="A24" s="3735"/>
      <c r="B24" s="3735" t="s">
        <v>1424</v>
      </c>
      <c r="C24" s="1096" t="s">
        <v>1434</v>
      </c>
      <c r="D24" s="1097"/>
      <c r="E24" s="1119">
        <v>0.5</v>
      </c>
      <c r="F24" s="1098"/>
      <c r="G24" s="1099"/>
      <c r="H24" s="1070"/>
      <c r="I24" s="1070"/>
    </row>
    <row r="25" spans="1:9" s="1504" customFormat="1" ht="19.5" customHeight="1">
      <c r="A25" s="3735"/>
      <c r="B25" s="3735"/>
      <c r="C25" s="1096" t="s">
        <v>1435</v>
      </c>
      <c r="D25" s="1097"/>
      <c r="E25" s="1119">
        <v>1.1000000000000001</v>
      </c>
      <c r="F25" s="1098"/>
      <c r="G25" s="1099"/>
      <c r="H25" s="1070"/>
      <c r="I25" s="1070"/>
    </row>
    <row r="26" spans="1:9" s="1504" customFormat="1" ht="19.5" customHeight="1">
      <c r="A26" s="3735"/>
      <c r="B26" s="3735"/>
      <c r="C26" s="1096" t="s">
        <v>1436</v>
      </c>
      <c r="D26" s="1097"/>
      <c r="E26" s="1119">
        <v>1.1000000000000001</v>
      </c>
      <c r="F26" s="1098"/>
      <c r="G26" s="1099"/>
      <c r="H26" s="1070"/>
      <c r="I26" s="1070"/>
    </row>
    <row r="27" spans="1:9" s="1504" customFormat="1" ht="19.5" customHeight="1">
      <c r="A27" s="3735"/>
      <c r="B27" s="3735"/>
      <c r="C27" s="1096" t="s">
        <v>1437</v>
      </c>
      <c r="D27" s="1097"/>
      <c r="E27" s="1119">
        <v>0.9</v>
      </c>
      <c r="F27" s="1098" t="s">
        <v>1438</v>
      </c>
      <c r="G27" s="1099"/>
      <c r="H27" s="1070"/>
      <c r="I27" s="1070"/>
    </row>
    <row r="28" spans="1:9" s="1504" customFormat="1" ht="19.5" customHeight="1">
      <c r="A28" s="3735"/>
      <c r="B28" s="3735"/>
      <c r="C28" s="1096" t="s">
        <v>1439</v>
      </c>
      <c r="D28" s="1097"/>
      <c r="E28" s="1119">
        <v>0.9</v>
      </c>
      <c r="F28" s="1098" t="s">
        <v>1440</v>
      </c>
      <c r="G28" s="1099"/>
      <c r="H28" s="1070"/>
      <c r="I28" s="1070"/>
    </row>
    <row r="29" spans="1:9" s="1504" customFormat="1" ht="19.5" customHeight="1">
      <c r="A29" s="3735"/>
      <c r="B29" s="3735"/>
      <c r="C29" s="1096" t="s">
        <v>1441</v>
      </c>
      <c r="D29" s="1097"/>
      <c r="E29" s="1119">
        <v>0.9</v>
      </c>
      <c r="F29" s="1098" t="s">
        <v>1442</v>
      </c>
      <c r="G29" s="1099"/>
      <c r="H29" s="1070"/>
      <c r="I29" s="1070"/>
    </row>
    <row r="30" spans="1:9" s="1504" customFormat="1" ht="19.5" customHeight="1">
      <c r="A30" s="3735"/>
      <c r="B30" s="3735"/>
      <c r="C30" s="1096" t="s">
        <v>1443</v>
      </c>
      <c r="D30" s="1097"/>
      <c r="E30" s="1119">
        <v>0.9</v>
      </c>
      <c r="F30" s="1098" t="s">
        <v>1444</v>
      </c>
      <c r="G30" s="1099"/>
      <c r="H30" s="1070"/>
      <c r="I30" s="1070"/>
    </row>
    <row r="31" spans="1:9" s="1504" customFormat="1" ht="19.5" customHeight="1">
      <c r="A31" s="3735"/>
      <c r="B31" s="3735"/>
      <c r="C31" s="1096" t="s">
        <v>1445</v>
      </c>
      <c r="D31" s="1097"/>
      <c r="E31" s="1119">
        <v>0.8</v>
      </c>
      <c r="F31" s="1098" t="s">
        <v>1446</v>
      </c>
      <c r="G31" s="1099"/>
      <c r="H31" s="1070"/>
      <c r="I31" s="1070"/>
    </row>
    <row r="32" spans="1:9" s="1504" customFormat="1" ht="19.5" customHeight="1">
      <c r="A32" s="3735"/>
      <c r="B32" s="3735"/>
      <c r="C32" s="1096" t="s">
        <v>1447</v>
      </c>
      <c r="D32" s="1097"/>
      <c r="E32" s="1119">
        <v>0.8</v>
      </c>
      <c r="F32" s="1098" t="s">
        <v>1448</v>
      </c>
      <c r="G32" s="1099"/>
      <c r="H32" s="1070"/>
      <c r="I32" s="1070"/>
    </row>
    <row r="33" spans="1:9" s="1504" customFormat="1" ht="19.5" customHeight="1">
      <c r="A33" s="3735" t="s">
        <v>1449</v>
      </c>
      <c r="B33" s="1119" t="s">
        <v>1421</v>
      </c>
      <c r="C33" s="1096" t="s">
        <v>1450</v>
      </c>
      <c r="D33" s="1097"/>
      <c r="E33" s="1119">
        <v>1</v>
      </c>
      <c r="F33" s="1098" t="s">
        <v>1451</v>
      </c>
      <c r="G33" s="1099"/>
      <c r="H33" s="1070"/>
      <c r="I33" s="1070"/>
    </row>
    <row r="34" spans="1:9" s="1504" customFormat="1" ht="19.5" customHeight="1">
      <c r="A34" s="3735"/>
      <c r="B34" s="1119" t="s">
        <v>1424</v>
      </c>
      <c r="C34" s="1096" t="s">
        <v>1452</v>
      </c>
      <c r="D34" s="1097"/>
      <c r="E34" s="1119">
        <v>1.5</v>
      </c>
      <c r="F34" s="1098" t="s">
        <v>1453</v>
      </c>
      <c r="G34" s="1099"/>
      <c r="H34" s="1070"/>
      <c r="I34" s="1070"/>
    </row>
    <row r="35" spans="1:9" s="1504" customFormat="1" ht="19.5" customHeight="1">
      <c r="A35" s="3735" t="s">
        <v>1407</v>
      </c>
      <c r="B35" s="1119" t="s">
        <v>1421</v>
      </c>
      <c r="C35" s="1096" t="s">
        <v>1454</v>
      </c>
      <c r="D35" s="1097"/>
      <c r="E35" s="1119">
        <v>1</v>
      </c>
      <c r="F35" s="1098" t="s">
        <v>1455</v>
      </c>
      <c r="G35" s="1099"/>
      <c r="H35" s="1070"/>
      <c r="I35" s="1070"/>
    </row>
    <row r="36" spans="1:9" s="1504" customFormat="1" ht="19.5" customHeight="1">
      <c r="A36" s="3735"/>
      <c r="B36" s="3735" t="s">
        <v>1424</v>
      </c>
      <c r="C36" s="1096" t="s">
        <v>1456</v>
      </c>
      <c r="D36" s="1097"/>
      <c r="E36" s="1119">
        <v>1</v>
      </c>
      <c r="F36" s="1098" t="s">
        <v>1457</v>
      </c>
      <c r="G36" s="1099"/>
      <c r="H36" s="1070"/>
      <c r="I36" s="1070"/>
    </row>
    <row r="37" spans="1:9" s="1504" customFormat="1" ht="19.5" customHeight="1">
      <c r="A37" s="3735"/>
      <c r="B37" s="3735"/>
      <c r="C37" s="1096" t="s">
        <v>1458</v>
      </c>
      <c r="D37" s="1097"/>
      <c r="E37" s="1119">
        <v>1.5</v>
      </c>
      <c r="F37" s="1098" t="s">
        <v>1459</v>
      </c>
      <c r="G37" s="1099"/>
      <c r="H37" s="1070"/>
      <c r="I37" s="1070"/>
    </row>
    <row r="38" spans="1:9" s="1504" customFormat="1" ht="19.5" customHeight="1">
      <c r="A38" s="3735"/>
      <c r="B38" s="3735"/>
      <c r="C38" s="1096" t="s">
        <v>1460</v>
      </c>
      <c r="D38" s="1097"/>
      <c r="E38" s="1119">
        <v>1</v>
      </c>
      <c r="F38" s="1098" t="s">
        <v>1461</v>
      </c>
      <c r="G38" s="1099"/>
      <c r="H38" s="1070"/>
      <c r="I38" s="1070"/>
    </row>
    <row r="39" spans="1:9" s="1504" customFormat="1" ht="19.5" customHeight="1">
      <c r="A39" s="3735"/>
      <c r="B39" s="3735"/>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3735" t="s">
        <v>1476</v>
      </c>
      <c r="C61" s="1033" t="s">
        <v>1477</v>
      </c>
      <c r="D61" s="1033" t="s">
        <v>1478</v>
      </c>
      <c r="E61" s="1104">
        <v>0.5</v>
      </c>
      <c r="F61" s="1119">
        <v>80</v>
      </c>
      <c r="H61" s="1070">
        <f>SUMIF(C59:C119,基准地价!C8,E59:E119)</f>
        <v>0</v>
      </c>
    </row>
    <row r="62" spans="1:8" s="1070" customFormat="1" ht="24">
      <c r="A62" s="1119">
        <v>2</v>
      </c>
      <c r="B62" s="3735"/>
      <c r="C62" s="1033" t="s">
        <v>1479</v>
      </c>
      <c r="D62" s="1033" t="s">
        <v>1480</v>
      </c>
      <c r="E62" s="1104">
        <v>0.5</v>
      </c>
      <c r="F62" s="1119">
        <v>80</v>
      </c>
    </row>
    <row r="63" spans="1:8" s="1070" customFormat="1" ht="36">
      <c r="A63" s="1119">
        <v>3</v>
      </c>
      <c r="B63" s="3735"/>
      <c r="C63" s="1033" t="s">
        <v>1481</v>
      </c>
      <c r="D63" s="1033" t="s">
        <v>1482</v>
      </c>
      <c r="E63" s="1104">
        <v>0.5</v>
      </c>
      <c r="F63" s="1119">
        <v>80</v>
      </c>
    </row>
    <row r="64" spans="1:8" s="1070" customFormat="1" ht="36">
      <c r="A64" s="1119">
        <v>4</v>
      </c>
      <c r="B64" s="3735"/>
      <c r="C64" s="1033" t="s">
        <v>1483</v>
      </c>
      <c r="D64" s="1033" t="s">
        <v>1484</v>
      </c>
      <c r="E64" s="1104">
        <v>0.4</v>
      </c>
      <c r="F64" s="1119">
        <v>60</v>
      </c>
    </row>
    <row r="65" spans="1:6" s="1070" customFormat="1" ht="36">
      <c r="A65" s="1119">
        <v>5</v>
      </c>
      <c r="B65" s="3735"/>
      <c r="C65" s="1033" t="s">
        <v>1485</v>
      </c>
      <c r="D65" s="1033" t="s">
        <v>1486</v>
      </c>
      <c r="E65" s="1104">
        <v>0.2</v>
      </c>
      <c r="F65" s="1119">
        <v>30</v>
      </c>
    </row>
    <row r="66" spans="1:6" s="1070" customFormat="1" ht="36">
      <c r="A66" s="1119">
        <v>6</v>
      </c>
      <c r="B66" s="3735"/>
      <c r="C66" s="1033" t="s">
        <v>1487</v>
      </c>
      <c r="D66" s="1033" t="s">
        <v>1488</v>
      </c>
      <c r="E66" s="1104">
        <v>0.3</v>
      </c>
      <c r="F66" s="1119">
        <v>50</v>
      </c>
    </row>
    <row r="67" spans="1:6" s="1070" customFormat="1" ht="36">
      <c r="A67" s="1119">
        <v>7</v>
      </c>
      <c r="B67" s="3735"/>
      <c r="C67" s="1033" t="s">
        <v>1489</v>
      </c>
      <c r="D67" s="1033" t="s">
        <v>1490</v>
      </c>
      <c r="E67" s="1104">
        <v>0.2</v>
      </c>
      <c r="F67" s="1119">
        <v>30</v>
      </c>
    </row>
    <row r="68" spans="1:6" s="1070" customFormat="1" ht="36">
      <c r="A68" s="1119">
        <v>8</v>
      </c>
      <c r="B68" s="3735"/>
      <c r="C68" s="1033" t="s">
        <v>1491</v>
      </c>
      <c r="D68" s="1033" t="s">
        <v>1492</v>
      </c>
      <c r="E68" s="1104">
        <v>0.2</v>
      </c>
      <c r="F68" s="1119">
        <v>30</v>
      </c>
    </row>
    <row r="69" spans="1:6" s="1070" customFormat="1" ht="36">
      <c r="A69" s="1119">
        <v>9</v>
      </c>
      <c r="B69" s="3735"/>
      <c r="C69" s="1033" t="s">
        <v>1493</v>
      </c>
      <c r="D69" s="1033" t="s">
        <v>1494</v>
      </c>
      <c r="E69" s="1104">
        <v>0.2</v>
      </c>
      <c r="F69" s="1119">
        <v>30</v>
      </c>
    </row>
    <row r="70" spans="1:6" s="1070" customFormat="1" ht="48">
      <c r="A70" s="1119">
        <v>10</v>
      </c>
      <c r="B70" s="3735"/>
      <c r="C70" s="1033" t="s">
        <v>1495</v>
      </c>
      <c r="D70" s="1033" t="s">
        <v>1496</v>
      </c>
      <c r="E70" s="1104">
        <v>0.2</v>
      </c>
      <c r="F70" s="1119">
        <v>30</v>
      </c>
    </row>
    <row r="71" spans="1:6" s="1070" customFormat="1" ht="48">
      <c r="A71" s="1119">
        <v>11</v>
      </c>
      <c r="B71" s="3735"/>
      <c r="C71" s="1033" t="s">
        <v>1497</v>
      </c>
      <c r="D71" s="1033" t="s">
        <v>1498</v>
      </c>
      <c r="E71" s="1104">
        <v>0.2</v>
      </c>
      <c r="F71" s="1119">
        <v>30</v>
      </c>
    </row>
    <row r="72" spans="1:6" s="1070" customFormat="1" ht="36">
      <c r="A72" s="1119">
        <v>12</v>
      </c>
      <c r="B72" s="3735"/>
      <c r="C72" s="1033" t="s">
        <v>1499</v>
      </c>
      <c r="D72" s="1033" t="s">
        <v>1500</v>
      </c>
      <c r="E72" s="1104">
        <v>0.5</v>
      </c>
      <c r="F72" s="1119">
        <v>80</v>
      </c>
    </row>
    <row r="73" spans="1:6" s="1070" customFormat="1" ht="24">
      <c r="A73" s="1119">
        <v>13</v>
      </c>
      <c r="B73" s="3735"/>
      <c r="C73" s="1033" t="s">
        <v>1501</v>
      </c>
      <c r="D73" s="1033" t="s">
        <v>1502</v>
      </c>
      <c r="E73" s="1104">
        <v>0.4</v>
      </c>
      <c r="F73" s="1119">
        <v>60</v>
      </c>
    </row>
    <row r="74" spans="1:6" s="1070" customFormat="1" ht="24">
      <c r="A74" s="1119">
        <v>14</v>
      </c>
      <c r="B74" s="3735"/>
      <c r="C74" s="1033" t="s">
        <v>1503</v>
      </c>
      <c r="D74" s="1033" t="s">
        <v>1504</v>
      </c>
      <c r="E74" s="1104">
        <v>0.2</v>
      </c>
      <c r="F74" s="1119">
        <v>30</v>
      </c>
    </row>
    <row r="75" spans="1:6" s="1070" customFormat="1" ht="24">
      <c r="A75" s="1119">
        <v>15</v>
      </c>
      <c r="B75" s="3735"/>
      <c r="C75" s="1033" t="s">
        <v>1505</v>
      </c>
      <c r="D75" s="1033" t="s">
        <v>1506</v>
      </c>
      <c r="E75" s="1104">
        <v>0.2</v>
      </c>
      <c r="F75" s="1119">
        <v>30</v>
      </c>
    </row>
    <row r="76" spans="1:6" s="1070" customFormat="1" ht="24">
      <c r="A76" s="1119">
        <v>16</v>
      </c>
      <c r="B76" s="3735" t="s">
        <v>1507</v>
      </c>
      <c r="C76" s="1033" t="s">
        <v>1508</v>
      </c>
      <c r="D76" s="1033" t="s">
        <v>1509</v>
      </c>
      <c r="E76" s="1104">
        <v>0.5</v>
      </c>
      <c r="F76" s="1119">
        <v>80</v>
      </c>
    </row>
    <row r="77" spans="1:6" s="1070" customFormat="1" ht="24">
      <c r="A77" s="1119">
        <v>17</v>
      </c>
      <c r="B77" s="3735"/>
      <c r="C77" s="1033" t="s">
        <v>1510</v>
      </c>
      <c r="D77" s="1033" t="s">
        <v>1511</v>
      </c>
      <c r="E77" s="1104">
        <v>0.5</v>
      </c>
      <c r="F77" s="1119">
        <v>80</v>
      </c>
    </row>
    <row r="78" spans="1:6" s="1070" customFormat="1" ht="24">
      <c r="A78" s="1119">
        <v>18</v>
      </c>
      <c r="B78" s="3735"/>
      <c r="C78" s="1033" t="s">
        <v>1512</v>
      </c>
      <c r="D78" s="1033" t="s">
        <v>1513</v>
      </c>
      <c r="E78" s="1104">
        <v>0.2</v>
      </c>
      <c r="F78" s="1119">
        <v>30</v>
      </c>
    </row>
    <row r="79" spans="1:6" s="1070" customFormat="1" ht="24">
      <c r="A79" s="1119">
        <v>19</v>
      </c>
      <c r="B79" s="3735"/>
      <c r="C79" s="1033" t="s">
        <v>1514</v>
      </c>
      <c r="D79" s="1033" t="s">
        <v>1515</v>
      </c>
      <c r="E79" s="1104">
        <v>0.5</v>
      </c>
      <c r="F79" s="1119">
        <v>80</v>
      </c>
    </row>
    <row r="80" spans="1:6" s="1070" customFormat="1" ht="36">
      <c r="A80" s="1119">
        <v>20</v>
      </c>
      <c r="B80" s="3735"/>
      <c r="C80" s="1033" t="s">
        <v>1516</v>
      </c>
      <c r="D80" s="1033" t="s">
        <v>1517</v>
      </c>
      <c r="E80" s="1104">
        <v>0.2</v>
      </c>
      <c r="F80" s="1119">
        <v>30</v>
      </c>
    </row>
    <row r="81" spans="1:6" s="1070" customFormat="1" ht="36">
      <c r="A81" s="1119">
        <v>21</v>
      </c>
      <c r="B81" s="3735"/>
      <c r="C81" s="1033" t="s">
        <v>1518</v>
      </c>
      <c r="D81" s="1033" t="s">
        <v>1519</v>
      </c>
      <c r="E81" s="1104">
        <v>0.2</v>
      </c>
      <c r="F81" s="1119">
        <v>30</v>
      </c>
    </row>
    <row r="82" spans="1:6" s="1070" customFormat="1" ht="48">
      <c r="A82" s="1119">
        <v>22</v>
      </c>
      <c r="B82" s="3735"/>
      <c r="C82" s="1033" t="s">
        <v>1520</v>
      </c>
      <c r="D82" s="1033" t="s">
        <v>1521</v>
      </c>
      <c r="E82" s="1104">
        <v>0.2</v>
      </c>
      <c r="F82" s="1119">
        <v>30</v>
      </c>
    </row>
    <row r="83" spans="1:6" s="1070" customFormat="1" ht="48">
      <c r="A83" s="1119">
        <v>23</v>
      </c>
      <c r="B83" s="3735"/>
      <c r="C83" s="1033" t="s">
        <v>1522</v>
      </c>
      <c r="D83" s="1033" t="s">
        <v>1523</v>
      </c>
      <c r="E83" s="1104">
        <v>0.2</v>
      </c>
      <c r="F83" s="1119">
        <v>30</v>
      </c>
    </row>
    <row r="84" spans="1:6" s="1070" customFormat="1" ht="36">
      <c r="A84" s="1119">
        <v>24</v>
      </c>
      <c r="B84" s="3735"/>
      <c r="C84" s="1033" t="s">
        <v>1524</v>
      </c>
      <c r="D84" s="1033" t="s">
        <v>1525</v>
      </c>
      <c r="E84" s="1104">
        <v>0.2</v>
      </c>
      <c r="F84" s="1119">
        <v>30</v>
      </c>
    </row>
    <row r="85" spans="1:6" s="1070" customFormat="1" ht="36">
      <c r="A85" s="1119">
        <v>25</v>
      </c>
      <c r="B85" s="3735"/>
      <c r="C85" s="1033" t="s">
        <v>1526</v>
      </c>
      <c r="D85" s="1033" t="s">
        <v>1527</v>
      </c>
      <c r="E85" s="1104">
        <v>0.5</v>
      </c>
      <c r="F85" s="1119">
        <v>80</v>
      </c>
    </row>
    <row r="86" spans="1:6" s="1070" customFormat="1" ht="36">
      <c r="A86" s="1119">
        <v>26</v>
      </c>
      <c r="B86" s="3735"/>
      <c r="C86" s="1033" t="s">
        <v>1528</v>
      </c>
      <c r="D86" s="1033" t="s">
        <v>1529</v>
      </c>
      <c r="E86" s="1104">
        <v>0.2</v>
      </c>
      <c r="F86" s="1119">
        <v>30</v>
      </c>
    </row>
    <row r="87" spans="1:6" s="1070" customFormat="1" ht="36">
      <c r="A87" s="1119">
        <v>27</v>
      </c>
      <c r="B87" s="3735"/>
      <c r="C87" s="1033" t="s">
        <v>1530</v>
      </c>
      <c r="D87" s="1033" t="s">
        <v>1531</v>
      </c>
      <c r="E87" s="1104">
        <v>0.2</v>
      </c>
      <c r="F87" s="1119">
        <v>30</v>
      </c>
    </row>
    <row r="88" spans="1:6" s="1070" customFormat="1" ht="36">
      <c r="A88" s="1119">
        <v>28</v>
      </c>
      <c r="B88" s="3735"/>
      <c r="C88" s="1033" t="s">
        <v>1532</v>
      </c>
      <c r="D88" s="1033" t="s">
        <v>1533</v>
      </c>
      <c r="E88" s="1104">
        <v>0.2</v>
      </c>
      <c r="F88" s="1119">
        <v>30</v>
      </c>
    </row>
    <row r="89" spans="1:6" s="1070" customFormat="1" ht="24">
      <c r="A89" s="1119">
        <v>29</v>
      </c>
      <c r="B89" s="3735"/>
      <c r="C89" s="1033" t="s">
        <v>1534</v>
      </c>
      <c r="D89" s="1033" t="s">
        <v>1535</v>
      </c>
      <c r="E89" s="1104">
        <v>0.2</v>
      </c>
      <c r="F89" s="1119">
        <v>30</v>
      </c>
    </row>
    <row r="90" spans="1:6" s="1070" customFormat="1" ht="24">
      <c r="A90" s="1119">
        <v>30</v>
      </c>
      <c r="B90" s="3735"/>
      <c r="C90" s="1033" t="s">
        <v>1536</v>
      </c>
      <c r="D90" s="1033" t="s">
        <v>1537</v>
      </c>
      <c r="E90" s="1104">
        <v>0.2</v>
      </c>
      <c r="F90" s="1119">
        <v>30</v>
      </c>
    </row>
    <row r="91" spans="1:6" s="1070" customFormat="1" ht="36">
      <c r="A91" s="1119">
        <v>31</v>
      </c>
      <c r="B91" s="3735"/>
      <c r="C91" s="1033" t="s">
        <v>1538</v>
      </c>
      <c r="D91" s="1033" t="s">
        <v>1539</v>
      </c>
      <c r="E91" s="1104">
        <v>0.2</v>
      </c>
      <c r="F91" s="1119">
        <v>30</v>
      </c>
    </row>
    <row r="92" spans="1:6" s="1070" customFormat="1" ht="24">
      <c r="A92" s="1119">
        <v>32</v>
      </c>
      <c r="B92" s="3735" t="s">
        <v>1540</v>
      </c>
      <c r="C92" s="1119" t="s">
        <v>1541</v>
      </c>
      <c r="D92" s="1033" t="s">
        <v>1542</v>
      </c>
      <c r="E92" s="1104">
        <v>0.2</v>
      </c>
      <c r="F92" s="1119">
        <v>30</v>
      </c>
    </row>
    <row r="93" spans="1:6" s="1070" customFormat="1" ht="36">
      <c r="A93" s="1119">
        <v>33</v>
      </c>
      <c r="B93" s="3735"/>
      <c r="C93" s="1119" t="s">
        <v>1543</v>
      </c>
      <c r="D93" s="1033" t="s">
        <v>1544</v>
      </c>
      <c r="E93" s="1104">
        <v>0.2</v>
      </c>
      <c r="F93" s="1119">
        <v>30</v>
      </c>
    </row>
    <row r="94" spans="1:6" s="1070" customFormat="1" ht="48">
      <c r="A94" s="1119">
        <v>34</v>
      </c>
      <c r="B94" s="3735"/>
      <c r="C94" s="1119" t="s">
        <v>1545</v>
      </c>
      <c r="D94" s="1033" t="s">
        <v>1546</v>
      </c>
      <c r="E94" s="1104">
        <v>0.2</v>
      </c>
      <c r="F94" s="1119">
        <v>30</v>
      </c>
    </row>
    <row r="95" spans="1:6" s="1070" customFormat="1" ht="36">
      <c r="A95" s="1119">
        <v>35</v>
      </c>
      <c r="B95" s="3735"/>
      <c r="C95" s="1119" t="s">
        <v>1547</v>
      </c>
      <c r="D95" s="1033" t="s">
        <v>1548</v>
      </c>
      <c r="E95" s="1104">
        <v>0.2</v>
      </c>
      <c r="F95" s="1119">
        <v>30</v>
      </c>
    </row>
    <row r="96" spans="1:6" s="1070" customFormat="1" ht="48">
      <c r="A96" s="1119">
        <v>36</v>
      </c>
      <c r="B96" s="3735"/>
      <c r="C96" s="1033" t="s">
        <v>1549</v>
      </c>
      <c r="D96" s="1033" t="s">
        <v>1550</v>
      </c>
      <c r="E96" s="1104">
        <v>0.2</v>
      </c>
      <c r="F96" s="1119">
        <v>30</v>
      </c>
    </row>
    <row r="97" spans="1:6" s="1070" customFormat="1" ht="36">
      <c r="A97" s="1119">
        <v>37</v>
      </c>
      <c r="B97" s="3735"/>
      <c r="C97" s="1119" t="s">
        <v>1551</v>
      </c>
      <c r="D97" s="1033" t="s">
        <v>1552</v>
      </c>
      <c r="E97" s="1104">
        <v>0.2</v>
      </c>
      <c r="F97" s="1119">
        <v>30</v>
      </c>
    </row>
    <row r="98" spans="1:6" s="1070" customFormat="1" ht="36">
      <c r="A98" s="1119">
        <v>38</v>
      </c>
      <c r="B98" s="3735"/>
      <c r="C98" s="1119" t="s">
        <v>1553</v>
      </c>
      <c r="D98" s="1033" t="s">
        <v>1554</v>
      </c>
      <c r="E98" s="1104">
        <v>0.2</v>
      </c>
      <c r="F98" s="1119">
        <v>30</v>
      </c>
    </row>
    <row r="99" spans="1:6" s="1070" customFormat="1" ht="36">
      <c r="A99" s="1119">
        <v>39</v>
      </c>
      <c r="B99" s="3735" t="s">
        <v>1555</v>
      </c>
      <c r="C99" s="1119" t="s">
        <v>1556</v>
      </c>
      <c r="D99" s="1033" t="s">
        <v>1557</v>
      </c>
      <c r="E99" s="1104">
        <v>0.3</v>
      </c>
      <c r="F99" s="1119">
        <v>50</v>
      </c>
    </row>
    <row r="100" spans="1:6" s="1070" customFormat="1" ht="24">
      <c r="A100" s="1119">
        <v>40</v>
      </c>
      <c r="B100" s="3735"/>
      <c r="C100" s="1119" t="s">
        <v>1558</v>
      </c>
      <c r="D100" s="1033" t="s">
        <v>1559</v>
      </c>
      <c r="E100" s="1104">
        <v>0.2</v>
      </c>
      <c r="F100" s="1119">
        <v>30</v>
      </c>
    </row>
    <row r="101" spans="1:6" s="1070" customFormat="1" ht="36">
      <c r="A101" s="1119">
        <v>41</v>
      </c>
      <c r="B101" s="3735"/>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3735" t="s">
        <v>1570</v>
      </c>
      <c r="C105" s="1119" t="s">
        <v>1571</v>
      </c>
      <c r="D105" s="1033" t="s">
        <v>1572</v>
      </c>
      <c r="E105" s="1104">
        <v>0.2</v>
      </c>
      <c r="F105" s="1119">
        <v>30</v>
      </c>
    </row>
    <row r="106" spans="1:6" s="1070" customFormat="1" ht="36">
      <c r="A106" s="1119">
        <v>46</v>
      </c>
      <c r="B106" s="3735"/>
      <c r="C106" s="1119" t="s">
        <v>1573</v>
      </c>
      <c r="D106" s="1033" t="s">
        <v>1574</v>
      </c>
      <c r="E106" s="1104">
        <v>0.2</v>
      </c>
      <c r="F106" s="1119">
        <v>30</v>
      </c>
    </row>
    <row r="107" spans="1:6" s="1070" customFormat="1" ht="36">
      <c r="A107" s="1119">
        <v>47</v>
      </c>
      <c r="B107" s="3735" t="s">
        <v>1575</v>
      </c>
      <c r="C107" s="1119" t="s">
        <v>1576</v>
      </c>
      <c r="D107" s="1033" t="s">
        <v>1577</v>
      </c>
      <c r="E107" s="1104">
        <v>0.3</v>
      </c>
      <c r="F107" s="1119">
        <v>50</v>
      </c>
    </row>
    <row r="108" spans="1:6" s="1070" customFormat="1" ht="36">
      <c r="A108" s="1119">
        <v>48</v>
      </c>
      <c r="B108" s="3735"/>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3735" t="s">
        <v>1586</v>
      </c>
      <c r="C111" s="1119" t="s">
        <v>1587</v>
      </c>
      <c r="D111" s="1033" t="s">
        <v>1588</v>
      </c>
      <c r="E111" s="1104">
        <v>0.2</v>
      </c>
      <c r="F111" s="1119">
        <v>30</v>
      </c>
    </row>
    <row r="112" spans="1:6" s="1070" customFormat="1" ht="24">
      <c r="A112" s="1119">
        <v>52</v>
      </c>
      <c r="B112" s="3735"/>
      <c r="C112" s="1119" t="s">
        <v>1589</v>
      </c>
      <c r="D112" s="1033" t="s">
        <v>1590</v>
      </c>
      <c r="E112" s="1104">
        <v>0.2</v>
      </c>
      <c r="F112" s="1119">
        <v>30</v>
      </c>
    </row>
    <row r="113" spans="1:14" s="1070" customFormat="1" ht="24">
      <c r="A113" s="1119">
        <v>53</v>
      </c>
      <c r="B113" s="3735"/>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3735" t="s">
        <v>1599</v>
      </c>
      <c r="C116" s="1119" t="s">
        <v>1600</v>
      </c>
      <c r="D116" s="1033" t="s">
        <v>1601</v>
      </c>
      <c r="E116" s="1104">
        <v>0.2</v>
      </c>
      <c r="F116" s="1119">
        <v>30</v>
      </c>
    </row>
    <row r="117" spans="1:14" ht="36">
      <c r="A117" s="1119">
        <v>57</v>
      </c>
      <c r="B117" s="3735"/>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3734" t="s">
        <v>1608</v>
      </c>
      <c r="B121" s="3734"/>
      <c r="C121" s="3734"/>
      <c r="D121" s="3734"/>
      <c r="E121" s="3734"/>
      <c r="F121" s="3734"/>
      <c r="G121" s="3734"/>
      <c r="H121" s="3734"/>
      <c r="I121" s="3734"/>
      <c r="J121" s="3734"/>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49" t="s">
        <v>1014</v>
      </c>
      <c r="B1" s="3749"/>
      <c r="C1" s="3749"/>
      <c r="D1" s="3749"/>
      <c r="E1" s="3749"/>
      <c r="F1" s="3749"/>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3750" t="s">
        <v>1027</v>
      </c>
      <c r="B2" s="3750"/>
      <c r="C2" s="3750"/>
      <c r="D2" s="3750"/>
      <c r="E2" s="3750"/>
      <c r="F2" s="3750"/>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751"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752"/>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SUMPRODUCT((B5:B9=基准地价!I2)*(C3:F3=基准地价!E2)*(C5:F9))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SUMPRODUCT((B10:B28=基准地价!I2)*(C3:F3=基准地价!E2)*(C10:F28))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SUMPRODUCT((B29:B48=基准地价!I2)*(C3:F3=基准地价!E2)*(C29:F48))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SUMPRODUCT((B49:B75=基准地价!I2)*(C3:F3=基准地价!E2)*(C49:F75))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SUMPRODUCT((B76:B109=基准地价!I2)*(C3:F3=基准地价!E2)*(C76:F109))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SUMPRODUCT((B110:B157=基准地价!I2)*(C3:F3=基准地价!E2)*(C110:F157))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SUMPRODUCT((B158:B205=基准地价!I2)*(C3:F3=基准地价!E2)*(C158:F205))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SUMPRODUCT((B206:B244=基准地价!I2)*(C3:F3=基准地价!E2)*(C206:F244))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SUMPRODUCT((B245:B289=基准地价!I2)*(C3:F3=基准地价!E2)*(C245:F289))</f>
        <v>3430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SUMPRODUCT((B290:B316=基准地价!I2)*(C3:F3=基准地价!E2)*(C290:F316))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SUMPRODUCT((B317:B337=基准地价!I2)*(C3:F3=基准地价!E2)*(C317:F337))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SUMPRODUCT((B338:B344=基准地价!I2)*(C3:F3=基准地价!E2)*(C338:F344))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SUMPRODUCT((A105:A204=ROUNDDOWN(基准地价!G3,1))*(B104:M104=基准地价!G2)*(B105:M204))</f>
        <v>1.2383999999999999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753" t="s">
        <v>2046</v>
      </c>
      <c r="B1" s="3753"/>
    </row>
    <row r="2" spans="1:6" ht="14.25" thickBot="1">
      <c r="A2" s="1738"/>
      <c r="B2" s="1738"/>
    </row>
    <row r="3" spans="1:6" ht="14.25" thickBot="1">
      <c r="A3" s="1738"/>
      <c r="B3" s="1738"/>
      <c r="C3" s="1739" t="s">
        <v>2047</v>
      </c>
      <c r="D3" s="1739" t="s">
        <v>2048</v>
      </c>
      <c r="E3" s="1739" t="s">
        <v>2049</v>
      </c>
      <c r="F3" s="1739" t="s">
        <v>2050</v>
      </c>
    </row>
    <row r="4" spans="1:6" ht="14.25" thickBot="1">
      <c r="A4" s="1740" t="s">
        <v>2051</v>
      </c>
      <c r="B4" s="1741" t="s">
        <v>2052</v>
      </c>
      <c r="C4" s="1739"/>
      <c r="D4" s="1739"/>
      <c r="E4" s="1739"/>
      <c r="F4" s="1739"/>
    </row>
    <row r="5" spans="1:6" ht="14.25" thickBot="1">
      <c r="A5" s="1742" t="s">
        <v>2053</v>
      </c>
      <c r="B5" s="1743" t="s">
        <v>2054</v>
      </c>
      <c r="C5" s="1744">
        <v>8.8999999999999996E-2</v>
      </c>
      <c r="D5" s="1744">
        <v>7.3999999999999996E-2</v>
      </c>
      <c r="E5" s="1744">
        <v>7.4999999999999997E-2</v>
      </c>
      <c r="F5" s="1745">
        <v>0.1</v>
      </c>
    </row>
    <row r="6" spans="1:6" ht="14.25" thickBot="1">
      <c r="A6" s="1742" t="s">
        <v>1071</v>
      </c>
      <c r="B6" s="1746" t="s">
        <v>2055</v>
      </c>
      <c r="C6" s="1747">
        <v>0.1</v>
      </c>
      <c r="D6" s="1747">
        <v>9.0999999999999998E-2</v>
      </c>
      <c r="E6" s="1747">
        <v>9.0999999999999998E-2</v>
      </c>
      <c r="F6" s="1748">
        <v>0.1</v>
      </c>
    </row>
    <row r="7" spans="1:6" ht="14.25" thickBot="1">
      <c r="A7" s="1742" t="s">
        <v>1071</v>
      </c>
      <c r="B7" s="1749" t="s">
        <v>1059</v>
      </c>
      <c r="C7" s="1747">
        <v>8.5999999999999993E-2</v>
      </c>
      <c r="D7" s="1747">
        <v>9.6000000000000002E-2</v>
      </c>
      <c r="E7" s="1747">
        <v>7.5999999999999998E-2</v>
      </c>
      <c r="F7" s="1748">
        <v>0.1</v>
      </c>
    </row>
    <row r="8" spans="1:6" ht="14.25" thickBot="1">
      <c r="A8" s="1742" t="s">
        <v>1071</v>
      </c>
      <c r="B8" s="1746" t="s">
        <v>1072</v>
      </c>
      <c r="C8" s="1747">
        <v>9.9000000000000005E-2</v>
      </c>
      <c r="D8" s="1747">
        <v>9.8000000000000004E-2</v>
      </c>
      <c r="E8" s="1747">
        <v>9.8000000000000004E-2</v>
      </c>
      <c r="F8" s="1748">
        <v>0.1</v>
      </c>
    </row>
    <row r="9" spans="1:6" ht="14.25" thickBot="1">
      <c r="A9" s="1750" t="s">
        <v>1071</v>
      </c>
      <c r="B9" s="1751" t="s">
        <v>1086</v>
      </c>
      <c r="C9" s="1752">
        <v>0.05</v>
      </c>
      <c r="D9" s="1753"/>
      <c r="E9" s="1753"/>
      <c r="F9" s="1754"/>
    </row>
    <row r="10" spans="1:6" ht="14.25" thickBot="1">
      <c r="A10" s="1742" t="s">
        <v>1130</v>
      </c>
      <c r="B10" s="1743" t="s">
        <v>2056</v>
      </c>
      <c r="C10" s="1744">
        <v>8.8999999999999996E-2</v>
      </c>
      <c r="D10" s="1744">
        <v>7.2999999999999995E-2</v>
      </c>
      <c r="E10" s="1744">
        <v>8.2000000000000003E-2</v>
      </c>
      <c r="F10" s="1745">
        <v>0.1</v>
      </c>
    </row>
    <row r="11" spans="1:6" ht="14.25" thickBot="1">
      <c r="A11" s="1742" t="s">
        <v>1130</v>
      </c>
      <c r="B11" s="1749" t="s">
        <v>1046</v>
      </c>
      <c r="C11" s="1747">
        <v>8.8999999999999996E-2</v>
      </c>
      <c r="D11" s="1747">
        <v>7.2999999999999995E-2</v>
      </c>
      <c r="E11" s="1747">
        <v>8.2000000000000003E-2</v>
      </c>
      <c r="F11" s="1748">
        <v>0.1</v>
      </c>
    </row>
    <row r="12" spans="1:6" ht="14.25" thickBot="1">
      <c r="A12" s="1742" t="s">
        <v>1130</v>
      </c>
      <c r="B12" s="1749" t="s">
        <v>1060</v>
      </c>
      <c r="C12" s="1747">
        <v>6.0999999999999999E-2</v>
      </c>
      <c r="D12" s="1747">
        <v>7.0999999999999994E-2</v>
      </c>
      <c r="E12" s="1747">
        <v>9.6000000000000002E-2</v>
      </c>
      <c r="F12" s="1748">
        <v>0.1</v>
      </c>
    </row>
    <row r="13" spans="1:6" ht="14.25" thickBot="1">
      <c r="A13" s="1742" t="s">
        <v>1130</v>
      </c>
      <c r="B13" s="1749" t="s">
        <v>1073</v>
      </c>
      <c r="C13" s="1747">
        <v>6.9000000000000006E-2</v>
      </c>
      <c r="D13" s="1747">
        <v>6.5000000000000002E-2</v>
      </c>
      <c r="E13" s="1747">
        <v>6.6000000000000003E-2</v>
      </c>
      <c r="F13" s="1748">
        <v>0.1</v>
      </c>
    </row>
    <row r="14" spans="1:6" ht="14.25" thickBot="1">
      <c r="A14" s="1742" t="s">
        <v>1130</v>
      </c>
      <c r="B14" s="1749" t="s">
        <v>1087</v>
      </c>
      <c r="C14" s="1747">
        <v>0.1</v>
      </c>
      <c r="D14" s="1747">
        <v>6.5000000000000002E-2</v>
      </c>
      <c r="E14" s="1747">
        <v>7.0000000000000007E-2</v>
      </c>
      <c r="F14" s="1748">
        <v>0.1</v>
      </c>
    </row>
    <row r="15" spans="1:6" ht="14.25" thickBot="1">
      <c r="A15" s="1742" t="s">
        <v>1130</v>
      </c>
      <c r="B15" s="1749" t="s">
        <v>1098</v>
      </c>
      <c r="C15" s="1747">
        <v>9.8000000000000004E-2</v>
      </c>
      <c r="D15" s="1747">
        <v>8.8999999999999996E-2</v>
      </c>
      <c r="E15" s="1747">
        <v>8.8999999999999996E-2</v>
      </c>
      <c r="F15" s="1748">
        <v>0.1</v>
      </c>
    </row>
    <row r="16" spans="1:6" ht="14.25" thickBot="1">
      <c r="A16" s="1742" t="s">
        <v>1130</v>
      </c>
      <c r="B16" s="1749" t="s">
        <v>1109</v>
      </c>
      <c r="C16" s="1747">
        <v>7.0000000000000007E-2</v>
      </c>
      <c r="D16" s="1747">
        <v>9.2999999999999999E-2</v>
      </c>
      <c r="E16" s="1747">
        <v>9.6000000000000002E-2</v>
      </c>
      <c r="F16" s="1748">
        <v>0.1</v>
      </c>
    </row>
    <row r="17" spans="1:6" ht="14.25" thickBot="1">
      <c r="A17" s="1742" t="s">
        <v>1130</v>
      </c>
      <c r="B17" s="1749" t="s">
        <v>1120</v>
      </c>
      <c r="C17" s="1747">
        <v>9.5000000000000001E-2</v>
      </c>
      <c r="D17" s="1747">
        <v>0.1</v>
      </c>
      <c r="E17" s="1747">
        <v>0.1</v>
      </c>
      <c r="F17" s="1755"/>
    </row>
    <row r="18" spans="1:6" ht="14.25" thickBot="1">
      <c r="A18" s="1742" t="s">
        <v>1130</v>
      </c>
      <c r="B18" s="1749" t="s">
        <v>1132</v>
      </c>
      <c r="C18" s="1747">
        <v>7.3999999999999996E-2</v>
      </c>
      <c r="D18" s="1747">
        <v>9.9000000000000005E-2</v>
      </c>
      <c r="E18" s="1747">
        <v>0.1</v>
      </c>
      <c r="F18" s="1755"/>
    </row>
    <row r="19" spans="1:6" ht="14.25" thickBot="1">
      <c r="A19" s="1742" t="s">
        <v>1130</v>
      </c>
      <c r="B19" s="1749" t="s">
        <v>1142</v>
      </c>
      <c r="C19" s="1747">
        <v>9.9000000000000005E-2</v>
      </c>
      <c r="D19" s="1747">
        <v>7.5999999999999998E-2</v>
      </c>
      <c r="E19" s="1747">
        <v>8.6999999999999994E-2</v>
      </c>
      <c r="F19" s="1755"/>
    </row>
    <row r="20" spans="1:6" ht="14.25" thickBot="1">
      <c r="A20" s="1742" t="s">
        <v>1130</v>
      </c>
      <c r="B20" s="1749" t="s">
        <v>1152</v>
      </c>
      <c r="C20" s="1747">
        <v>9.8000000000000004E-2</v>
      </c>
      <c r="D20" s="1747">
        <v>8.5000000000000006E-2</v>
      </c>
      <c r="E20" s="1747">
        <v>8.2000000000000003E-2</v>
      </c>
      <c r="F20" s="1755"/>
    </row>
    <row r="21" spans="1:6" ht="14.25" thickBot="1">
      <c r="A21" s="1742" t="s">
        <v>1130</v>
      </c>
      <c r="B21" s="1749" t="s">
        <v>1162</v>
      </c>
      <c r="C21" s="1747">
        <v>6.6000000000000003E-2</v>
      </c>
      <c r="D21" s="1747">
        <v>6.4000000000000001E-2</v>
      </c>
      <c r="E21" s="1747">
        <v>6.5000000000000002E-2</v>
      </c>
      <c r="F21" s="1755"/>
    </row>
    <row r="22" spans="1:6" ht="14.25" thickBot="1">
      <c r="A22" s="1742" t="s">
        <v>1130</v>
      </c>
      <c r="B22" s="1749" t="s">
        <v>2057</v>
      </c>
      <c r="C22" s="1747">
        <v>0.08</v>
      </c>
      <c r="D22" s="1747">
        <v>9.8000000000000004E-2</v>
      </c>
      <c r="E22" s="1747">
        <v>9.8000000000000004E-2</v>
      </c>
      <c r="F22" s="1755"/>
    </row>
    <row r="23" spans="1:6" ht="14.25" thickBot="1">
      <c r="A23" s="1742" t="s">
        <v>1130</v>
      </c>
      <c r="B23" s="1749" t="s">
        <v>1182</v>
      </c>
      <c r="C23" s="1747">
        <v>9.9000000000000005E-2</v>
      </c>
      <c r="D23" s="1747">
        <v>9.8000000000000004E-2</v>
      </c>
      <c r="E23" s="1747">
        <v>9.0999999999999998E-2</v>
      </c>
      <c r="F23" s="1755"/>
    </row>
    <row r="24" spans="1:6" ht="14.25" thickBot="1">
      <c r="A24" s="1742" t="s">
        <v>1130</v>
      </c>
      <c r="B24" s="1749" t="s">
        <v>1192</v>
      </c>
      <c r="C24" s="1747">
        <v>8.8999999999999996E-2</v>
      </c>
      <c r="D24" s="1747">
        <v>9.7000000000000003E-2</v>
      </c>
      <c r="E24" s="1747">
        <v>7.0000000000000007E-2</v>
      </c>
      <c r="F24" s="1755"/>
    </row>
    <row r="25" spans="1:6" ht="14.25" thickBot="1">
      <c r="A25" s="1742" t="s">
        <v>1130</v>
      </c>
      <c r="B25" s="1749" t="s">
        <v>1202</v>
      </c>
      <c r="C25" s="1747">
        <v>8.8999999999999996E-2</v>
      </c>
      <c r="D25" s="1747">
        <v>0.1</v>
      </c>
      <c r="E25" s="1747">
        <v>8.1000000000000003E-2</v>
      </c>
      <c r="F25" s="1755"/>
    </row>
    <row r="26" spans="1:6" ht="14.25" thickBot="1">
      <c r="A26" s="1742" t="s">
        <v>1130</v>
      </c>
      <c r="B26" s="1749" t="s">
        <v>1212</v>
      </c>
      <c r="C26" s="1756"/>
      <c r="D26" s="1747">
        <v>9.6000000000000002E-2</v>
      </c>
      <c r="E26" s="1747">
        <v>9.2999999999999999E-2</v>
      </c>
      <c r="F26" s="1755"/>
    </row>
    <row r="27" spans="1:6" ht="14.25" thickBot="1">
      <c r="A27" s="1742" t="s">
        <v>1130</v>
      </c>
      <c r="B27" s="1749" t="s">
        <v>1222</v>
      </c>
      <c r="C27" s="1756"/>
      <c r="D27" s="1747">
        <v>7.5999999999999998E-2</v>
      </c>
      <c r="E27" s="1747">
        <v>9.1999999999999998E-2</v>
      </c>
      <c r="F27" s="1755"/>
    </row>
    <row r="28" spans="1:6" ht="14.25" thickBot="1">
      <c r="A28" s="1750" t="s">
        <v>1130</v>
      </c>
      <c r="B28" s="1751" t="s">
        <v>1232</v>
      </c>
      <c r="C28" s="1753"/>
      <c r="D28" s="1752">
        <v>7.5999999999999998E-2</v>
      </c>
      <c r="E28" s="1752">
        <v>9.1999999999999998E-2</v>
      </c>
      <c r="F28" s="1754"/>
    </row>
    <row r="29" spans="1:6" ht="14.25" thickBot="1">
      <c r="A29" s="1742" t="s">
        <v>1301</v>
      </c>
      <c r="B29" s="1743" t="s">
        <v>2058</v>
      </c>
      <c r="C29" s="1744">
        <v>6.4000000000000001E-2</v>
      </c>
      <c r="D29" s="1744">
        <v>6.5000000000000002E-2</v>
      </c>
      <c r="E29" s="1744">
        <v>6.9000000000000006E-2</v>
      </c>
      <c r="F29" s="1745">
        <v>0.1</v>
      </c>
    </row>
    <row r="30" spans="1:6" ht="14.25" thickBot="1">
      <c r="A30" s="1742" t="s">
        <v>1301</v>
      </c>
      <c r="B30" s="1749" t="s">
        <v>1047</v>
      </c>
      <c r="C30" s="1747">
        <v>6.4000000000000001E-2</v>
      </c>
      <c r="D30" s="1747">
        <v>9.9000000000000005E-2</v>
      </c>
      <c r="E30" s="1747">
        <v>0.1</v>
      </c>
      <c r="F30" s="1748">
        <v>0.1</v>
      </c>
    </row>
    <row r="31" spans="1:6" ht="14.25" thickBot="1">
      <c r="A31" s="1742" t="s">
        <v>1301</v>
      </c>
      <c r="B31" s="1749" t="s">
        <v>1061</v>
      </c>
      <c r="C31" s="1747">
        <v>0.1</v>
      </c>
      <c r="D31" s="1747">
        <v>9.5000000000000001E-2</v>
      </c>
      <c r="E31" s="1747">
        <v>8.8999999999999996E-2</v>
      </c>
      <c r="F31" s="1748">
        <v>0.1</v>
      </c>
    </row>
    <row r="32" spans="1:6" ht="14.25" thickBot="1">
      <c r="A32" s="1742" t="s">
        <v>1301</v>
      </c>
      <c r="B32" s="1749" t="s">
        <v>1074</v>
      </c>
      <c r="C32" s="1747">
        <v>0.05</v>
      </c>
      <c r="D32" s="1747">
        <v>0.05</v>
      </c>
      <c r="E32" s="1747">
        <v>8.7999999999999995E-2</v>
      </c>
      <c r="F32" s="1748">
        <v>0.1</v>
      </c>
    </row>
    <row r="33" spans="1:6" ht="14.25" thickBot="1">
      <c r="A33" s="1742" t="s">
        <v>1301</v>
      </c>
      <c r="B33" s="1749" t="s">
        <v>1088</v>
      </c>
      <c r="C33" s="1747">
        <v>7.4999999999999997E-2</v>
      </c>
      <c r="D33" s="1747">
        <v>9.4E-2</v>
      </c>
      <c r="E33" s="1747">
        <v>9.7000000000000003E-2</v>
      </c>
      <c r="F33" s="1748">
        <v>0.1</v>
      </c>
    </row>
    <row r="34" spans="1:6" ht="14.25" thickBot="1">
      <c r="A34" s="1742" t="s">
        <v>1301</v>
      </c>
      <c r="B34" s="1749" t="s">
        <v>1099</v>
      </c>
      <c r="C34" s="1747">
        <v>9.8000000000000004E-2</v>
      </c>
      <c r="D34" s="1747">
        <v>8.5999999999999993E-2</v>
      </c>
      <c r="E34" s="1747">
        <v>9.7000000000000003E-2</v>
      </c>
      <c r="F34" s="1748">
        <v>0.1</v>
      </c>
    </row>
    <row r="35" spans="1:6" ht="14.25" thickBot="1">
      <c r="A35" s="1742" t="s">
        <v>1301</v>
      </c>
      <c r="B35" s="1749" t="s">
        <v>1110</v>
      </c>
      <c r="C35" s="1747">
        <v>5.8999999999999997E-2</v>
      </c>
      <c r="D35" s="1747">
        <v>6.5000000000000002E-2</v>
      </c>
      <c r="E35" s="1747">
        <v>7.0000000000000007E-2</v>
      </c>
      <c r="F35" s="1748">
        <v>0.1</v>
      </c>
    </row>
    <row r="36" spans="1:6" ht="14.25" thickBot="1">
      <c r="A36" s="1742" t="s">
        <v>1301</v>
      </c>
      <c r="B36" s="1749" t="s">
        <v>1121</v>
      </c>
      <c r="C36" s="1747">
        <v>6.3E-2</v>
      </c>
      <c r="D36" s="1747">
        <v>0.1</v>
      </c>
      <c r="E36" s="1747">
        <v>0.1</v>
      </c>
      <c r="F36" s="1748">
        <v>0.1</v>
      </c>
    </row>
    <row r="37" spans="1:6" ht="14.25" thickBot="1">
      <c r="A37" s="1742" t="s">
        <v>1301</v>
      </c>
      <c r="B37" s="1749" t="s">
        <v>1133</v>
      </c>
      <c r="C37" s="1747">
        <v>7.3999999999999996E-2</v>
      </c>
      <c r="D37" s="1747">
        <v>0.1</v>
      </c>
      <c r="E37" s="1747">
        <v>0.1</v>
      </c>
      <c r="F37" s="1748">
        <v>0.1</v>
      </c>
    </row>
    <row r="38" spans="1:6" ht="14.25" thickBot="1">
      <c r="A38" s="1742" t="s">
        <v>1301</v>
      </c>
      <c r="B38" s="1749" t="s">
        <v>1143</v>
      </c>
      <c r="C38" s="1747">
        <v>0.1</v>
      </c>
      <c r="D38" s="1747">
        <v>9.6000000000000002E-2</v>
      </c>
      <c r="E38" s="1747">
        <v>9.6000000000000002E-2</v>
      </c>
      <c r="F38" s="1755"/>
    </row>
    <row r="39" spans="1:6" ht="14.25" thickBot="1">
      <c r="A39" s="1742" t="s">
        <v>1301</v>
      </c>
      <c r="B39" s="1749" t="s">
        <v>1153</v>
      </c>
      <c r="C39" s="1747">
        <v>0.1</v>
      </c>
      <c r="D39" s="1747">
        <v>9.6000000000000002E-2</v>
      </c>
      <c r="E39" s="1747">
        <v>9.6000000000000002E-2</v>
      </c>
      <c r="F39" s="1755"/>
    </row>
    <row r="40" spans="1:6" ht="14.25" thickBot="1">
      <c r="A40" s="1742" t="s">
        <v>1301</v>
      </c>
      <c r="B40" s="1749" t="s">
        <v>1163</v>
      </c>
      <c r="C40" s="1747">
        <v>9.6000000000000002E-2</v>
      </c>
      <c r="D40" s="1747">
        <v>0.1</v>
      </c>
      <c r="E40" s="1747">
        <v>9.9000000000000005E-2</v>
      </c>
      <c r="F40" s="1755"/>
    </row>
    <row r="41" spans="1:6" ht="14.25" thickBot="1">
      <c r="A41" s="1742" t="s">
        <v>1301</v>
      </c>
      <c r="B41" s="1749" t="s">
        <v>1173</v>
      </c>
      <c r="C41" s="1747">
        <v>9.6000000000000002E-2</v>
      </c>
      <c r="D41" s="1747">
        <v>9.8000000000000004E-2</v>
      </c>
      <c r="E41" s="1747">
        <v>9.8000000000000004E-2</v>
      </c>
      <c r="F41" s="1755"/>
    </row>
    <row r="42" spans="1:6" ht="14.25" thickBot="1">
      <c r="A42" s="1742" t="s">
        <v>1301</v>
      </c>
      <c r="B42" s="1749" t="s">
        <v>1183</v>
      </c>
      <c r="C42" s="1747">
        <v>0.1</v>
      </c>
      <c r="D42" s="1747">
        <v>8.7999999999999995E-2</v>
      </c>
      <c r="E42" s="1747">
        <v>0.1</v>
      </c>
      <c r="F42" s="1755"/>
    </row>
    <row r="43" spans="1:6" ht="14.25" thickBot="1">
      <c r="A43" s="1742" t="s">
        <v>1301</v>
      </c>
      <c r="B43" s="1749" t="s">
        <v>1193</v>
      </c>
      <c r="C43" s="1747">
        <v>9.8000000000000004E-2</v>
      </c>
      <c r="D43" s="1747">
        <v>9.7000000000000003E-2</v>
      </c>
      <c r="E43" s="1747">
        <v>9.6000000000000002E-2</v>
      </c>
      <c r="F43" s="1755"/>
    </row>
    <row r="44" spans="1:6" ht="14.25" thickBot="1">
      <c r="A44" s="1742" t="s">
        <v>1301</v>
      </c>
      <c r="B44" s="1749" t="s">
        <v>1203</v>
      </c>
      <c r="C44" s="1747">
        <v>8.5999999999999993E-2</v>
      </c>
      <c r="D44" s="1747">
        <v>7.9000000000000001E-2</v>
      </c>
      <c r="E44" s="1747">
        <v>7.0999999999999994E-2</v>
      </c>
      <c r="F44" s="1755"/>
    </row>
    <row r="45" spans="1:6" ht="14.25" thickBot="1">
      <c r="A45" s="1742" t="s">
        <v>1301</v>
      </c>
      <c r="B45" s="1749" t="s">
        <v>1213</v>
      </c>
      <c r="C45" s="1747">
        <v>9.8000000000000004E-2</v>
      </c>
      <c r="D45" s="1747">
        <v>9.6000000000000002E-2</v>
      </c>
      <c r="E45" s="1747">
        <v>9.6000000000000002E-2</v>
      </c>
      <c r="F45" s="1755"/>
    </row>
    <row r="46" spans="1:6" ht="14.25" thickBot="1">
      <c r="A46" s="1742" t="s">
        <v>1301</v>
      </c>
      <c r="B46" s="1749" t="s">
        <v>1223</v>
      </c>
      <c r="C46" s="1747">
        <v>8.5999999999999993E-2</v>
      </c>
      <c r="D46" s="1747">
        <v>9.8000000000000004E-2</v>
      </c>
      <c r="E46" s="1747">
        <v>8.7999999999999995E-2</v>
      </c>
      <c r="F46" s="1755"/>
    </row>
    <row r="47" spans="1:6" ht="14.25" thickBot="1">
      <c r="A47" s="1742" t="s">
        <v>1301</v>
      </c>
      <c r="B47" s="1749" t="s">
        <v>1233</v>
      </c>
      <c r="C47" s="1747">
        <v>9.6000000000000002E-2</v>
      </c>
      <c r="D47" s="1756"/>
      <c r="E47" s="1747">
        <v>6.9000000000000006E-2</v>
      </c>
      <c r="F47" s="1755"/>
    </row>
    <row r="48" spans="1:6" ht="14.25" thickBot="1">
      <c r="A48" s="1750" t="s">
        <v>1301</v>
      </c>
      <c r="B48" s="1751" t="s">
        <v>1242</v>
      </c>
      <c r="C48" s="1752">
        <v>9.8000000000000004E-2</v>
      </c>
      <c r="D48" s="1753"/>
      <c r="E48" s="1752">
        <v>9.5000000000000001E-2</v>
      </c>
      <c r="F48" s="1754"/>
    </row>
    <row r="49" spans="1:6" ht="14.25" thickBot="1">
      <c r="A49" s="1742" t="s">
        <v>900</v>
      </c>
      <c r="B49" s="1743" t="s">
        <v>2059</v>
      </c>
      <c r="C49" s="1744">
        <v>9.7000000000000003E-2</v>
      </c>
      <c r="D49" s="1744">
        <v>9.5000000000000001E-2</v>
      </c>
      <c r="E49" s="1744">
        <v>9.7000000000000003E-2</v>
      </c>
      <c r="F49" s="1745">
        <v>0.1</v>
      </c>
    </row>
    <row r="50" spans="1:6" ht="14.25" thickBot="1">
      <c r="A50" s="1742" t="s">
        <v>900</v>
      </c>
      <c r="B50" s="1746" t="s">
        <v>1048</v>
      </c>
      <c r="C50" s="1747">
        <v>7.4999999999999997E-2</v>
      </c>
      <c r="D50" s="1747">
        <v>9.5000000000000001E-2</v>
      </c>
      <c r="E50" s="1747">
        <v>0.1</v>
      </c>
      <c r="F50" s="1748">
        <v>0.1</v>
      </c>
    </row>
    <row r="51" spans="1:6" ht="14.25" thickBot="1">
      <c r="A51" s="1742" t="s">
        <v>900</v>
      </c>
      <c r="B51" s="1746" t="s">
        <v>1062</v>
      </c>
      <c r="C51" s="1747">
        <v>9.8000000000000004E-2</v>
      </c>
      <c r="D51" s="1747">
        <v>8.8999999999999996E-2</v>
      </c>
      <c r="E51" s="1747">
        <v>0.1</v>
      </c>
      <c r="F51" s="1748">
        <v>0.1</v>
      </c>
    </row>
    <row r="52" spans="1:6" ht="14.25" thickBot="1">
      <c r="A52" s="1742" t="s">
        <v>900</v>
      </c>
      <c r="B52" s="1746" t="s">
        <v>1075</v>
      </c>
      <c r="C52" s="1747">
        <v>9.8000000000000004E-2</v>
      </c>
      <c r="D52" s="1747">
        <v>9.7000000000000003E-2</v>
      </c>
      <c r="E52" s="1747">
        <v>8.1000000000000003E-2</v>
      </c>
      <c r="F52" s="1748">
        <v>0.1</v>
      </c>
    </row>
    <row r="53" spans="1:6" ht="14.25" thickBot="1">
      <c r="A53" s="1742" t="s">
        <v>900</v>
      </c>
      <c r="B53" s="1746" t="s">
        <v>1089</v>
      </c>
      <c r="C53" s="1747">
        <v>9.7000000000000003E-2</v>
      </c>
      <c r="D53" s="1747">
        <v>7.5999999999999998E-2</v>
      </c>
      <c r="E53" s="1747">
        <v>7.0999999999999994E-2</v>
      </c>
      <c r="F53" s="1748">
        <v>0.1</v>
      </c>
    </row>
    <row r="54" spans="1:6" ht="14.25" thickBot="1">
      <c r="A54" s="1742" t="s">
        <v>900</v>
      </c>
      <c r="B54" s="1746" t="s">
        <v>1100</v>
      </c>
      <c r="C54" s="1747">
        <v>7.5999999999999998E-2</v>
      </c>
      <c r="D54" s="1747">
        <v>0.1</v>
      </c>
      <c r="E54" s="1747">
        <v>9.9000000000000005E-2</v>
      </c>
      <c r="F54" s="1748">
        <v>0.1</v>
      </c>
    </row>
    <row r="55" spans="1:6" ht="14.25" thickBot="1">
      <c r="A55" s="1742" t="s">
        <v>900</v>
      </c>
      <c r="B55" s="1746" t="s">
        <v>1111</v>
      </c>
      <c r="C55" s="1747">
        <v>0.1</v>
      </c>
      <c r="D55" s="1747">
        <v>0.1</v>
      </c>
      <c r="E55" s="1747">
        <v>9.6000000000000002E-2</v>
      </c>
      <c r="F55" s="1748">
        <v>0.1</v>
      </c>
    </row>
    <row r="56" spans="1:6" ht="14.25" thickBot="1">
      <c r="A56" s="1742" t="s">
        <v>900</v>
      </c>
      <c r="B56" s="1746" t="s">
        <v>1122</v>
      </c>
      <c r="C56" s="1747">
        <v>0.1</v>
      </c>
      <c r="D56" s="1747">
        <v>9.6000000000000002E-2</v>
      </c>
      <c r="E56" s="1747">
        <v>5.1999999999999998E-2</v>
      </c>
      <c r="F56" s="1748">
        <v>0.1</v>
      </c>
    </row>
    <row r="57" spans="1:6" ht="14.25" thickBot="1">
      <c r="A57" s="1742" t="s">
        <v>900</v>
      </c>
      <c r="B57" s="1746" t="s">
        <v>1134</v>
      </c>
      <c r="C57" s="1747">
        <v>9.7000000000000003E-2</v>
      </c>
      <c r="D57" s="1747">
        <v>9.6000000000000002E-2</v>
      </c>
      <c r="E57" s="1747">
        <v>9.6000000000000002E-2</v>
      </c>
      <c r="F57" s="1748">
        <v>0.1</v>
      </c>
    </row>
    <row r="58" spans="1:6" ht="14.25" thickBot="1">
      <c r="A58" s="1742" t="s">
        <v>900</v>
      </c>
      <c r="B58" s="1746" t="s">
        <v>1144</v>
      </c>
      <c r="C58" s="1747">
        <v>9.6000000000000002E-2</v>
      </c>
      <c r="D58" s="1747">
        <v>9.9000000000000005E-2</v>
      </c>
      <c r="E58" s="1747">
        <v>9.6000000000000002E-2</v>
      </c>
      <c r="F58" s="1748">
        <v>0.1</v>
      </c>
    </row>
    <row r="59" spans="1:6" ht="14.25" thickBot="1">
      <c r="A59" s="1742" t="s">
        <v>900</v>
      </c>
      <c r="B59" s="1746" t="s">
        <v>1154</v>
      </c>
      <c r="C59" s="1747">
        <v>7.1999999999999995E-2</v>
      </c>
      <c r="D59" s="1747">
        <v>9.6000000000000002E-2</v>
      </c>
      <c r="E59" s="1747">
        <v>7.0999999999999994E-2</v>
      </c>
      <c r="F59" s="1748">
        <v>0.1</v>
      </c>
    </row>
    <row r="60" spans="1:6" ht="14.25" thickBot="1">
      <c r="A60" s="1742" t="s">
        <v>900</v>
      </c>
      <c r="B60" s="1746" t="s">
        <v>1164</v>
      </c>
      <c r="C60" s="1747">
        <v>9.6000000000000002E-2</v>
      </c>
      <c r="D60" s="1747">
        <v>8.8999999999999996E-2</v>
      </c>
      <c r="E60" s="1747">
        <v>9.6000000000000002E-2</v>
      </c>
      <c r="F60" s="1748">
        <v>0.1</v>
      </c>
    </row>
    <row r="61" spans="1:6" ht="14.25" thickBot="1">
      <c r="A61" s="1742" t="s">
        <v>900</v>
      </c>
      <c r="B61" s="1746" t="s">
        <v>1174</v>
      </c>
      <c r="C61" s="1747">
        <v>8.8999999999999996E-2</v>
      </c>
      <c r="D61" s="1747">
        <v>9.8000000000000004E-2</v>
      </c>
      <c r="E61" s="1747">
        <v>8.7999999999999995E-2</v>
      </c>
      <c r="F61" s="1755"/>
    </row>
    <row r="62" spans="1:6" ht="14.25" thickBot="1">
      <c r="A62" s="1742" t="s">
        <v>900</v>
      </c>
      <c r="B62" s="1746" t="s">
        <v>1184</v>
      </c>
      <c r="C62" s="1747">
        <v>9.8000000000000004E-2</v>
      </c>
      <c r="D62" s="1747">
        <v>9.2999999999999999E-2</v>
      </c>
      <c r="E62" s="1747">
        <v>9.7000000000000003E-2</v>
      </c>
      <c r="F62" s="1755"/>
    </row>
    <row r="63" spans="1:6" ht="14.25" thickBot="1">
      <c r="A63" s="1742" t="s">
        <v>900</v>
      </c>
      <c r="B63" s="1746" t="s">
        <v>1194</v>
      </c>
      <c r="C63" s="1747">
        <v>9.6000000000000002E-2</v>
      </c>
      <c r="D63" s="1747">
        <v>9.8000000000000004E-2</v>
      </c>
      <c r="E63" s="1747">
        <v>0.09</v>
      </c>
      <c r="F63" s="1755"/>
    </row>
    <row r="64" spans="1:6" ht="14.25" thickBot="1">
      <c r="A64" s="1742" t="s">
        <v>900</v>
      </c>
      <c r="B64" s="1746" t="s">
        <v>1204</v>
      </c>
      <c r="C64" s="1747">
        <v>9.9000000000000005E-2</v>
      </c>
      <c r="D64" s="1747">
        <v>9.7000000000000003E-2</v>
      </c>
      <c r="E64" s="1747">
        <v>9.9000000000000005E-2</v>
      </c>
      <c r="F64" s="1755"/>
    </row>
    <row r="65" spans="1:6" ht="14.25" thickBot="1">
      <c r="A65" s="1742" t="s">
        <v>900</v>
      </c>
      <c r="B65" s="1746" t="s">
        <v>1214</v>
      </c>
      <c r="C65" s="1747">
        <v>9.8000000000000004E-2</v>
      </c>
      <c r="D65" s="1747">
        <v>9.6000000000000002E-2</v>
      </c>
      <c r="E65" s="1747">
        <v>9.6000000000000002E-2</v>
      </c>
      <c r="F65" s="1755"/>
    </row>
    <row r="66" spans="1:6" ht="14.25" thickBot="1">
      <c r="A66" s="1742" t="s">
        <v>900</v>
      </c>
      <c r="B66" s="1746" t="s">
        <v>1224</v>
      </c>
      <c r="C66" s="1747">
        <v>9.6000000000000002E-2</v>
      </c>
      <c r="D66" s="1747">
        <v>9.1999999999999998E-2</v>
      </c>
      <c r="E66" s="1747">
        <v>9.6000000000000002E-2</v>
      </c>
      <c r="F66" s="1755"/>
    </row>
    <row r="67" spans="1:6" ht="14.25" thickBot="1">
      <c r="A67" s="1742" t="s">
        <v>900</v>
      </c>
      <c r="B67" s="1746" t="s">
        <v>1234</v>
      </c>
      <c r="C67" s="1747">
        <v>9.4E-2</v>
      </c>
      <c r="D67" s="1747">
        <v>0.1</v>
      </c>
      <c r="E67" s="1747">
        <v>8.7999999999999995E-2</v>
      </c>
      <c r="F67" s="1755"/>
    </row>
    <row r="68" spans="1:6" ht="14.25" thickBot="1">
      <c r="A68" s="1742" t="s">
        <v>900</v>
      </c>
      <c r="B68" s="1746" t="s">
        <v>1243</v>
      </c>
      <c r="C68" s="1747">
        <v>0.1</v>
      </c>
      <c r="D68" s="1747">
        <v>8.7999999999999995E-2</v>
      </c>
      <c r="E68" s="1747">
        <v>9.7000000000000003E-2</v>
      </c>
      <c r="F68" s="1755"/>
    </row>
    <row r="69" spans="1:6" ht="14.25" thickBot="1">
      <c r="A69" s="1742" t="s">
        <v>900</v>
      </c>
      <c r="B69" s="1746" t="s">
        <v>1252</v>
      </c>
      <c r="C69" s="1747">
        <v>6.4000000000000001E-2</v>
      </c>
      <c r="D69" s="1747">
        <v>0.1</v>
      </c>
      <c r="E69" s="1747">
        <v>0.1</v>
      </c>
      <c r="F69" s="1755"/>
    </row>
    <row r="70" spans="1:6" ht="14.25" thickBot="1">
      <c r="A70" s="1742" t="s">
        <v>900</v>
      </c>
      <c r="B70" s="1746" t="s">
        <v>1260</v>
      </c>
      <c r="C70" s="1747">
        <v>9.0999999999999998E-2</v>
      </c>
      <c r="D70" s="1756"/>
      <c r="E70" s="1756"/>
      <c r="F70" s="1755"/>
    </row>
    <row r="71" spans="1:6" ht="14.25" thickBot="1">
      <c r="A71" s="1742" t="s">
        <v>900</v>
      </c>
      <c r="B71" s="1746" t="s">
        <v>1267</v>
      </c>
      <c r="C71" s="1747">
        <v>0.1</v>
      </c>
      <c r="D71" s="1756"/>
      <c r="E71" s="1756"/>
      <c r="F71" s="1755"/>
    </row>
    <row r="72" spans="1:6" ht="14.25" thickBot="1">
      <c r="A72" s="1742" t="s">
        <v>900</v>
      </c>
      <c r="B72" s="1746" t="s">
        <v>2060</v>
      </c>
      <c r="C72" s="1756"/>
      <c r="D72" s="1756"/>
      <c r="E72" s="1756"/>
      <c r="F72" s="1748">
        <v>0.05</v>
      </c>
    </row>
    <row r="73" spans="1:6" ht="14.25" thickBot="1">
      <c r="A73" s="1742" t="s">
        <v>900</v>
      </c>
      <c r="B73" s="1746" t="s">
        <v>2061</v>
      </c>
      <c r="C73" s="1756"/>
      <c r="D73" s="1756"/>
      <c r="E73" s="1756"/>
      <c r="F73" s="1748">
        <v>0.05</v>
      </c>
    </row>
    <row r="74" spans="1:6" ht="14.25" thickBot="1">
      <c r="A74" s="1742" t="s">
        <v>900</v>
      </c>
      <c r="B74" s="1746" t="s">
        <v>2062</v>
      </c>
      <c r="C74" s="1756"/>
      <c r="D74" s="1756"/>
      <c r="E74" s="1756"/>
      <c r="F74" s="1748">
        <v>0.05</v>
      </c>
    </row>
    <row r="75" spans="1:6" ht="14.25" thickBot="1">
      <c r="A75" s="1750" t="s">
        <v>900</v>
      </c>
      <c r="B75" s="1757" t="s">
        <v>2063</v>
      </c>
      <c r="C75" s="1753"/>
      <c r="D75" s="1753"/>
      <c r="E75" s="1753"/>
      <c r="F75" s="1758">
        <v>0.05</v>
      </c>
    </row>
    <row r="76" spans="1:6" ht="14.25" thickBot="1">
      <c r="A76" s="1742" t="s">
        <v>1382</v>
      </c>
      <c r="B76" s="1743" t="s">
        <v>2064</v>
      </c>
      <c r="C76" s="1744">
        <v>0.1</v>
      </c>
      <c r="D76" s="1744">
        <v>0.1</v>
      </c>
      <c r="E76" s="1744">
        <v>0.1</v>
      </c>
      <c r="F76" s="1745">
        <v>0.1</v>
      </c>
    </row>
    <row r="77" spans="1:6" ht="14.25" thickBot="1">
      <c r="A77" s="1742" t="s">
        <v>1382</v>
      </c>
      <c r="B77" s="1746" t="s">
        <v>1049</v>
      </c>
      <c r="C77" s="1747">
        <v>8.7999999999999995E-2</v>
      </c>
      <c r="D77" s="1747">
        <v>8.6999999999999994E-2</v>
      </c>
      <c r="E77" s="1747">
        <v>7.9000000000000001E-2</v>
      </c>
      <c r="F77" s="1748">
        <v>0.1</v>
      </c>
    </row>
    <row r="78" spans="1:6" ht="14.25" thickBot="1">
      <c r="A78" s="1742" t="s">
        <v>1382</v>
      </c>
      <c r="B78" s="1746" t="s">
        <v>1063</v>
      </c>
      <c r="C78" s="1747">
        <v>8.6999999999999994E-2</v>
      </c>
      <c r="D78" s="1747">
        <v>8.4000000000000005E-2</v>
      </c>
      <c r="E78" s="1747">
        <v>9.6000000000000002E-2</v>
      </c>
      <c r="F78" s="1748">
        <v>0.1</v>
      </c>
    </row>
    <row r="79" spans="1:6" ht="14.25" thickBot="1">
      <c r="A79" s="1742" t="s">
        <v>1382</v>
      </c>
      <c r="B79" s="1746" t="s">
        <v>1076</v>
      </c>
      <c r="C79" s="1747">
        <v>9.8000000000000004E-2</v>
      </c>
      <c r="D79" s="1747">
        <v>9.8000000000000004E-2</v>
      </c>
      <c r="E79" s="1747">
        <v>9.0999999999999998E-2</v>
      </c>
      <c r="F79" s="1748">
        <v>0.1</v>
      </c>
    </row>
    <row r="80" spans="1:6" ht="14.25" thickBot="1">
      <c r="A80" s="1742" t="s">
        <v>1382</v>
      </c>
      <c r="B80" s="1746" t="s">
        <v>1090</v>
      </c>
      <c r="C80" s="1747">
        <v>9.6000000000000002E-2</v>
      </c>
      <c r="D80" s="1747">
        <v>9.6000000000000002E-2</v>
      </c>
      <c r="E80" s="1747">
        <v>0.1</v>
      </c>
      <c r="F80" s="1748">
        <v>0.1</v>
      </c>
    </row>
    <row r="81" spans="1:6" ht="14.25" thickBot="1">
      <c r="A81" s="1742" t="s">
        <v>1382</v>
      </c>
      <c r="B81" s="1746" t="s">
        <v>1101</v>
      </c>
      <c r="C81" s="1747">
        <v>9.9000000000000005E-2</v>
      </c>
      <c r="D81" s="1747">
        <v>9.9000000000000005E-2</v>
      </c>
      <c r="E81" s="1747">
        <v>9.8000000000000004E-2</v>
      </c>
      <c r="F81" s="1748">
        <v>0.1</v>
      </c>
    </row>
    <row r="82" spans="1:6" ht="14.25" thickBot="1">
      <c r="A82" s="1742" t="s">
        <v>1382</v>
      </c>
      <c r="B82" s="1746" t="s">
        <v>1112</v>
      </c>
      <c r="C82" s="1747">
        <v>9.9000000000000005E-2</v>
      </c>
      <c r="D82" s="1747">
        <v>9.9000000000000005E-2</v>
      </c>
      <c r="E82" s="1747">
        <v>9.7000000000000003E-2</v>
      </c>
      <c r="F82" s="1748">
        <v>0.1</v>
      </c>
    </row>
    <row r="83" spans="1:6" ht="14.25" thickBot="1">
      <c r="A83" s="1742" t="s">
        <v>1382</v>
      </c>
      <c r="B83" s="1746" t="s">
        <v>1123</v>
      </c>
      <c r="C83" s="1747">
        <v>9.8000000000000004E-2</v>
      </c>
      <c r="D83" s="1747">
        <v>9.8000000000000004E-2</v>
      </c>
      <c r="E83" s="1747">
        <v>9.8000000000000004E-2</v>
      </c>
      <c r="F83" s="1748">
        <v>0.1</v>
      </c>
    </row>
    <row r="84" spans="1:6" ht="14.25" thickBot="1">
      <c r="A84" s="1742" t="s">
        <v>1382</v>
      </c>
      <c r="B84" s="1746" t="s">
        <v>1135</v>
      </c>
      <c r="C84" s="1747">
        <v>9.9000000000000005E-2</v>
      </c>
      <c r="D84" s="1747">
        <v>9.9000000000000005E-2</v>
      </c>
      <c r="E84" s="1747">
        <v>9.9000000000000005E-2</v>
      </c>
      <c r="F84" s="1748">
        <v>0.1</v>
      </c>
    </row>
    <row r="85" spans="1:6" ht="14.25" thickBot="1">
      <c r="A85" s="1742" t="s">
        <v>1382</v>
      </c>
      <c r="B85" s="1746" t="s">
        <v>1145</v>
      </c>
      <c r="C85" s="1747">
        <v>9.9000000000000005E-2</v>
      </c>
      <c r="D85" s="1747">
        <v>9.9000000000000005E-2</v>
      </c>
      <c r="E85" s="1747">
        <v>9.9000000000000005E-2</v>
      </c>
      <c r="F85" s="1748">
        <v>0.1</v>
      </c>
    </row>
    <row r="86" spans="1:6" ht="14.25" thickBot="1">
      <c r="A86" s="1742" t="s">
        <v>1382</v>
      </c>
      <c r="B86" s="1746" t="s">
        <v>1155</v>
      </c>
      <c r="C86" s="1747">
        <v>0.1</v>
      </c>
      <c r="D86" s="1747">
        <v>0.1</v>
      </c>
      <c r="E86" s="1747">
        <v>7.6999999999999999E-2</v>
      </c>
      <c r="F86" s="1748">
        <v>0.1</v>
      </c>
    </row>
    <row r="87" spans="1:6" ht="14.25" thickBot="1">
      <c r="A87" s="1742" t="s">
        <v>1382</v>
      </c>
      <c r="B87" s="1746" t="s">
        <v>1165</v>
      </c>
      <c r="C87" s="1747">
        <v>0.1</v>
      </c>
      <c r="D87" s="1747">
        <v>0.1</v>
      </c>
      <c r="E87" s="1747">
        <v>9.8000000000000004E-2</v>
      </c>
      <c r="F87" s="1755"/>
    </row>
    <row r="88" spans="1:6" ht="14.25" thickBot="1">
      <c r="A88" s="1742" t="s">
        <v>1382</v>
      </c>
      <c r="B88" s="1746" t="s">
        <v>1175</v>
      </c>
      <c r="C88" s="1747">
        <v>9.1999999999999998E-2</v>
      </c>
      <c r="D88" s="1747">
        <v>8.5000000000000006E-2</v>
      </c>
      <c r="E88" s="1747">
        <v>9.6000000000000002E-2</v>
      </c>
      <c r="F88" s="1755"/>
    </row>
    <row r="89" spans="1:6" ht="14.25" thickBot="1">
      <c r="A89" s="1742" t="s">
        <v>1382</v>
      </c>
      <c r="B89" s="1746" t="s">
        <v>1185</v>
      </c>
      <c r="C89" s="1747">
        <v>0.1</v>
      </c>
      <c r="D89" s="1747">
        <v>0.1</v>
      </c>
      <c r="E89" s="1747">
        <v>9.7000000000000003E-2</v>
      </c>
      <c r="F89" s="1755"/>
    </row>
    <row r="90" spans="1:6" ht="14.25" thickBot="1">
      <c r="A90" s="1742" t="s">
        <v>1382</v>
      </c>
      <c r="B90" s="1746" t="s">
        <v>1195</v>
      </c>
      <c r="C90" s="1747">
        <v>9.8000000000000004E-2</v>
      </c>
      <c r="D90" s="1747">
        <v>9.8000000000000004E-2</v>
      </c>
      <c r="E90" s="1747">
        <v>8.7999999999999995E-2</v>
      </c>
      <c r="F90" s="1755"/>
    </row>
    <row r="91" spans="1:6" ht="14.25" thickBot="1">
      <c r="A91" s="1742" t="s">
        <v>1382</v>
      </c>
      <c r="B91" s="1746" t="s">
        <v>1205</v>
      </c>
      <c r="C91" s="1747">
        <v>9.9000000000000005E-2</v>
      </c>
      <c r="D91" s="1747">
        <v>9.9000000000000005E-2</v>
      </c>
      <c r="E91" s="1747">
        <v>9.0999999999999998E-2</v>
      </c>
      <c r="F91" s="1755"/>
    </row>
    <row r="92" spans="1:6" ht="14.25" thickBot="1">
      <c r="A92" s="1742" t="s">
        <v>1382</v>
      </c>
      <c r="B92" s="1746" t="s">
        <v>1215</v>
      </c>
      <c r="C92" s="1747">
        <v>9.6000000000000002E-2</v>
      </c>
      <c r="D92" s="1747">
        <v>9.6000000000000002E-2</v>
      </c>
      <c r="E92" s="1747">
        <v>7.2999999999999995E-2</v>
      </c>
      <c r="F92" s="1755"/>
    </row>
    <row r="93" spans="1:6" ht="14.25" thickBot="1">
      <c r="A93" s="1742" t="s">
        <v>1382</v>
      </c>
      <c r="B93" s="1746" t="s">
        <v>1225</v>
      </c>
      <c r="C93" s="1747">
        <v>9.6000000000000002E-2</v>
      </c>
      <c r="D93" s="1747">
        <v>9.6000000000000002E-2</v>
      </c>
      <c r="E93" s="1747">
        <v>9.9000000000000005E-2</v>
      </c>
      <c r="F93" s="1755"/>
    </row>
    <row r="94" spans="1:6" ht="14.25" thickBot="1">
      <c r="A94" s="1742" t="s">
        <v>1382</v>
      </c>
      <c r="B94" s="1746" t="s">
        <v>1235</v>
      </c>
      <c r="C94" s="1747">
        <v>7.5999999999999998E-2</v>
      </c>
      <c r="D94" s="1747">
        <v>7.3999999999999996E-2</v>
      </c>
      <c r="E94" s="1747">
        <v>9.7000000000000003E-2</v>
      </c>
      <c r="F94" s="1755"/>
    </row>
    <row r="95" spans="1:6" ht="14.25" thickBot="1">
      <c r="A95" s="1742" t="s">
        <v>1382</v>
      </c>
      <c r="B95" s="1746" t="s">
        <v>1244</v>
      </c>
      <c r="C95" s="1747">
        <v>9.9000000000000005E-2</v>
      </c>
      <c r="D95" s="1747">
        <v>9.4E-2</v>
      </c>
      <c r="E95" s="1747">
        <v>9.6000000000000002E-2</v>
      </c>
      <c r="F95" s="1755"/>
    </row>
    <row r="96" spans="1:6" ht="14.25" thickBot="1">
      <c r="A96" s="1742" t="s">
        <v>1382</v>
      </c>
      <c r="B96" s="1746" t="s">
        <v>1253</v>
      </c>
      <c r="C96" s="1747">
        <v>9.9000000000000005E-2</v>
      </c>
      <c r="D96" s="1747">
        <v>9.9000000000000005E-2</v>
      </c>
      <c r="E96" s="1747">
        <v>9.9000000000000005E-2</v>
      </c>
      <c r="F96" s="1755"/>
    </row>
    <row r="97" spans="1:6" ht="14.25" thickBot="1">
      <c r="A97" s="1742" t="s">
        <v>1382</v>
      </c>
      <c r="B97" s="1746" t="s">
        <v>1261</v>
      </c>
      <c r="C97" s="1747">
        <v>9.8000000000000004E-2</v>
      </c>
      <c r="D97" s="1747">
        <v>9.8000000000000004E-2</v>
      </c>
      <c r="E97" s="1747">
        <v>9.7000000000000003E-2</v>
      </c>
      <c r="F97" s="1755"/>
    </row>
    <row r="98" spans="1:6" ht="14.25" thickBot="1">
      <c r="A98" s="1742" t="s">
        <v>1382</v>
      </c>
      <c r="B98" s="1746" t="s">
        <v>1268</v>
      </c>
      <c r="C98" s="1747">
        <v>0.1</v>
      </c>
      <c r="D98" s="1747">
        <v>0.1</v>
      </c>
      <c r="E98" s="1747">
        <v>9.7000000000000003E-2</v>
      </c>
      <c r="F98" s="1755"/>
    </row>
    <row r="99" spans="1:6" ht="14.25" thickBot="1">
      <c r="A99" s="1742" t="s">
        <v>1382</v>
      </c>
      <c r="B99" s="1746" t="s">
        <v>1275</v>
      </c>
      <c r="C99" s="1747">
        <v>0.1</v>
      </c>
      <c r="D99" s="1747">
        <v>0.1</v>
      </c>
      <c r="E99" s="1756"/>
      <c r="F99" s="1755"/>
    </row>
    <row r="100" spans="1:6" ht="14.25" thickBot="1">
      <c r="A100" s="1742" t="s">
        <v>1382</v>
      </c>
      <c r="B100" s="1746" t="s">
        <v>1282</v>
      </c>
      <c r="C100" s="1747">
        <v>0.09</v>
      </c>
      <c r="D100" s="1747">
        <v>8.8999999999999996E-2</v>
      </c>
      <c r="E100" s="1756"/>
      <c r="F100" s="1755"/>
    </row>
    <row r="101" spans="1:6" ht="14.25" thickBot="1">
      <c r="A101" s="1742" t="s">
        <v>1382</v>
      </c>
      <c r="B101" s="1746" t="s">
        <v>1289</v>
      </c>
      <c r="C101" s="1747">
        <v>9.8000000000000004E-2</v>
      </c>
      <c r="D101" s="1747">
        <v>9.7000000000000003E-2</v>
      </c>
      <c r="E101" s="1756"/>
      <c r="F101" s="1755"/>
    </row>
    <row r="102" spans="1:6" ht="14.25" thickBot="1">
      <c r="A102" s="1742" t="s">
        <v>1382</v>
      </c>
      <c r="B102" s="1746" t="s">
        <v>2065</v>
      </c>
      <c r="C102" s="1756"/>
      <c r="D102" s="1756"/>
      <c r="E102" s="1756"/>
      <c r="F102" s="1748">
        <v>0.05</v>
      </c>
    </row>
    <row r="103" spans="1:6" ht="24.75" thickBot="1">
      <c r="A103" s="1742" t="s">
        <v>1382</v>
      </c>
      <c r="B103" s="1746" t="s">
        <v>2066</v>
      </c>
      <c r="C103" s="1756"/>
      <c r="D103" s="1756"/>
      <c r="E103" s="1756"/>
      <c r="F103" s="1748">
        <v>0.05</v>
      </c>
    </row>
    <row r="104" spans="1:6" ht="14.25" thickBot="1">
      <c r="A104" s="1742" t="s">
        <v>1382</v>
      </c>
      <c r="B104" s="1746" t="s">
        <v>2067</v>
      </c>
      <c r="C104" s="1756"/>
      <c r="D104" s="1756"/>
      <c r="E104" s="1756"/>
      <c r="F104" s="1748">
        <v>0.05</v>
      </c>
    </row>
    <row r="105" spans="1:6" ht="14.25" thickBot="1">
      <c r="A105" s="1742" t="s">
        <v>1382</v>
      </c>
      <c r="B105" s="1746" t="s">
        <v>2068</v>
      </c>
      <c r="C105" s="1756"/>
      <c r="D105" s="1756"/>
      <c r="E105" s="1756"/>
      <c r="F105" s="1748">
        <v>0.05</v>
      </c>
    </row>
    <row r="106" spans="1:6" ht="14.25" thickBot="1">
      <c r="A106" s="1742" t="s">
        <v>1382</v>
      </c>
      <c r="B106" s="1746" t="s">
        <v>2069</v>
      </c>
      <c r="C106" s="1756"/>
      <c r="D106" s="1756"/>
      <c r="E106" s="1756"/>
      <c r="F106" s="1748">
        <v>0.05</v>
      </c>
    </row>
    <row r="107" spans="1:6" ht="24.75" thickBot="1">
      <c r="A107" s="1742" t="s">
        <v>1382</v>
      </c>
      <c r="B107" s="1746" t="s">
        <v>2070</v>
      </c>
      <c r="C107" s="1756"/>
      <c r="D107" s="1756"/>
      <c r="E107" s="1756"/>
      <c r="F107" s="1748">
        <v>0.05</v>
      </c>
    </row>
    <row r="108" spans="1:6" ht="24.75" thickBot="1">
      <c r="A108" s="1742" t="s">
        <v>1382</v>
      </c>
      <c r="B108" s="1746" t="s">
        <v>2071</v>
      </c>
      <c r="C108" s="1756"/>
      <c r="D108" s="1756"/>
      <c r="E108" s="1756"/>
      <c r="F108" s="1748">
        <v>0.05</v>
      </c>
    </row>
    <row r="109" spans="1:6" ht="24.75" thickBot="1">
      <c r="A109" s="1750" t="s">
        <v>1382</v>
      </c>
      <c r="B109" s="1757" t="s">
        <v>2072</v>
      </c>
      <c r="C109" s="1753"/>
      <c r="D109" s="1753"/>
      <c r="E109" s="1753"/>
      <c r="F109" s="1758">
        <v>0.05</v>
      </c>
    </row>
    <row r="110" spans="1:6" ht="14.25" thickBot="1">
      <c r="A110" s="1742" t="s">
        <v>1384</v>
      </c>
      <c r="B110" s="1743" t="s">
        <v>2073</v>
      </c>
      <c r="C110" s="1744">
        <v>0.129</v>
      </c>
      <c r="D110" s="1744">
        <v>0.129</v>
      </c>
      <c r="E110" s="1744">
        <v>0.126</v>
      </c>
      <c r="F110" s="1745">
        <v>0.13</v>
      </c>
    </row>
    <row r="111" spans="1:6" ht="14.25" thickBot="1">
      <c r="A111" s="1742" t="s">
        <v>1384</v>
      </c>
      <c r="B111" s="1746" t="s">
        <v>1050</v>
      </c>
      <c r="C111" s="1747">
        <v>0.11</v>
      </c>
      <c r="D111" s="1747">
        <v>0.11</v>
      </c>
      <c r="E111" s="1747">
        <v>9.9000000000000005E-2</v>
      </c>
      <c r="F111" s="1748">
        <v>0.128</v>
      </c>
    </row>
    <row r="112" spans="1:6" ht="14.25" thickBot="1">
      <c r="A112" s="1742" t="s">
        <v>1384</v>
      </c>
      <c r="B112" s="1746" t="s">
        <v>1064</v>
      </c>
      <c r="C112" s="1747">
        <v>0.125</v>
      </c>
      <c r="D112" s="1747">
        <v>0.125</v>
      </c>
      <c r="E112" s="1747">
        <v>0.12</v>
      </c>
      <c r="F112" s="1748">
        <v>0.125</v>
      </c>
    </row>
    <row r="113" spans="1:6" ht="14.25" thickBot="1">
      <c r="A113" s="1742" t="s">
        <v>1384</v>
      </c>
      <c r="B113" s="1746" t="s">
        <v>1077</v>
      </c>
      <c r="C113" s="1747">
        <v>0.13</v>
      </c>
      <c r="D113" s="1747">
        <v>0.13</v>
      </c>
      <c r="E113" s="1747">
        <v>0.13</v>
      </c>
      <c r="F113" s="1748">
        <v>0.13</v>
      </c>
    </row>
    <row r="114" spans="1:6" ht="14.25" thickBot="1">
      <c r="A114" s="1742" t="s">
        <v>1384</v>
      </c>
      <c r="B114" s="1746" t="s">
        <v>1091</v>
      </c>
      <c r="C114" s="1747">
        <v>0.123</v>
      </c>
      <c r="D114" s="1747">
        <v>0.123</v>
      </c>
      <c r="E114" s="1747">
        <v>0.12</v>
      </c>
      <c r="F114" s="1748">
        <v>0.13</v>
      </c>
    </row>
    <row r="115" spans="1:6" ht="14.25" thickBot="1">
      <c r="A115" s="1742" t="s">
        <v>1384</v>
      </c>
      <c r="B115" s="1746" t="s">
        <v>1102</v>
      </c>
      <c r="C115" s="1747">
        <v>0.125</v>
      </c>
      <c r="D115" s="1747">
        <v>0.125</v>
      </c>
      <c r="E115" s="1747">
        <v>0.11700000000000001</v>
      </c>
      <c r="F115" s="1748">
        <v>0.13</v>
      </c>
    </row>
    <row r="116" spans="1:6" ht="14.25" thickBot="1">
      <c r="A116" s="1742" t="s">
        <v>1384</v>
      </c>
      <c r="B116" s="1746" t="s">
        <v>1113</v>
      </c>
      <c r="C116" s="1747">
        <v>0.11700000000000001</v>
      </c>
      <c r="D116" s="1747">
        <v>0.11700000000000001</v>
      </c>
      <c r="E116" s="1747">
        <v>8.7999999999999995E-2</v>
      </c>
      <c r="F116" s="1748">
        <v>0.13</v>
      </c>
    </row>
    <row r="117" spans="1:6" ht="14.25" thickBot="1">
      <c r="A117" s="1742" t="s">
        <v>1384</v>
      </c>
      <c r="B117" s="1746" t="s">
        <v>1124</v>
      </c>
      <c r="C117" s="1747">
        <v>0.13</v>
      </c>
      <c r="D117" s="1747">
        <v>0.13</v>
      </c>
      <c r="E117" s="1747">
        <v>0.129</v>
      </c>
      <c r="F117" s="1748">
        <v>0.13</v>
      </c>
    </row>
    <row r="118" spans="1:6" ht="14.25" thickBot="1">
      <c r="A118" s="1742" t="s">
        <v>1384</v>
      </c>
      <c r="B118" s="1746" t="s">
        <v>1136</v>
      </c>
      <c r="C118" s="1747">
        <v>0.123</v>
      </c>
      <c r="D118" s="1747">
        <v>0.123</v>
      </c>
      <c r="E118" s="1747">
        <v>0.11600000000000001</v>
      </c>
      <c r="F118" s="1748">
        <v>0.13</v>
      </c>
    </row>
    <row r="119" spans="1:6" ht="14.25" thickBot="1">
      <c r="A119" s="1742" t="s">
        <v>1384</v>
      </c>
      <c r="B119" s="1746" t="s">
        <v>1146</v>
      </c>
      <c r="C119" s="1747">
        <v>0.127</v>
      </c>
      <c r="D119" s="1747">
        <v>0.127</v>
      </c>
      <c r="E119" s="1747">
        <v>0.124</v>
      </c>
      <c r="F119" s="1748">
        <v>0.13</v>
      </c>
    </row>
    <row r="120" spans="1:6" ht="14.25" thickBot="1">
      <c r="A120" s="1742" t="s">
        <v>1384</v>
      </c>
      <c r="B120" s="1746" t="s">
        <v>1156</v>
      </c>
      <c r="C120" s="1747">
        <v>0.125</v>
      </c>
      <c r="D120" s="1747">
        <v>0.125</v>
      </c>
      <c r="E120" s="1747">
        <v>0.122</v>
      </c>
      <c r="F120" s="1748">
        <v>0.13</v>
      </c>
    </row>
    <row r="121" spans="1:6" ht="14.25" thickBot="1">
      <c r="A121" s="1742" t="s">
        <v>1384</v>
      </c>
      <c r="B121" s="1746" t="s">
        <v>1166</v>
      </c>
      <c r="C121" s="1747">
        <v>0.13</v>
      </c>
      <c r="D121" s="1747">
        <v>0.13</v>
      </c>
      <c r="E121" s="1747">
        <v>0.13</v>
      </c>
      <c r="F121" s="1748">
        <v>0.13</v>
      </c>
    </row>
    <row r="122" spans="1:6" ht="14.25" thickBot="1">
      <c r="A122" s="1742" t="s">
        <v>1384</v>
      </c>
      <c r="B122" s="1746" t="s">
        <v>1176</v>
      </c>
      <c r="C122" s="1747">
        <v>0.13</v>
      </c>
      <c r="D122" s="1747">
        <v>0.13</v>
      </c>
      <c r="E122" s="1747">
        <v>0.125</v>
      </c>
      <c r="F122" s="1748">
        <v>0.13</v>
      </c>
    </row>
    <row r="123" spans="1:6" ht="14.25" thickBot="1">
      <c r="A123" s="1742" t="s">
        <v>1384</v>
      </c>
      <c r="B123" s="1746" t="s">
        <v>1186</v>
      </c>
      <c r="C123" s="1747">
        <v>0.129</v>
      </c>
      <c r="D123" s="1747">
        <v>0.129</v>
      </c>
      <c r="E123" s="1747">
        <v>0.123</v>
      </c>
      <c r="F123" s="1748">
        <v>0.13</v>
      </c>
    </row>
    <row r="124" spans="1:6" ht="14.25" thickBot="1">
      <c r="A124" s="1742" t="s">
        <v>1384</v>
      </c>
      <c r="B124" s="1746" t="s">
        <v>1196</v>
      </c>
      <c r="C124" s="1747">
        <v>0.10199999999999999</v>
      </c>
      <c r="D124" s="1747">
        <v>0.10100000000000001</v>
      </c>
      <c r="E124" s="1747">
        <v>0.08</v>
      </c>
      <c r="F124" s="1755"/>
    </row>
    <row r="125" spans="1:6" ht="14.25" thickBot="1">
      <c r="A125" s="1742" t="s">
        <v>1384</v>
      </c>
      <c r="B125" s="1746" t="s">
        <v>1206</v>
      </c>
      <c r="C125" s="1747">
        <v>0.13</v>
      </c>
      <c r="D125" s="1747">
        <v>0.13</v>
      </c>
      <c r="E125" s="1747">
        <v>0.129</v>
      </c>
      <c r="F125" s="1755"/>
    </row>
    <row r="126" spans="1:6" ht="14.25" thickBot="1">
      <c r="A126" s="1742" t="s">
        <v>1384</v>
      </c>
      <c r="B126" s="1746" t="s">
        <v>1216</v>
      </c>
      <c r="C126" s="1747">
        <v>0.13</v>
      </c>
      <c r="D126" s="1747">
        <v>0.13</v>
      </c>
      <c r="E126" s="1747">
        <v>0.126</v>
      </c>
      <c r="F126" s="1755"/>
    </row>
    <row r="127" spans="1:6" ht="14.25" thickBot="1">
      <c r="A127" s="1742" t="s">
        <v>1384</v>
      </c>
      <c r="B127" s="1746" t="s">
        <v>1226</v>
      </c>
      <c r="C127" s="1747">
        <v>0.125</v>
      </c>
      <c r="D127" s="1747">
        <v>0.125</v>
      </c>
      <c r="E127" s="1747">
        <v>0.121</v>
      </c>
      <c r="F127" s="1755"/>
    </row>
    <row r="128" spans="1:6" ht="14.25" thickBot="1">
      <c r="A128" s="1742" t="s">
        <v>1384</v>
      </c>
      <c r="B128" s="1746" t="s">
        <v>1236</v>
      </c>
      <c r="C128" s="1747">
        <v>0.12</v>
      </c>
      <c r="D128" s="1747">
        <v>0.12</v>
      </c>
      <c r="E128" s="1747">
        <v>0.105</v>
      </c>
      <c r="F128" s="1755"/>
    </row>
    <row r="129" spans="1:6" ht="14.25" thickBot="1">
      <c r="A129" s="1742" t="s">
        <v>1384</v>
      </c>
      <c r="B129" s="1746" t="s">
        <v>1245</v>
      </c>
      <c r="C129" s="1747">
        <v>0.13</v>
      </c>
      <c r="D129" s="1747">
        <v>0.13</v>
      </c>
      <c r="E129" s="1747">
        <v>0.126</v>
      </c>
      <c r="F129" s="1755"/>
    </row>
    <row r="130" spans="1:6" ht="14.25" thickBot="1">
      <c r="A130" s="1742" t="s">
        <v>1384</v>
      </c>
      <c r="B130" s="1746" t="s">
        <v>1254</v>
      </c>
      <c r="C130" s="1747">
        <v>0.125</v>
      </c>
      <c r="D130" s="1747">
        <v>0.125</v>
      </c>
      <c r="E130" s="1747">
        <v>0.122</v>
      </c>
      <c r="F130" s="1755"/>
    </row>
    <row r="131" spans="1:6" ht="14.25" thickBot="1">
      <c r="A131" s="1742" t="s">
        <v>1384</v>
      </c>
      <c r="B131" s="1746" t="s">
        <v>1262</v>
      </c>
      <c r="C131" s="1747">
        <v>0.127</v>
      </c>
      <c r="D131" s="1747">
        <v>0.126</v>
      </c>
      <c r="E131" s="1747">
        <v>0.123</v>
      </c>
      <c r="F131" s="1755"/>
    </row>
    <row r="132" spans="1:6" ht="14.25" thickBot="1">
      <c r="A132" s="1742" t="s">
        <v>1384</v>
      </c>
      <c r="B132" s="1746" t="s">
        <v>1269</v>
      </c>
      <c r="C132" s="1747">
        <v>9.0999999999999998E-2</v>
      </c>
      <c r="D132" s="1747">
        <v>0.121</v>
      </c>
      <c r="E132" s="1747">
        <v>9.9000000000000005E-2</v>
      </c>
      <c r="F132" s="1755"/>
    </row>
    <row r="133" spans="1:6" ht="14.25" thickBot="1">
      <c r="A133" s="1742" t="s">
        <v>1384</v>
      </c>
      <c r="B133" s="1746" t="s">
        <v>1276</v>
      </c>
      <c r="C133" s="1747">
        <v>0.13</v>
      </c>
      <c r="D133" s="1747">
        <v>0.13</v>
      </c>
      <c r="E133" s="1747">
        <v>0.129</v>
      </c>
      <c r="F133" s="1755"/>
    </row>
    <row r="134" spans="1:6" ht="14.25" thickBot="1">
      <c r="A134" s="1742" t="s">
        <v>1384</v>
      </c>
      <c r="B134" s="1746" t="s">
        <v>2074</v>
      </c>
      <c r="C134" s="1747">
        <v>6.8000000000000005E-2</v>
      </c>
      <c r="D134" s="1747">
        <v>6.5000000000000002E-2</v>
      </c>
      <c r="E134" s="1747">
        <v>6.5000000000000002E-2</v>
      </c>
      <c r="F134" s="1748">
        <v>0.13</v>
      </c>
    </row>
    <row r="135" spans="1:6" ht="14.25" thickBot="1">
      <c r="A135" s="1742" t="s">
        <v>1384</v>
      </c>
      <c r="B135" s="1746" t="s">
        <v>1290</v>
      </c>
      <c r="C135" s="1747">
        <v>0.123</v>
      </c>
      <c r="D135" s="1747">
        <v>0.123</v>
      </c>
      <c r="E135" s="1747">
        <v>0.11</v>
      </c>
      <c r="F135" s="1755"/>
    </row>
    <row r="136" spans="1:6" ht="14.25" thickBot="1">
      <c r="A136" s="1742" t="s">
        <v>1384</v>
      </c>
      <c r="B136" s="1746" t="s">
        <v>1297</v>
      </c>
      <c r="C136" s="1747">
        <v>0.13</v>
      </c>
      <c r="D136" s="1747">
        <v>0.13</v>
      </c>
      <c r="E136" s="1747">
        <v>0.125</v>
      </c>
      <c r="F136" s="1755"/>
    </row>
    <row r="137" spans="1:6" ht="14.25" thickBot="1">
      <c r="A137" s="1742" t="s">
        <v>1384</v>
      </c>
      <c r="B137" s="1746" t="s">
        <v>1304</v>
      </c>
      <c r="C137" s="1747">
        <v>0.121</v>
      </c>
      <c r="D137" s="1747">
        <v>0.122</v>
      </c>
      <c r="E137" s="1747">
        <v>0.115</v>
      </c>
      <c r="F137" s="1755"/>
    </row>
    <row r="138" spans="1:6" ht="14.25" thickBot="1">
      <c r="A138" s="1742" t="s">
        <v>1384</v>
      </c>
      <c r="B138" s="1746" t="s">
        <v>2075</v>
      </c>
      <c r="C138" s="1747">
        <v>0.105</v>
      </c>
      <c r="D138" s="1747">
        <v>0.125</v>
      </c>
      <c r="E138" s="1747">
        <v>0.112</v>
      </c>
      <c r="F138" s="1755"/>
    </row>
    <row r="139" spans="1:6" ht="14.25" thickBot="1">
      <c r="A139" s="1742" t="s">
        <v>1384</v>
      </c>
      <c r="B139" s="1746" t="s">
        <v>2076</v>
      </c>
      <c r="C139" s="1747">
        <v>0.127</v>
      </c>
      <c r="D139" s="1747">
        <v>0.127</v>
      </c>
      <c r="E139" s="1747">
        <v>0.122</v>
      </c>
      <c r="F139" s="1748">
        <v>0.13</v>
      </c>
    </row>
    <row r="140" spans="1:6" ht="14.25" thickBot="1">
      <c r="A140" s="1742" t="s">
        <v>1384</v>
      </c>
      <c r="B140" s="1746" t="s">
        <v>2077</v>
      </c>
      <c r="C140" s="1747">
        <v>0.125</v>
      </c>
      <c r="D140" s="1747">
        <v>0.125</v>
      </c>
      <c r="E140" s="1747">
        <v>0.11899999999999999</v>
      </c>
      <c r="F140" s="1748">
        <v>0.13</v>
      </c>
    </row>
    <row r="141" spans="1:6" ht="14.25" thickBot="1">
      <c r="A141" s="1742" t="s">
        <v>1384</v>
      </c>
      <c r="B141" s="1746" t="s">
        <v>1323</v>
      </c>
      <c r="C141" s="1747">
        <v>0.125</v>
      </c>
      <c r="D141" s="1747">
        <v>0.125</v>
      </c>
      <c r="E141" s="1747">
        <v>0.11700000000000001</v>
      </c>
      <c r="F141" s="1755"/>
    </row>
    <row r="142" spans="1:6" ht="14.25" thickBot="1">
      <c r="A142" s="1742" t="s">
        <v>1384</v>
      </c>
      <c r="B142" s="1746" t="s">
        <v>1328</v>
      </c>
      <c r="C142" s="1747">
        <v>0.125</v>
      </c>
      <c r="D142" s="1747">
        <v>0.125</v>
      </c>
      <c r="E142" s="1747">
        <v>0.115</v>
      </c>
      <c r="F142" s="1755"/>
    </row>
    <row r="143" spans="1:6" ht="14.25" thickBot="1">
      <c r="A143" s="1742" t="s">
        <v>1384</v>
      </c>
      <c r="B143" s="1746" t="s">
        <v>1333</v>
      </c>
      <c r="C143" s="1747">
        <v>0.121</v>
      </c>
      <c r="D143" s="1747">
        <v>0.121</v>
      </c>
      <c r="E143" s="1747">
        <v>0.108</v>
      </c>
      <c r="F143" s="1755"/>
    </row>
    <row r="144" spans="1:6" ht="14.25" thickBot="1">
      <c r="A144" s="1742" t="s">
        <v>1384</v>
      </c>
      <c r="B144" s="1759" t="s">
        <v>2078</v>
      </c>
      <c r="C144" s="1760">
        <v>0.126</v>
      </c>
      <c r="D144" s="1760">
        <v>0.126</v>
      </c>
      <c r="E144" s="1760">
        <v>0.121</v>
      </c>
      <c r="F144" s="1755"/>
    </row>
    <row r="145" spans="1:6" ht="14.25" thickBot="1">
      <c r="A145" s="1750" t="s">
        <v>1384</v>
      </c>
      <c r="B145" s="1761" t="s">
        <v>2079</v>
      </c>
      <c r="C145" s="1762"/>
      <c r="D145" s="1762"/>
      <c r="E145" s="1762"/>
      <c r="F145" s="1763">
        <v>0.05</v>
      </c>
    </row>
    <row r="146" spans="1:6" ht="24.75" thickBot="1">
      <c r="A146" s="1764" t="s">
        <v>1384</v>
      </c>
      <c r="B146" s="1749" t="s">
        <v>2080</v>
      </c>
      <c r="C146" s="1756"/>
      <c r="D146" s="1756"/>
      <c r="E146" s="1756"/>
      <c r="F146" s="1765">
        <v>0.05</v>
      </c>
    </row>
    <row r="147" spans="1:6" ht="24.75" thickBot="1">
      <c r="A147" s="1742" t="s">
        <v>1384</v>
      </c>
      <c r="B147" s="1746" t="s">
        <v>2081</v>
      </c>
      <c r="C147" s="1756"/>
      <c r="D147" s="1756"/>
      <c r="E147" s="1756"/>
      <c r="F147" s="1748">
        <v>0.05</v>
      </c>
    </row>
    <row r="148" spans="1:6" ht="24.75" thickBot="1">
      <c r="A148" s="1742" t="s">
        <v>1384</v>
      </c>
      <c r="B148" s="1746" t="s">
        <v>2082</v>
      </c>
      <c r="C148" s="1756"/>
      <c r="D148" s="1756"/>
      <c r="E148" s="1756"/>
      <c r="F148" s="1748">
        <v>0.05</v>
      </c>
    </row>
    <row r="149" spans="1:6" ht="24.75" thickBot="1">
      <c r="A149" s="1742" t="s">
        <v>1384</v>
      </c>
      <c r="B149" s="1746" t="s">
        <v>2083</v>
      </c>
      <c r="C149" s="1756"/>
      <c r="D149" s="1756"/>
      <c r="E149" s="1756"/>
      <c r="F149" s="1748">
        <v>0.05</v>
      </c>
    </row>
    <row r="150" spans="1:6" ht="24.75" thickBot="1">
      <c r="A150" s="1742" t="s">
        <v>1384</v>
      </c>
      <c r="B150" s="1746" t="s">
        <v>2084</v>
      </c>
      <c r="C150" s="1756"/>
      <c r="D150" s="1756"/>
      <c r="E150" s="1756"/>
      <c r="F150" s="1748">
        <v>0.05</v>
      </c>
    </row>
    <row r="151" spans="1:6" ht="24.75" thickBot="1">
      <c r="A151" s="1742" t="s">
        <v>1384</v>
      </c>
      <c r="B151" s="1746" t="s">
        <v>2085</v>
      </c>
      <c r="C151" s="1756"/>
      <c r="D151" s="1756"/>
      <c r="E151" s="1756"/>
      <c r="F151" s="1748">
        <v>0.05</v>
      </c>
    </row>
    <row r="152" spans="1:6" ht="24.75" thickBot="1">
      <c r="A152" s="1742" t="s">
        <v>1384</v>
      </c>
      <c r="B152" s="1746" t="s">
        <v>1366</v>
      </c>
      <c r="C152" s="1756"/>
      <c r="D152" s="1756"/>
      <c r="E152" s="1756"/>
      <c r="F152" s="1748">
        <v>0.05</v>
      </c>
    </row>
    <row r="153" spans="1:6" ht="14.25" thickBot="1">
      <c r="A153" s="1742" t="s">
        <v>1384</v>
      </c>
      <c r="B153" s="1746" t="s">
        <v>2086</v>
      </c>
      <c r="C153" s="1756"/>
      <c r="D153" s="1756"/>
      <c r="E153" s="1756"/>
      <c r="F153" s="1748">
        <v>0.05</v>
      </c>
    </row>
    <row r="154" spans="1:6" ht="14.25" thickBot="1">
      <c r="A154" s="1742" t="s">
        <v>1384</v>
      </c>
      <c r="B154" s="1746" t="s">
        <v>2087</v>
      </c>
      <c r="C154" s="1756"/>
      <c r="D154" s="1756"/>
      <c r="E154" s="1756"/>
      <c r="F154" s="1748">
        <v>0.05</v>
      </c>
    </row>
    <row r="155" spans="1:6" ht="24.75" thickBot="1">
      <c r="A155" s="1742" t="s">
        <v>1384</v>
      </c>
      <c r="B155" s="1746" t="s">
        <v>2088</v>
      </c>
      <c r="C155" s="1756"/>
      <c r="D155" s="1756"/>
      <c r="E155" s="1756"/>
      <c r="F155" s="1748">
        <v>0.05</v>
      </c>
    </row>
    <row r="156" spans="1:6" ht="24.75" thickBot="1">
      <c r="A156" s="1742" t="s">
        <v>1384</v>
      </c>
      <c r="B156" s="1746" t="s">
        <v>2089</v>
      </c>
      <c r="C156" s="1756"/>
      <c r="D156" s="1756"/>
      <c r="E156" s="1756"/>
      <c r="F156" s="1748">
        <v>0.05</v>
      </c>
    </row>
    <row r="157" spans="1:6" ht="14.25" thickBot="1">
      <c r="A157" s="1750" t="s">
        <v>1384</v>
      </c>
      <c r="B157" s="1757" t="s">
        <v>2090</v>
      </c>
      <c r="C157" s="1753"/>
      <c r="D157" s="1753"/>
      <c r="E157" s="1753"/>
      <c r="F157" s="1758">
        <v>0.05</v>
      </c>
    </row>
    <row r="158" spans="1:6" ht="14.25" thickBot="1">
      <c r="A158" s="1742" t="s">
        <v>1386</v>
      </c>
      <c r="B158" s="1743" t="s">
        <v>2091</v>
      </c>
      <c r="C158" s="1744">
        <v>0.13</v>
      </c>
      <c r="D158" s="1744">
        <v>0.13</v>
      </c>
      <c r="E158" s="1744">
        <v>0.13</v>
      </c>
      <c r="F158" s="1745">
        <v>0.13</v>
      </c>
    </row>
    <row r="159" spans="1:6" ht="14.25" thickBot="1">
      <c r="A159" s="1742" t="s">
        <v>1386</v>
      </c>
      <c r="B159" s="1746" t="s">
        <v>1051</v>
      </c>
      <c r="C159" s="1747">
        <v>0.13</v>
      </c>
      <c r="D159" s="1747">
        <v>0.13</v>
      </c>
      <c r="E159" s="1747">
        <v>0.13</v>
      </c>
      <c r="F159" s="1748">
        <v>0.13</v>
      </c>
    </row>
    <row r="160" spans="1:6" ht="14.25" thickBot="1">
      <c r="A160" s="1742" t="s">
        <v>1386</v>
      </c>
      <c r="B160" s="1746" t="s">
        <v>1065</v>
      </c>
      <c r="C160" s="1747">
        <v>0.13</v>
      </c>
      <c r="D160" s="1747">
        <v>0.13</v>
      </c>
      <c r="E160" s="1747">
        <v>0.129</v>
      </c>
      <c r="F160" s="1748">
        <v>0.13</v>
      </c>
    </row>
    <row r="161" spans="1:6" ht="14.25" thickBot="1">
      <c r="A161" s="1742" t="s">
        <v>1386</v>
      </c>
      <c r="B161" s="1746" t="s">
        <v>1078</v>
      </c>
      <c r="C161" s="1747">
        <v>0.128</v>
      </c>
      <c r="D161" s="1747">
        <v>0.128</v>
      </c>
      <c r="E161" s="1747">
        <v>0.125</v>
      </c>
      <c r="F161" s="1748">
        <v>0.13</v>
      </c>
    </row>
    <row r="162" spans="1:6" ht="14.25" thickBot="1">
      <c r="A162" s="1742" t="s">
        <v>1386</v>
      </c>
      <c r="B162" s="1746" t="s">
        <v>1092</v>
      </c>
      <c r="C162" s="1747">
        <v>0.122</v>
      </c>
      <c r="D162" s="1747">
        <v>0.122</v>
      </c>
      <c r="E162" s="1747">
        <v>0.126</v>
      </c>
      <c r="F162" s="1748">
        <v>0.122</v>
      </c>
    </row>
    <row r="163" spans="1:6" ht="14.25" thickBot="1">
      <c r="A163" s="1742" t="s">
        <v>1386</v>
      </c>
      <c r="B163" s="1746" t="s">
        <v>1103</v>
      </c>
      <c r="C163" s="1747">
        <v>0.13</v>
      </c>
      <c r="D163" s="1747">
        <v>0.13</v>
      </c>
      <c r="E163" s="1747">
        <v>0.125</v>
      </c>
      <c r="F163" s="1748">
        <v>0.13</v>
      </c>
    </row>
    <row r="164" spans="1:6" ht="14.25" thickBot="1">
      <c r="A164" s="1742" t="s">
        <v>1386</v>
      </c>
      <c r="B164" s="1746" t="s">
        <v>1114</v>
      </c>
      <c r="C164" s="1747">
        <v>0.13</v>
      </c>
      <c r="D164" s="1747">
        <v>0.13</v>
      </c>
      <c r="E164" s="1747">
        <v>0.13</v>
      </c>
      <c r="F164" s="1748">
        <v>0.13</v>
      </c>
    </row>
    <row r="165" spans="1:6" ht="14.25" thickBot="1">
      <c r="A165" s="1742" t="s">
        <v>1386</v>
      </c>
      <c r="B165" s="1746" t="s">
        <v>1125</v>
      </c>
      <c r="C165" s="1747">
        <v>0.13</v>
      </c>
      <c r="D165" s="1747">
        <v>0.13</v>
      </c>
      <c r="E165" s="1747">
        <v>0.124</v>
      </c>
      <c r="F165" s="1748">
        <v>0.13</v>
      </c>
    </row>
    <row r="166" spans="1:6" ht="14.25" thickBot="1">
      <c r="A166" s="1742" t="s">
        <v>1386</v>
      </c>
      <c r="B166" s="1746" t="s">
        <v>1137</v>
      </c>
      <c r="C166" s="1747">
        <v>0.13</v>
      </c>
      <c r="D166" s="1747">
        <v>0.13</v>
      </c>
      <c r="E166" s="1747">
        <v>0.13</v>
      </c>
      <c r="F166" s="1748">
        <v>0.13</v>
      </c>
    </row>
    <row r="167" spans="1:6" ht="14.25" thickBot="1">
      <c r="A167" s="1742" t="s">
        <v>1386</v>
      </c>
      <c r="B167" s="1746" t="s">
        <v>1147</v>
      </c>
      <c r="C167" s="1747">
        <v>0.125</v>
      </c>
      <c r="D167" s="1747">
        <v>0.125</v>
      </c>
      <c r="E167" s="1747">
        <v>0.121</v>
      </c>
      <c r="F167" s="1755"/>
    </row>
    <row r="168" spans="1:6" ht="14.25" thickBot="1">
      <c r="A168" s="1742" t="s">
        <v>1386</v>
      </c>
      <c r="B168" s="1746" t="s">
        <v>1157</v>
      </c>
      <c r="C168" s="1747">
        <v>0.13</v>
      </c>
      <c r="D168" s="1747">
        <v>0.13</v>
      </c>
      <c r="E168" s="1747">
        <v>0.126</v>
      </c>
      <c r="F168" s="1755"/>
    </row>
    <row r="169" spans="1:6" ht="14.25" thickBot="1">
      <c r="A169" s="1742" t="s">
        <v>1386</v>
      </c>
      <c r="B169" s="1746" t="s">
        <v>1167</v>
      </c>
      <c r="C169" s="1747">
        <v>0.128</v>
      </c>
      <c r="D169" s="1747">
        <v>0.129</v>
      </c>
      <c r="E169" s="1747">
        <v>0.13</v>
      </c>
      <c r="F169" s="1755"/>
    </row>
    <row r="170" spans="1:6" ht="14.25" thickBot="1">
      <c r="A170" s="1742" t="s">
        <v>1386</v>
      </c>
      <c r="B170" s="1746" t="s">
        <v>1177</v>
      </c>
      <c r="C170" s="1747">
        <v>0.14099999999999999</v>
      </c>
      <c r="D170" s="1747">
        <v>0.13</v>
      </c>
      <c r="E170" s="1747">
        <v>0.125</v>
      </c>
      <c r="F170" s="1755"/>
    </row>
    <row r="171" spans="1:6" ht="14.25" thickBot="1">
      <c r="A171" s="1742" t="s">
        <v>1386</v>
      </c>
      <c r="B171" s="1746" t="s">
        <v>2092</v>
      </c>
      <c r="C171" s="1747">
        <v>0.127</v>
      </c>
      <c r="D171" s="1747">
        <v>0.126</v>
      </c>
      <c r="E171" s="1747">
        <v>0.126</v>
      </c>
      <c r="F171" s="1748">
        <v>0.11799999999999999</v>
      </c>
    </row>
    <row r="172" spans="1:6" ht="14.25" thickBot="1">
      <c r="A172" s="1742" t="s">
        <v>1386</v>
      </c>
      <c r="B172" s="1746" t="s">
        <v>2093</v>
      </c>
      <c r="C172" s="1747">
        <v>0.13</v>
      </c>
      <c r="D172" s="1747">
        <v>0.13</v>
      </c>
      <c r="E172" s="1747">
        <v>0.13</v>
      </c>
      <c r="F172" s="1755"/>
    </row>
    <row r="173" spans="1:6" ht="14.25" thickBot="1">
      <c r="A173" s="1742" t="s">
        <v>1386</v>
      </c>
      <c r="B173" s="1746" t="s">
        <v>1207</v>
      </c>
      <c r="C173" s="1747">
        <v>0.13</v>
      </c>
      <c r="D173" s="1747">
        <v>0.13</v>
      </c>
      <c r="E173" s="1747">
        <v>0.13</v>
      </c>
      <c r="F173" s="1755"/>
    </row>
    <row r="174" spans="1:6" ht="14.25" thickBot="1">
      <c r="A174" s="1742" t="s">
        <v>1386</v>
      </c>
      <c r="B174" s="1746" t="s">
        <v>2094</v>
      </c>
      <c r="C174" s="1747">
        <v>0.13</v>
      </c>
      <c r="D174" s="1747">
        <v>0.13</v>
      </c>
      <c r="E174" s="1747">
        <v>0.13</v>
      </c>
      <c r="F174" s="1748">
        <v>0.13</v>
      </c>
    </row>
    <row r="175" spans="1:6" ht="14.25" thickBot="1">
      <c r="A175" s="1742" t="s">
        <v>1386</v>
      </c>
      <c r="B175" s="1746" t="s">
        <v>2095</v>
      </c>
      <c r="C175" s="1747">
        <v>0.13</v>
      </c>
      <c r="D175" s="1747">
        <v>0.13</v>
      </c>
      <c r="E175" s="1747">
        <v>0.13</v>
      </c>
      <c r="F175" s="1748">
        <v>0.13</v>
      </c>
    </row>
    <row r="176" spans="1:6" ht="14.25" thickBot="1">
      <c r="A176" s="1742" t="s">
        <v>1386</v>
      </c>
      <c r="B176" s="1746" t="s">
        <v>1237</v>
      </c>
      <c r="C176" s="1747">
        <v>0.13</v>
      </c>
      <c r="D176" s="1747">
        <v>0.13</v>
      </c>
      <c r="E176" s="1747">
        <v>0.13</v>
      </c>
      <c r="F176" s="1748">
        <v>0.13</v>
      </c>
    </row>
    <row r="177" spans="1:6" ht="14.25" thickBot="1">
      <c r="A177" s="1742" t="s">
        <v>1386</v>
      </c>
      <c r="B177" s="1746" t="s">
        <v>2096</v>
      </c>
      <c r="C177" s="1747">
        <v>0.13</v>
      </c>
      <c r="D177" s="1747">
        <v>0.13</v>
      </c>
      <c r="E177" s="1747">
        <v>0.13</v>
      </c>
      <c r="F177" s="1748">
        <v>0.13</v>
      </c>
    </row>
    <row r="178" spans="1:6" ht="14.25" thickBot="1">
      <c r="A178" s="1742" t="s">
        <v>1386</v>
      </c>
      <c r="B178" s="1746" t="s">
        <v>1255</v>
      </c>
      <c r="C178" s="1747">
        <v>0.13</v>
      </c>
      <c r="D178" s="1747">
        <v>0.13</v>
      </c>
      <c r="E178" s="1747">
        <v>0.13</v>
      </c>
      <c r="F178" s="1748">
        <v>0.127</v>
      </c>
    </row>
    <row r="179" spans="1:6" ht="14.25" thickBot="1">
      <c r="A179" s="1742" t="s">
        <v>1386</v>
      </c>
      <c r="B179" s="1746" t="s">
        <v>1263</v>
      </c>
      <c r="C179" s="1747">
        <v>0.13</v>
      </c>
      <c r="D179" s="1747">
        <v>0.13</v>
      </c>
      <c r="E179" s="1747">
        <v>0.13</v>
      </c>
      <c r="F179" s="1755"/>
    </row>
    <row r="180" spans="1:6" ht="14.25" thickBot="1">
      <c r="A180" s="1742" t="s">
        <v>1386</v>
      </c>
      <c r="B180" s="1746" t="s">
        <v>2097</v>
      </c>
      <c r="C180" s="1747">
        <v>0.13</v>
      </c>
      <c r="D180" s="1747">
        <v>0.13</v>
      </c>
      <c r="E180" s="1747">
        <v>0.125</v>
      </c>
      <c r="F180" s="1748">
        <v>0.13</v>
      </c>
    </row>
    <row r="181" spans="1:6" ht="14.25" thickBot="1">
      <c r="A181" s="1742" t="s">
        <v>1386</v>
      </c>
      <c r="B181" s="1746" t="s">
        <v>1277</v>
      </c>
      <c r="C181" s="1747">
        <v>0.122</v>
      </c>
      <c r="D181" s="1747">
        <v>0.123</v>
      </c>
      <c r="E181" s="1747">
        <v>0.126</v>
      </c>
      <c r="F181" s="1748">
        <v>0.121</v>
      </c>
    </row>
    <row r="182" spans="1:6" ht="14.25" thickBot="1">
      <c r="A182" s="1742" t="s">
        <v>1386</v>
      </c>
      <c r="B182" s="1746" t="s">
        <v>1284</v>
      </c>
      <c r="C182" s="1747">
        <v>0.125</v>
      </c>
      <c r="D182" s="1747">
        <v>0.125</v>
      </c>
      <c r="E182" s="1747">
        <v>0.11700000000000001</v>
      </c>
      <c r="F182" s="1748">
        <v>0.13</v>
      </c>
    </row>
    <row r="183" spans="1:6" ht="14.25" thickBot="1">
      <c r="A183" s="1742" t="s">
        <v>1386</v>
      </c>
      <c r="B183" s="1746" t="s">
        <v>1291</v>
      </c>
      <c r="C183" s="1747">
        <v>0.127</v>
      </c>
      <c r="D183" s="1747">
        <v>0.127</v>
      </c>
      <c r="E183" s="1747">
        <v>0.128</v>
      </c>
      <c r="F183" s="1755"/>
    </row>
    <row r="184" spans="1:6" ht="14.25" thickBot="1">
      <c r="A184" s="1742" t="s">
        <v>1386</v>
      </c>
      <c r="B184" s="1746" t="s">
        <v>1298</v>
      </c>
      <c r="C184" s="1747">
        <v>0.125</v>
      </c>
      <c r="D184" s="1747">
        <v>0.125</v>
      </c>
      <c r="E184" s="1747">
        <v>0.127</v>
      </c>
      <c r="F184" s="1755"/>
    </row>
    <row r="185" spans="1:6" ht="14.25" thickBot="1">
      <c r="A185" s="1742" t="s">
        <v>1386</v>
      </c>
      <c r="B185" s="1746" t="s">
        <v>2098</v>
      </c>
      <c r="C185" s="1747">
        <v>0.127</v>
      </c>
      <c r="D185" s="1747">
        <v>0.127</v>
      </c>
      <c r="E185" s="1747">
        <v>0.128</v>
      </c>
      <c r="F185" s="1748">
        <v>0.13</v>
      </c>
    </row>
    <row r="186" spans="1:6" ht="24.75" thickBot="1">
      <c r="A186" s="1742" t="s">
        <v>1386</v>
      </c>
      <c r="B186" s="1746" t="s">
        <v>2099</v>
      </c>
      <c r="C186" s="1756"/>
      <c r="D186" s="1756"/>
      <c r="E186" s="1756"/>
      <c r="F186" s="1748">
        <v>0.05</v>
      </c>
    </row>
    <row r="187" spans="1:6" ht="14.25" thickBot="1">
      <c r="A187" s="1742" t="s">
        <v>1386</v>
      </c>
      <c r="B187" s="1746" t="s">
        <v>2100</v>
      </c>
      <c r="C187" s="1756"/>
      <c r="D187" s="1756"/>
      <c r="E187" s="1756"/>
      <c r="F187" s="1748">
        <v>0.05</v>
      </c>
    </row>
    <row r="188" spans="1:6" ht="14.25" thickBot="1">
      <c r="A188" s="1742" t="s">
        <v>1386</v>
      </c>
      <c r="B188" s="1746" t="s">
        <v>2101</v>
      </c>
      <c r="C188" s="1756"/>
      <c r="D188" s="1756"/>
      <c r="E188" s="1756"/>
      <c r="F188" s="1748">
        <v>0.05</v>
      </c>
    </row>
    <row r="189" spans="1:6" ht="24.75" thickBot="1">
      <c r="A189" s="1742" t="s">
        <v>1386</v>
      </c>
      <c r="B189" s="1746" t="s">
        <v>2102</v>
      </c>
      <c r="C189" s="1756"/>
      <c r="D189" s="1756"/>
      <c r="E189" s="1756"/>
      <c r="F189" s="1748">
        <v>0.05</v>
      </c>
    </row>
    <row r="190" spans="1:6" ht="24.75" thickBot="1">
      <c r="A190" s="1742" t="s">
        <v>1386</v>
      </c>
      <c r="B190" s="1746" t="s">
        <v>2103</v>
      </c>
      <c r="C190" s="1756"/>
      <c r="D190" s="1756"/>
      <c r="E190" s="1756"/>
      <c r="F190" s="1748">
        <v>0.05</v>
      </c>
    </row>
    <row r="191" spans="1:6" ht="24.75" thickBot="1">
      <c r="A191" s="1742" t="s">
        <v>1386</v>
      </c>
      <c r="B191" s="1746" t="s">
        <v>2104</v>
      </c>
      <c r="C191" s="1756"/>
      <c r="D191" s="1756"/>
      <c r="E191" s="1756"/>
      <c r="F191" s="1748">
        <v>0.05</v>
      </c>
    </row>
    <row r="192" spans="1:6" ht="24.75" thickBot="1">
      <c r="A192" s="1742" t="s">
        <v>1386</v>
      </c>
      <c r="B192" s="1746" t="s">
        <v>2105</v>
      </c>
      <c r="C192" s="1756"/>
      <c r="D192" s="1756"/>
      <c r="E192" s="1756"/>
      <c r="F192" s="1748">
        <v>0.05</v>
      </c>
    </row>
    <row r="193" spans="1:6" ht="24.75" thickBot="1">
      <c r="A193" s="1742" t="s">
        <v>1386</v>
      </c>
      <c r="B193" s="1746" t="s">
        <v>2106</v>
      </c>
      <c r="C193" s="1756"/>
      <c r="D193" s="1756"/>
      <c r="E193" s="1756"/>
      <c r="F193" s="1748">
        <v>0.05</v>
      </c>
    </row>
    <row r="194" spans="1:6" ht="24.75" thickBot="1">
      <c r="A194" s="1742" t="s">
        <v>1386</v>
      </c>
      <c r="B194" s="1746" t="s">
        <v>2107</v>
      </c>
      <c r="C194" s="1756"/>
      <c r="D194" s="1756"/>
      <c r="E194" s="1756"/>
      <c r="F194" s="1748">
        <v>0.05</v>
      </c>
    </row>
    <row r="195" spans="1:6" ht="14.25" thickBot="1">
      <c r="A195" s="1742" t="s">
        <v>1386</v>
      </c>
      <c r="B195" s="1746" t="s">
        <v>2108</v>
      </c>
      <c r="C195" s="1756"/>
      <c r="D195" s="1756"/>
      <c r="E195" s="1756"/>
      <c r="F195" s="1748">
        <v>0.05</v>
      </c>
    </row>
    <row r="196" spans="1:6" ht="24.75" thickBot="1">
      <c r="A196" s="1742" t="s">
        <v>1386</v>
      </c>
      <c r="B196" s="1746" t="s">
        <v>2109</v>
      </c>
      <c r="C196" s="1756"/>
      <c r="D196" s="1756"/>
      <c r="E196" s="1756"/>
      <c r="F196" s="1748">
        <v>0.05</v>
      </c>
    </row>
    <row r="197" spans="1:6" ht="24.75" thickBot="1">
      <c r="A197" s="1742" t="s">
        <v>1386</v>
      </c>
      <c r="B197" s="1746" t="s">
        <v>2110</v>
      </c>
      <c r="C197" s="1756"/>
      <c r="D197" s="1756"/>
      <c r="E197" s="1756"/>
      <c r="F197" s="1748">
        <v>0.05</v>
      </c>
    </row>
    <row r="198" spans="1:6" ht="24.75" thickBot="1">
      <c r="A198" s="1742" t="s">
        <v>1386</v>
      </c>
      <c r="B198" s="1746" t="s">
        <v>2111</v>
      </c>
      <c r="C198" s="1756"/>
      <c r="D198" s="1756"/>
      <c r="E198" s="1756"/>
      <c r="F198" s="1748">
        <v>0.05</v>
      </c>
    </row>
    <row r="199" spans="1:6" ht="24.75" thickBot="1">
      <c r="A199" s="1742" t="s">
        <v>1386</v>
      </c>
      <c r="B199" s="1746" t="s">
        <v>2112</v>
      </c>
      <c r="C199" s="1756"/>
      <c r="D199" s="1756"/>
      <c r="E199" s="1756"/>
      <c r="F199" s="1748">
        <v>0.05</v>
      </c>
    </row>
    <row r="200" spans="1:6" ht="24.75" thickBot="1">
      <c r="A200" s="1742" t="s">
        <v>1386</v>
      </c>
      <c r="B200" s="1746" t="s">
        <v>2113</v>
      </c>
      <c r="C200" s="1756"/>
      <c r="D200" s="1756"/>
      <c r="E200" s="1756"/>
      <c r="F200" s="1748">
        <v>0.05</v>
      </c>
    </row>
    <row r="201" spans="1:6" ht="24.75" thickBot="1">
      <c r="A201" s="1742" t="s">
        <v>1386</v>
      </c>
      <c r="B201" s="1746" t="s">
        <v>2114</v>
      </c>
      <c r="C201" s="1756"/>
      <c r="D201" s="1756"/>
      <c r="E201" s="1756"/>
      <c r="F201" s="1748">
        <v>0.05</v>
      </c>
    </row>
    <row r="202" spans="1:6" ht="24.75" thickBot="1">
      <c r="A202" s="1742" t="s">
        <v>1386</v>
      </c>
      <c r="B202" s="1746" t="s">
        <v>2115</v>
      </c>
      <c r="C202" s="1756"/>
      <c r="D202" s="1756"/>
      <c r="E202" s="1756"/>
      <c r="F202" s="1748">
        <v>0.05</v>
      </c>
    </row>
    <row r="203" spans="1:6" ht="24.75" thickBot="1">
      <c r="A203" s="1742" t="s">
        <v>1386</v>
      </c>
      <c r="B203" s="1746" t="s">
        <v>2116</v>
      </c>
      <c r="C203" s="1756"/>
      <c r="D203" s="1756"/>
      <c r="E203" s="1756"/>
      <c r="F203" s="1748">
        <v>0.05</v>
      </c>
    </row>
    <row r="204" spans="1:6" ht="14.25" thickBot="1">
      <c r="A204" s="1742" t="s">
        <v>1386</v>
      </c>
      <c r="B204" s="1746" t="s">
        <v>2117</v>
      </c>
      <c r="C204" s="1756"/>
      <c r="D204" s="1756"/>
      <c r="E204" s="1756"/>
      <c r="F204" s="1748">
        <v>0.05</v>
      </c>
    </row>
    <row r="205" spans="1:6" ht="14.25" thickBot="1">
      <c r="A205" s="1750" t="s">
        <v>1386</v>
      </c>
      <c r="B205" s="1757" t="s">
        <v>2118</v>
      </c>
      <c r="C205" s="1753"/>
      <c r="D205" s="1753"/>
      <c r="E205" s="1753"/>
      <c r="F205" s="1758">
        <v>0.05</v>
      </c>
    </row>
    <row r="206" spans="1:6" ht="14.25" thickBot="1">
      <c r="A206" s="1742" t="s">
        <v>1388</v>
      </c>
      <c r="B206" s="1743" t="s">
        <v>2119</v>
      </c>
      <c r="C206" s="1744">
        <v>0.15</v>
      </c>
      <c r="D206" s="1744">
        <v>0.15</v>
      </c>
      <c r="E206" s="1744">
        <v>0.15</v>
      </c>
      <c r="F206" s="1745">
        <v>0.15</v>
      </c>
    </row>
    <row r="207" spans="1:6" ht="14.25" thickBot="1">
      <c r="A207" s="1742" t="s">
        <v>1388</v>
      </c>
      <c r="B207" s="1746" t="s">
        <v>1052</v>
      </c>
      <c r="C207" s="1747">
        <v>0.15</v>
      </c>
      <c r="D207" s="1747">
        <v>0.15</v>
      </c>
      <c r="E207" s="1747">
        <v>0.15</v>
      </c>
      <c r="F207" s="1748">
        <v>0.14399999999999999</v>
      </c>
    </row>
    <row r="208" spans="1:6" ht="14.25" thickBot="1">
      <c r="A208" s="1742" t="s">
        <v>1388</v>
      </c>
      <c r="B208" s="1746" t="s">
        <v>1066</v>
      </c>
      <c r="C208" s="1747">
        <v>0.15</v>
      </c>
      <c r="D208" s="1747">
        <v>0.15</v>
      </c>
      <c r="E208" s="1747">
        <v>0.15</v>
      </c>
      <c r="F208" s="1748">
        <v>0.15</v>
      </c>
    </row>
    <row r="209" spans="1:6" ht="14.25" thickBot="1">
      <c r="A209" s="1742" t="s">
        <v>1388</v>
      </c>
      <c r="B209" s="1746" t="s">
        <v>1079</v>
      </c>
      <c r="C209" s="1747">
        <v>0.13700000000000001</v>
      </c>
      <c r="D209" s="1747">
        <v>0.13700000000000001</v>
      </c>
      <c r="E209" s="1747">
        <v>0.14000000000000001</v>
      </c>
      <c r="F209" s="1748">
        <v>0.11700000000000001</v>
      </c>
    </row>
    <row r="210" spans="1:6" ht="14.25" thickBot="1">
      <c r="A210" s="1742" t="s">
        <v>1388</v>
      </c>
      <c r="B210" s="1746" t="s">
        <v>2120</v>
      </c>
      <c r="C210" s="1747">
        <v>0.15</v>
      </c>
      <c r="D210" s="1747">
        <v>0.15</v>
      </c>
      <c r="E210" s="1747">
        <v>0.15</v>
      </c>
      <c r="F210" s="1748">
        <v>0.13800000000000001</v>
      </c>
    </row>
    <row r="211" spans="1:6" ht="14.25" thickBot="1">
      <c r="A211" s="1742" t="s">
        <v>1388</v>
      </c>
      <c r="B211" s="1746" t="s">
        <v>2121</v>
      </c>
      <c r="C211" s="1747">
        <v>0.13700000000000001</v>
      </c>
      <c r="D211" s="1747">
        <v>0.13500000000000001</v>
      </c>
      <c r="E211" s="1747">
        <v>0.13600000000000001</v>
      </c>
      <c r="F211" s="1748">
        <v>0.1</v>
      </c>
    </row>
    <row r="212" spans="1:6" ht="14.25" thickBot="1">
      <c r="A212" s="1742" t="s">
        <v>1388</v>
      </c>
      <c r="B212" s="1746" t="s">
        <v>2122</v>
      </c>
      <c r="C212" s="1747">
        <v>0.15</v>
      </c>
      <c r="D212" s="1747">
        <v>0.15</v>
      </c>
      <c r="E212" s="1747">
        <v>0.14799999999999999</v>
      </c>
      <c r="F212" s="1748">
        <v>0.13600000000000001</v>
      </c>
    </row>
    <row r="213" spans="1:6" ht="14.25" thickBot="1">
      <c r="A213" s="1742" t="s">
        <v>1388</v>
      </c>
      <c r="B213" s="1746" t="s">
        <v>1126</v>
      </c>
      <c r="C213" s="1747">
        <v>0.15</v>
      </c>
      <c r="D213" s="1747">
        <v>0.15</v>
      </c>
      <c r="E213" s="1747">
        <v>0.15</v>
      </c>
      <c r="F213" s="1748">
        <v>0.13800000000000001</v>
      </c>
    </row>
    <row r="214" spans="1:6" ht="14.25" thickBot="1">
      <c r="A214" s="1742" t="s">
        <v>1388</v>
      </c>
      <c r="B214" s="1746" t="s">
        <v>1138</v>
      </c>
      <c r="C214" s="1747">
        <v>9.0999999999999998E-2</v>
      </c>
      <c r="D214" s="1747">
        <v>0.09</v>
      </c>
      <c r="E214" s="1747">
        <v>9.1999999999999998E-2</v>
      </c>
      <c r="F214" s="1755"/>
    </row>
    <row r="215" spans="1:6" ht="14.25" thickBot="1">
      <c r="A215" s="1742" t="s">
        <v>1388</v>
      </c>
      <c r="B215" s="1746" t="s">
        <v>2123</v>
      </c>
      <c r="C215" s="1747">
        <v>0.15</v>
      </c>
      <c r="D215" s="1747">
        <v>0.15</v>
      </c>
      <c r="E215" s="1747">
        <v>0.15</v>
      </c>
      <c r="F215" s="1748">
        <v>0.15</v>
      </c>
    </row>
    <row r="216" spans="1:6" ht="14.25" thickBot="1">
      <c r="A216" s="1742" t="s">
        <v>1388</v>
      </c>
      <c r="B216" s="1746" t="s">
        <v>1158</v>
      </c>
      <c r="C216" s="1747">
        <v>0.14699999999999999</v>
      </c>
      <c r="D216" s="1747">
        <v>0.14699999999999999</v>
      </c>
      <c r="E216" s="1747">
        <v>0.15</v>
      </c>
      <c r="F216" s="1748">
        <v>0.14000000000000001</v>
      </c>
    </row>
    <row r="217" spans="1:6" ht="14.25" thickBot="1">
      <c r="A217" s="1742" t="s">
        <v>1388</v>
      </c>
      <c r="B217" s="1746" t="s">
        <v>1168</v>
      </c>
      <c r="C217" s="1747">
        <v>0.15</v>
      </c>
      <c r="D217" s="1747">
        <v>0.15</v>
      </c>
      <c r="E217" s="1747">
        <v>0.15</v>
      </c>
      <c r="F217" s="1748">
        <v>0.15</v>
      </c>
    </row>
    <row r="218" spans="1:6" ht="14.25" thickBot="1">
      <c r="A218" s="1742" t="s">
        <v>1388</v>
      </c>
      <c r="B218" s="1746" t="s">
        <v>2124</v>
      </c>
      <c r="C218" s="1747">
        <v>0.15</v>
      </c>
      <c r="D218" s="1747">
        <v>0.15</v>
      </c>
      <c r="E218" s="1747">
        <v>0.15</v>
      </c>
      <c r="F218" s="1748">
        <v>0.15</v>
      </c>
    </row>
    <row r="219" spans="1:6" ht="14.25" thickBot="1">
      <c r="A219" s="1742" t="s">
        <v>1388</v>
      </c>
      <c r="B219" s="1746" t="s">
        <v>1188</v>
      </c>
      <c r="C219" s="1747">
        <v>0.15</v>
      </c>
      <c r="D219" s="1747">
        <v>0.15</v>
      </c>
      <c r="E219" s="1747">
        <v>0.15</v>
      </c>
      <c r="F219" s="1748">
        <v>0.14799999999999999</v>
      </c>
    </row>
    <row r="220" spans="1:6" ht="14.25" thickBot="1">
      <c r="A220" s="1742" t="s">
        <v>1388</v>
      </c>
      <c r="B220" s="1746" t="s">
        <v>2125</v>
      </c>
      <c r="C220" s="1747">
        <v>0.15</v>
      </c>
      <c r="D220" s="1747">
        <v>0.15</v>
      </c>
      <c r="E220" s="1747">
        <v>0.15</v>
      </c>
      <c r="F220" s="1748">
        <v>0.15</v>
      </c>
    </row>
    <row r="221" spans="1:6" ht="14.25" thickBot="1">
      <c r="A221" s="1742" t="s">
        <v>1388</v>
      </c>
      <c r="B221" s="1746" t="s">
        <v>1208</v>
      </c>
      <c r="C221" s="1747"/>
      <c r="D221" s="1756"/>
      <c r="E221" s="1756"/>
      <c r="F221" s="1748">
        <v>0.14799999999999999</v>
      </c>
    </row>
    <row r="222" spans="1:6" ht="14.25" thickBot="1">
      <c r="A222" s="1742" t="s">
        <v>1388</v>
      </c>
      <c r="B222" s="1746" t="s">
        <v>1218</v>
      </c>
      <c r="C222" s="1747"/>
      <c r="D222" s="1756"/>
      <c r="E222" s="1756"/>
      <c r="F222" s="1748">
        <v>0.1</v>
      </c>
    </row>
    <row r="223" spans="1:6" ht="14.25" thickBot="1">
      <c r="A223" s="1742" t="s">
        <v>1388</v>
      </c>
      <c r="B223" s="1746" t="s">
        <v>1228</v>
      </c>
      <c r="C223" s="1747"/>
      <c r="D223" s="1756"/>
      <c r="E223" s="1756"/>
      <c r="F223" s="1748">
        <v>0.15</v>
      </c>
    </row>
    <row r="224" spans="1:6" ht="14.25" thickBot="1">
      <c r="A224" s="1742" t="s">
        <v>1388</v>
      </c>
      <c r="B224" s="1746" t="s">
        <v>1238</v>
      </c>
      <c r="C224" s="1747"/>
      <c r="D224" s="1756"/>
      <c r="E224" s="1756"/>
      <c r="F224" s="1748">
        <v>0.15</v>
      </c>
    </row>
    <row r="225" spans="1:6" ht="14.25" thickBot="1">
      <c r="A225" s="1742" t="s">
        <v>1388</v>
      </c>
      <c r="B225" s="1746" t="s">
        <v>2126</v>
      </c>
      <c r="C225" s="1747">
        <v>0.15</v>
      </c>
      <c r="D225" s="1747">
        <v>0.15</v>
      </c>
      <c r="E225" s="1747">
        <v>0.15</v>
      </c>
      <c r="F225" s="1748">
        <v>0.15</v>
      </c>
    </row>
    <row r="226" spans="1:6" ht="14.25" thickBot="1">
      <c r="A226" s="1742" t="s">
        <v>1388</v>
      </c>
      <c r="B226" s="1746" t="s">
        <v>1256</v>
      </c>
      <c r="C226" s="1747">
        <v>0.15</v>
      </c>
      <c r="D226" s="1747">
        <v>0.15</v>
      </c>
      <c r="E226" s="1747">
        <v>0.15</v>
      </c>
      <c r="F226" s="1748">
        <v>0.14799999999999999</v>
      </c>
    </row>
    <row r="227" spans="1:6" ht="14.25" thickBot="1">
      <c r="A227" s="1742" t="s">
        <v>1388</v>
      </c>
      <c r="B227" s="1746" t="s">
        <v>2127</v>
      </c>
      <c r="C227" s="1747">
        <v>0.15</v>
      </c>
      <c r="D227" s="1747">
        <v>0.15</v>
      </c>
      <c r="E227" s="1747">
        <v>0.15</v>
      </c>
      <c r="F227" s="1748">
        <v>0.15</v>
      </c>
    </row>
    <row r="228" spans="1:6" ht="14.25" thickBot="1">
      <c r="A228" s="1742" t="s">
        <v>1388</v>
      </c>
      <c r="B228" s="1746" t="s">
        <v>1271</v>
      </c>
      <c r="C228" s="1747">
        <v>0.15</v>
      </c>
      <c r="D228" s="1747">
        <v>0.15</v>
      </c>
      <c r="E228" s="1747">
        <v>0.15</v>
      </c>
      <c r="F228" s="1748">
        <v>0.15</v>
      </c>
    </row>
    <row r="229" spans="1:6" ht="14.25" thickBot="1">
      <c r="A229" s="1742" t="s">
        <v>1388</v>
      </c>
      <c r="B229" s="1746" t="s">
        <v>1278</v>
      </c>
      <c r="C229" s="1747">
        <v>0.15</v>
      </c>
      <c r="D229" s="1747">
        <v>0.15</v>
      </c>
      <c r="E229" s="1747">
        <v>0.15</v>
      </c>
      <c r="F229" s="1755"/>
    </row>
    <row r="230" spans="1:6" ht="14.25" thickBot="1">
      <c r="A230" s="1742" t="s">
        <v>1388</v>
      </c>
      <c r="B230" s="1746" t="s">
        <v>1285</v>
      </c>
      <c r="C230" s="1747">
        <v>0.14499999999999999</v>
      </c>
      <c r="D230" s="1747">
        <v>0.14499999999999999</v>
      </c>
      <c r="E230" s="1747">
        <v>0.14399999999999999</v>
      </c>
      <c r="F230" s="1755"/>
    </row>
    <row r="231" spans="1:6" ht="14.25" thickBot="1">
      <c r="A231" s="1742" t="s">
        <v>1388</v>
      </c>
      <c r="B231" s="1746" t="s">
        <v>2128</v>
      </c>
      <c r="C231" s="1747">
        <v>0.128</v>
      </c>
      <c r="D231" s="1747">
        <v>0.125</v>
      </c>
      <c r="E231" s="1747">
        <v>0.13200000000000001</v>
      </c>
      <c r="F231" s="1755"/>
    </row>
    <row r="232" spans="1:6" ht="14.25" thickBot="1">
      <c r="A232" s="1742" t="s">
        <v>1388</v>
      </c>
      <c r="B232" s="1746" t="s">
        <v>2129</v>
      </c>
      <c r="C232" s="1747">
        <v>0.14499999999999999</v>
      </c>
      <c r="D232" s="1747">
        <v>0.14399999999999999</v>
      </c>
      <c r="E232" s="1747">
        <v>0.14599999999999999</v>
      </c>
      <c r="F232" s="1748">
        <v>0.13800000000000001</v>
      </c>
    </row>
    <row r="233" spans="1:6" ht="14.25" thickBot="1">
      <c r="A233" s="1742" t="s">
        <v>1388</v>
      </c>
      <c r="B233" s="1746" t="s">
        <v>2130</v>
      </c>
      <c r="C233" s="1747">
        <v>0.14499999999999999</v>
      </c>
      <c r="D233" s="1747">
        <v>0.14299999999999999</v>
      </c>
      <c r="E233" s="1747">
        <v>0.14199999999999999</v>
      </c>
      <c r="F233" s="1755"/>
    </row>
    <row r="234" spans="1:6" ht="14.25" thickBot="1">
      <c r="A234" s="1742" t="s">
        <v>1388</v>
      </c>
      <c r="B234" s="1746" t="s">
        <v>2131</v>
      </c>
      <c r="C234" s="1747">
        <v>0.14000000000000001</v>
      </c>
      <c r="D234" s="1747">
        <v>0.14000000000000001</v>
      </c>
      <c r="E234" s="1747">
        <v>0.14399999999999999</v>
      </c>
      <c r="F234" s="1755"/>
    </row>
    <row r="235" spans="1:6" ht="14.25" thickBot="1">
      <c r="A235" s="1742" t="s">
        <v>1388</v>
      </c>
      <c r="B235" s="1746" t="s">
        <v>2132</v>
      </c>
      <c r="C235" s="1747">
        <v>0.14099999999999999</v>
      </c>
      <c r="D235" s="1747">
        <v>0.14199999999999999</v>
      </c>
      <c r="E235" s="1747">
        <v>0.14499999999999999</v>
      </c>
      <c r="F235" s="1748">
        <v>0.15</v>
      </c>
    </row>
    <row r="236" spans="1:6" ht="14.25" thickBot="1">
      <c r="A236" s="1742" t="s">
        <v>1388</v>
      </c>
      <c r="B236" s="1746" t="s">
        <v>1320</v>
      </c>
      <c r="C236" s="1756"/>
      <c r="D236" s="1756"/>
      <c r="E236" s="1756"/>
      <c r="F236" s="1748">
        <v>0.14299999999999999</v>
      </c>
    </row>
    <row r="237" spans="1:6" ht="24.75" thickBot="1">
      <c r="A237" s="1742" t="s">
        <v>1388</v>
      </c>
      <c r="B237" s="1746" t="s">
        <v>2133</v>
      </c>
      <c r="C237" s="1756"/>
      <c r="D237" s="1756"/>
      <c r="E237" s="1756"/>
      <c r="F237" s="1748">
        <v>0.05</v>
      </c>
    </row>
    <row r="238" spans="1:6" ht="24.75" thickBot="1">
      <c r="A238" s="1742" t="s">
        <v>1388</v>
      </c>
      <c r="B238" s="1746" t="s">
        <v>2134</v>
      </c>
      <c r="C238" s="1756"/>
      <c r="D238" s="1756"/>
      <c r="E238" s="1756"/>
      <c r="F238" s="1748">
        <v>0.05</v>
      </c>
    </row>
    <row r="239" spans="1:6" ht="24.75" thickBot="1">
      <c r="A239" s="1742" t="s">
        <v>1388</v>
      </c>
      <c r="B239" s="1746" t="s">
        <v>2135</v>
      </c>
      <c r="C239" s="1756"/>
      <c r="D239" s="1756"/>
      <c r="E239" s="1756"/>
      <c r="F239" s="1748">
        <v>0.05</v>
      </c>
    </row>
    <row r="240" spans="1:6" ht="24.75" thickBot="1">
      <c r="A240" s="1742" t="s">
        <v>1388</v>
      </c>
      <c r="B240" s="1746" t="s">
        <v>2136</v>
      </c>
      <c r="C240" s="1756"/>
      <c r="D240" s="1756"/>
      <c r="E240" s="1756"/>
      <c r="F240" s="1748">
        <v>0.05</v>
      </c>
    </row>
    <row r="241" spans="1:6" ht="24.75" thickBot="1">
      <c r="A241" s="1742" t="s">
        <v>1388</v>
      </c>
      <c r="B241" s="1746" t="s">
        <v>2137</v>
      </c>
      <c r="C241" s="1756"/>
      <c r="D241" s="1756"/>
      <c r="E241" s="1756"/>
      <c r="F241" s="1748">
        <v>0.05</v>
      </c>
    </row>
    <row r="242" spans="1:6" ht="24.75" thickBot="1">
      <c r="A242" s="1742" t="s">
        <v>1388</v>
      </c>
      <c r="B242" s="1746" t="s">
        <v>2138</v>
      </c>
      <c r="C242" s="1756"/>
      <c r="D242" s="1756"/>
      <c r="E242" s="1756"/>
      <c r="F242" s="1748">
        <v>0.05</v>
      </c>
    </row>
    <row r="243" spans="1:6" ht="24.75" thickBot="1">
      <c r="A243" s="1742" t="s">
        <v>1388</v>
      </c>
      <c r="B243" s="1746" t="s">
        <v>2139</v>
      </c>
      <c r="C243" s="1756"/>
      <c r="D243" s="1756"/>
      <c r="E243" s="1756"/>
      <c r="F243" s="1748">
        <v>0.05</v>
      </c>
    </row>
    <row r="244" spans="1:6" ht="24.75" thickBot="1">
      <c r="A244" s="1750" t="s">
        <v>1388</v>
      </c>
      <c r="B244" s="1757" t="s">
        <v>2140</v>
      </c>
      <c r="C244" s="1753"/>
      <c r="D244" s="1753"/>
      <c r="E244" s="1753"/>
      <c r="F244" s="1758">
        <v>0.05</v>
      </c>
    </row>
    <row r="245" spans="1:6" ht="14.25" thickBot="1">
      <c r="A245" s="1742" t="s">
        <v>1390</v>
      </c>
      <c r="B245" s="1743" t="s">
        <v>2141</v>
      </c>
      <c r="C245" s="1744">
        <v>0.15</v>
      </c>
      <c r="D245" s="1744">
        <v>0.15</v>
      </c>
      <c r="E245" s="1744">
        <v>0.15</v>
      </c>
      <c r="F245" s="1745">
        <v>0.14299999999999999</v>
      </c>
    </row>
    <row r="246" spans="1:6" ht="14.25" thickBot="1">
      <c r="A246" s="1742" t="s">
        <v>1390</v>
      </c>
      <c r="B246" s="1746" t="s">
        <v>1053</v>
      </c>
      <c r="C246" s="1747">
        <v>0.15</v>
      </c>
      <c r="D246" s="1747">
        <v>0.15</v>
      </c>
      <c r="E246" s="1747">
        <v>0.15</v>
      </c>
      <c r="F246" s="1748">
        <v>0.114</v>
      </c>
    </row>
    <row r="247" spans="1:6" ht="14.25" thickBot="1">
      <c r="A247" s="1742" t="s">
        <v>1390</v>
      </c>
      <c r="B247" s="1746" t="s">
        <v>2142</v>
      </c>
      <c r="C247" s="1747">
        <v>0.15</v>
      </c>
      <c r="D247" s="1747">
        <v>0.15</v>
      </c>
      <c r="E247" s="1747">
        <v>0.15</v>
      </c>
      <c r="F247" s="1748">
        <v>0.15</v>
      </c>
    </row>
    <row r="248" spans="1:6" ht="14.25" thickBot="1">
      <c r="A248" s="1742" t="s">
        <v>1390</v>
      </c>
      <c r="B248" s="1746" t="s">
        <v>2143</v>
      </c>
      <c r="C248" s="1747">
        <v>0.15</v>
      </c>
      <c r="D248" s="1747">
        <v>0.15</v>
      </c>
      <c r="E248" s="1747">
        <v>0.15</v>
      </c>
      <c r="F248" s="1748">
        <v>0.14000000000000001</v>
      </c>
    </row>
    <row r="249" spans="1:6" ht="14.25" thickBot="1">
      <c r="A249" s="1742" t="s">
        <v>1390</v>
      </c>
      <c r="B249" s="1746" t="s">
        <v>2144</v>
      </c>
      <c r="C249" s="1747">
        <v>0.15</v>
      </c>
      <c r="D249" s="1747">
        <v>0.14899999999999999</v>
      </c>
      <c r="E249" s="1747">
        <v>0.15</v>
      </c>
      <c r="F249" s="1748">
        <v>0.1</v>
      </c>
    </row>
    <row r="250" spans="1:6" ht="14.25" thickBot="1">
      <c r="A250" s="1742" t="s">
        <v>1390</v>
      </c>
      <c r="B250" s="1746" t="s">
        <v>2145</v>
      </c>
      <c r="C250" s="1747">
        <v>0.15</v>
      </c>
      <c r="D250" s="1747">
        <v>0.15</v>
      </c>
      <c r="E250" s="1747">
        <v>0.15</v>
      </c>
      <c r="F250" s="1748">
        <v>0.14399999999999999</v>
      </c>
    </row>
    <row r="251" spans="1:6" ht="14.25" thickBot="1">
      <c r="A251" s="1742" t="s">
        <v>1390</v>
      </c>
      <c r="B251" s="1746" t="s">
        <v>1116</v>
      </c>
      <c r="C251" s="1747">
        <v>0.15</v>
      </c>
      <c r="D251" s="1747">
        <v>0.15</v>
      </c>
      <c r="E251" s="1747">
        <v>0.15</v>
      </c>
      <c r="F251" s="1748">
        <v>0.14299999999999999</v>
      </c>
    </row>
    <row r="252" spans="1:6" ht="14.25" thickBot="1">
      <c r="A252" s="1742" t="s">
        <v>1390</v>
      </c>
      <c r="B252" s="1746" t="s">
        <v>1127</v>
      </c>
      <c r="C252" s="1747">
        <v>0.15</v>
      </c>
      <c r="D252" s="1747">
        <v>0.15</v>
      </c>
      <c r="E252" s="1747">
        <v>0.15</v>
      </c>
      <c r="F252" s="1748">
        <v>0.1</v>
      </c>
    </row>
    <row r="253" spans="1:6" ht="14.25" thickBot="1">
      <c r="A253" s="1742" t="s">
        <v>1390</v>
      </c>
      <c r="B253" s="1746" t="s">
        <v>1139</v>
      </c>
      <c r="C253" s="1747">
        <v>0.15</v>
      </c>
      <c r="D253" s="1747">
        <v>0.15</v>
      </c>
      <c r="E253" s="1747">
        <v>0.15</v>
      </c>
      <c r="F253" s="1748">
        <v>0.1</v>
      </c>
    </row>
    <row r="254" spans="1:6" ht="14.25" thickBot="1">
      <c r="A254" s="1742" t="s">
        <v>1390</v>
      </c>
      <c r="B254" s="1746" t="s">
        <v>1149</v>
      </c>
      <c r="C254" s="1756"/>
      <c r="D254" s="1756"/>
      <c r="E254" s="1756"/>
      <c r="F254" s="1748">
        <v>0.15</v>
      </c>
    </row>
    <row r="255" spans="1:6" ht="14.25" thickBot="1">
      <c r="A255" s="1742" t="s">
        <v>1390</v>
      </c>
      <c r="B255" s="1746" t="s">
        <v>1159</v>
      </c>
      <c r="C255" s="1756"/>
      <c r="D255" s="1756"/>
      <c r="E255" s="1756"/>
      <c r="F255" s="1748">
        <v>0.14299999999999999</v>
      </c>
    </row>
    <row r="256" spans="1:6" ht="14.25" thickBot="1">
      <c r="A256" s="1742" t="s">
        <v>1390</v>
      </c>
      <c r="B256" s="1746" t="s">
        <v>2146</v>
      </c>
      <c r="C256" s="1747">
        <v>0.14599999999999999</v>
      </c>
      <c r="D256" s="1747">
        <v>0.14699999999999999</v>
      </c>
      <c r="E256" s="1747">
        <v>0.15</v>
      </c>
      <c r="F256" s="1748">
        <v>0.13200000000000001</v>
      </c>
    </row>
    <row r="257" spans="1:6" ht="14.25" thickBot="1">
      <c r="A257" s="1742" t="s">
        <v>1390</v>
      </c>
      <c r="B257" s="1746" t="s">
        <v>1179</v>
      </c>
      <c r="C257" s="1747">
        <v>0.15</v>
      </c>
      <c r="D257" s="1747">
        <v>0.15</v>
      </c>
      <c r="E257" s="1747">
        <v>0.15</v>
      </c>
      <c r="F257" s="1748">
        <v>0.13900000000000001</v>
      </c>
    </row>
    <row r="258" spans="1:6" ht="14.25" thickBot="1">
      <c r="A258" s="1742" t="s">
        <v>1390</v>
      </c>
      <c r="B258" s="1746" t="s">
        <v>1189</v>
      </c>
      <c r="C258" s="1747">
        <v>0.15</v>
      </c>
      <c r="D258" s="1747">
        <v>0.15</v>
      </c>
      <c r="E258" s="1747">
        <v>0.15</v>
      </c>
      <c r="F258" s="1748">
        <v>0.13</v>
      </c>
    </row>
    <row r="259" spans="1:6" ht="14.25" thickBot="1">
      <c r="A259" s="1742" t="s">
        <v>1390</v>
      </c>
      <c r="B259" s="1746" t="s">
        <v>2147</v>
      </c>
      <c r="C259" s="1747">
        <v>0.14799999999999999</v>
      </c>
      <c r="D259" s="1747">
        <v>0.14899999999999999</v>
      </c>
      <c r="E259" s="1747">
        <v>0.15</v>
      </c>
      <c r="F259" s="1748">
        <v>0.13700000000000001</v>
      </c>
    </row>
    <row r="260" spans="1:6" ht="14.25" thickBot="1">
      <c r="A260" s="1742" t="s">
        <v>1390</v>
      </c>
      <c r="B260" s="1746" t="s">
        <v>1209</v>
      </c>
      <c r="C260" s="1747">
        <v>0.15</v>
      </c>
      <c r="D260" s="1747">
        <v>0.15</v>
      </c>
      <c r="E260" s="1747">
        <v>0.15</v>
      </c>
      <c r="F260" s="1748">
        <v>0.14199999999999999</v>
      </c>
    </row>
    <row r="261" spans="1:6" ht="14.25" thickBot="1">
      <c r="A261" s="1742" t="s">
        <v>1390</v>
      </c>
      <c r="B261" s="1746" t="s">
        <v>1219</v>
      </c>
      <c r="C261" s="1747">
        <v>0.15</v>
      </c>
      <c r="D261" s="1747">
        <v>0.15</v>
      </c>
      <c r="E261" s="1747">
        <v>0.14899999999999999</v>
      </c>
      <c r="F261" s="1748">
        <v>0.14799999999999999</v>
      </c>
    </row>
    <row r="262" spans="1:6" ht="14.25" thickBot="1">
      <c r="A262" s="1742" t="s">
        <v>1390</v>
      </c>
      <c r="B262" s="1746" t="s">
        <v>1229</v>
      </c>
      <c r="C262" s="1747">
        <v>0.15</v>
      </c>
      <c r="D262" s="1747">
        <v>0.15</v>
      </c>
      <c r="E262" s="1747">
        <v>0.15</v>
      </c>
      <c r="F262" s="1755"/>
    </row>
    <row r="263" spans="1:6" ht="14.25" thickBot="1">
      <c r="A263" s="1742" t="s">
        <v>1390</v>
      </c>
      <c r="B263" s="1746" t="s">
        <v>2148</v>
      </c>
      <c r="C263" s="1747">
        <v>0.14899999999999999</v>
      </c>
      <c r="D263" s="1747">
        <v>0.14899999999999999</v>
      </c>
      <c r="E263" s="1747">
        <v>0.15</v>
      </c>
      <c r="F263" s="1748">
        <v>0.13</v>
      </c>
    </row>
    <row r="264" spans="1:6" ht="14.25" thickBot="1">
      <c r="A264" s="1742" t="s">
        <v>1390</v>
      </c>
      <c r="B264" s="1746" t="s">
        <v>1248</v>
      </c>
      <c r="C264" s="1747">
        <v>0.14799999999999999</v>
      </c>
      <c r="D264" s="1747">
        <v>0.14699999999999999</v>
      </c>
      <c r="E264" s="1747">
        <v>0.15</v>
      </c>
      <c r="F264" s="1748">
        <v>7.8E-2</v>
      </c>
    </row>
    <row r="265" spans="1:6" ht="14.25" thickBot="1">
      <c r="A265" s="1742" t="s">
        <v>1390</v>
      </c>
      <c r="B265" s="1746" t="s">
        <v>1257</v>
      </c>
      <c r="C265" s="1747">
        <v>0.15</v>
      </c>
      <c r="D265" s="1747">
        <v>0.15</v>
      </c>
      <c r="E265" s="1747">
        <v>0.15</v>
      </c>
      <c r="F265" s="1748">
        <v>7.3999999999999996E-2</v>
      </c>
    </row>
    <row r="266" spans="1:6" ht="14.25" thickBot="1">
      <c r="A266" s="1742" t="s">
        <v>1390</v>
      </c>
      <c r="B266" s="1746" t="s">
        <v>1265</v>
      </c>
      <c r="C266" s="1747">
        <v>0.14699999999999999</v>
      </c>
      <c r="D266" s="1747">
        <v>0.14699999999999999</v>
      </c>
      <c r="E266" s="1747">
        <v>0.15</v>
      </c>
      <c r="F266" s="1748">
        <v>0.14299999999999999</v>
      </c>
    </row>
    <row r="267" spans="1:6" ht="14.25" thickBot="1">
      <c r="A267" s="1742" t="s">
        <v>1390</v>
      </c>
      <c r="B267" s="1746" t="s">
        <v>1272</v>
      </c>
      <c r="C267" s="1747">
        <v>0.14199999999999999</v>
      </c>
      <c r="D267" s="1747">
        <v>0.14299999999999999</v>
      </c>
      <c r="E267" s="1747">
        <v>0.15</v>
      </c>
      <c r="F267" s="1755"/>
    </row>
    <row r="268" spans="1:6" ht="14.25" thickBot="1">
      <c r="A268" s="1742" t="s">
        <v>1390</v>
      </c>
      <c r="B268" s="1746" t="s">
        <v>2149</v>
      </c>
      <c r="C268" s="1747">
        <v>0.15</v>
      </c>
      <c r="D268" s="1747">
        <v>0.15</v>
      </c>
      <c r="E268" s="1747">
        <v>0.15</v>
      </c>
      <c r="F268" s="1748">
        <v>0.13</v>
      </c>
    </row>
    <row r="269" spans="1:6" ht="14.25" thickBot="1">
      <c r="A269" s="1742" t="s">
        <v>1390</v>
      </c>
      <c r="B269" s="1746" t="s">
        <v>1286</v>
      </c>
      <c r="C269" s="1747">
        <v>0.15</v>
      </c>
      <c r="D269" s="1747">
        <v>0.15</v>
      </c>
      <c r="E269" s="1747">
        <v>0.15</v>
      </c>
      <c r="F269" s="1748">
        <v>0.14299999999999999</v>
      </c>
    </row>
    <row r="270" spans="1:6" ht="14.25" thickBot="1">
      <c r="A270" s="1742" t="s">
        <v>1390</v>
      </c>
      <c r="B270" s="1746" t="s">
        <v>1293</v>
      </c>
      <c r="C270" s="1747">
        <v>0.14499999999999999</v>
      </c>
      <c r="D270" s="1747">
        <v>0.14499999999999999</v>
      </c>
      <c r="E270" s="1747">
        <v>0.15</v>
      </c>
      <c r="F270" s="1748">
        <v>0.14699999999999999</v>
      </c>
    </row>
    <row r="271" spans="1:6" ht="14.25" thickBot="1">
      <c r="A271" s="1742" t="s">
        <v>1390</v>
      </c>
      <c r="B271" s="1746" t="s">
        <v>1300</v>
      </c>
      <c r="C271" s="1747">
        <v>0.15</v>
      </c>
      <c r="D271" s="1747">
        <v>0.15</v>
      </c>
      <c r="E271" s="1747">
        <v>0.15</v>
      </c>
      <c r="F271" s="1748">
        <v>0.13800000000000001</v>
      </c>
    </row>
    <row r="272" spans="1:6" ht="14.25" thickBot="1">
      <c r="A272" s="1742" t="s">
        <v>1390</v>
      </c>
      <c r="B272" s="1746" t="s">
        <v>1307</v>
      </c>
      <c r="C272" s="1756"/>
      <c r="D272" s="1756"/>
      <c r="E272" s="1756"/>
      <c r="F272" s="1748">
        <v>0.14000000000000001</v>
      </c>
    </row>
    <row r="273" spans="1:6" ht="14.25" thickBot="1">
      <c r="A273" s="1742" t="s">
        <v>1390</v>
      </c>
      <c r="B273" s="1746" t="s">
        <v>2150</v>
      </c>
      <c r="C273" s="1747">
        <v>0.14199999999999999</v>
      </c>
      <c r="D273" s="1747">
        <v>0.14299999999999999</v>
      </c>
      <c r="E273" s="1747">
        <v>0.15</v>
      </c>
      <c r="F273" s="1748">
        <v>0.1</v>
      </c>
    </row>
    <row r="274" spans="1:6" ht="14.25" thickBot="1">
      <c r="A274" s="1742" t="s">
        <v>1390</v>
      </c>
      <c r="B274" s="1746" t="s">
        <v>2151</v>
      </c>
      <c r="C274" s="1747">
        <v>0.14799999999999999</v>
      </c>
      <c r="D274" s="1747">
        <v>0.14799999999999999</v>
      </c>
      <c r="E274" s="1747">
        <v>0.15</v>
      </c>
      <c r="F274" s="1748">
        <v>6.7000000000000004E-2</v>
      </c>
    </row>
    <row r="275" spans="1:6" ht="14.25" thickBot="1">
      <c r="A275" s="1742" t="s">
        <v>1390</v>
      </c>
      <c r="B275" s="1746" t="s">
        <v>2152</v>
      </c>
      <c r="C275" s="1747">
        <v>0.15</v>
      </c>
      <c r="D275" s="1747">
        <v>0.15</v>
      </c>
      <c r="E275" s="1747">
        <v>0.15</v>
      </c>
      <c r="F275" s="1748">
        <v>0.15</v>
      </c>
    </row>
    <row r="276" spans="1:6" ht="14.25" thickBot="1">
      <c r="A276" s="1742" t="s">
        <v>1390</v>
      </c>
      <c r="B276" s="1746" t="s">
        <v>2153</v>
      </c>
      <c r="C276" s="1747">
        <v>0.14499999999999999</v>
      </c>
      <c r="D276" s="1747">
        <v>0.14299999999999999</v>
      </c>
      <c r="E276" s="1747">
        <v>0.15</v>
      </c>
      <c r="F276" s="1748">
        <v>5.8999999999999997E-2</v>
      </c>
    </row>
    <row r="277" spans="1:6" ht="14.25" thickBot="1">
      <c r="A277" s="1742" t="s">
        <v>1390</v>
      </c>
      <c r="B277" s="1746" t="s">
        <v>2154</v>
      </c>
      <c r="C277" s="1747">
        <v>0.15</v>
      </c>
      <c r="D277" s="1747">
        <v>0.15</v>
      </c>
      <c r="E277" s="1747">
        <v>0.15</v>
      </c>
      <c r="F277" s="1748">
        <v>0.121</v>
      </c>
    </row>
    <row r="278" spans="1:6" ht="14.25" thickBot="1">
      <c r="A278" s="1742" t="s">
        <v>1390</v>
      </c>
      <c r="B278" s="1746" t="s">
        <v>2155</v>
      </c>
      <c r="C278" s="1747">
        <v>0.15</v>
      </c>
      <c r="D278" s="1747">
        <v>0.15</v>
      </c>
      <c r="E278" s="1747">
        <v>0.15</v>
      </c>
      <c r="F278" s="1748">
        <v>0.13800000000000001</v>
      </c>
    </row>
    <row r="279" spans="1:6" ht="24.75" thickBot="1">
      <c r="A279" s="1742" t="s">
        <v>1390</v>
      </c>
      <c r="B279" s="1746" t="s">
        <v>2156</v>
      </c>
      <c r="C279" s="1756"/>
      <c r="D279" s="1756"/>
      <c r="E279" s="1756"/>
      <c r="F279" s="1748">
        <v>0.05</v>
      </c>
    </row>
    <row r="280" spans="1:6" ht="24.75" thickBot="1">
      <c r="A280" s="1742" t="s">
        <v>1390</v>
      </c>
      <c r="B280" s="1746" t="s">
        <v>2157</v>
      </c>
      <c r="C280" s="1756"/>
      <c r="D280" s="1756"/>
      <c r="E280" s="1756"/>
      <c r="F280" s="1748">
        <v>0.05</v>
      </c>
    </row>
    <row r="281" spans="1:6" ht="24.75" thickBot="1">
      <c r="A281" s="1742" t="s">
        <v>1390</v>
      </c>
      <c r="B281" s="1746" t="s">
        <v>2158</v>
      </c>
      <c r="C281" s="1756"/>
      <c r="D281" s="1756"/>
      <c r="E281" s="1756"/>
      <c r="F281" s="1748">
        <v>0.05</v>
      </c>
    </row>
    <row r="282" spans="1:6" ht="24.75" thickBot="1">
      <c r="A282" s="1742" t="s">
        <v>1390</v>
      </c>
      <c r="B282" s="1746" t="s">
        <v>2159</v>
      </c>
      <c r="C282" s="1756"/>
      <c r="D282" s="1756"/>
      <c r="E282" s="1756"/>
      <c r="F282" s="1748">
        <v>0.05</v>
      </c>
    </row>
    <row r="283" spans="1:6" ht="24.75" thickBot="1">
      <c r="A283" s="1742" t="s">
        <v>1390</v>
      </c>
      <c r="B283" s="1746" t="s">
        <v>2160</v>
      </c>
      <c r="C283" s="1756"/>
      <c r="D283" s="1756"/>
      <c r="E283" s="1756"/>
      <c r="F283" s="1748">
        <v>0.05</v>
      </c>
    </row>
    <row r="284" spans="1:6" ht="24.75" thickBot="1">
      <c r="A284" s="1742" t="s">
        <v>1390</v>
      </c>
      <c r="B284" s="1746" t="s">
        <v>2161</v>
      </c>
      <c r="C284" s="1756"/>
      <c r="D284" s="1756"/>
      <c r="E284" s="1756"/>
      <c r="F284" s="1748">
        <v>0.05</v>
      </c>
    </row>
    <row r="285" spans="1:6" ht="24.75" thickBot="1">
      <c r="A285" s="1742" t="s">
        <v>1390</v>
      </c>
      <c r="B285" s="1746" t="s">
        <v>2162</v>
      </c>
      <c r="C285" s="1756"/>
      <c r="D285" s="1756"/>
      <c r="E285" s="1756"/>
      <c r="F285" s="1748">
        <v>0.05</v>
      </c>
    </row>
    <row r="286" spans="1:6" ht="24.75" thickBot="1">
      <c r="A286" s="1742" t="s">
        <v>1390</v>
      </c>
      <c r="B286" s="1746" t="s">
        <v>2163</v>
      </c>
      <c r="C286" s="1756"/>
      <c r="D286" s="1756"/>
      <c r="E286" s="1756"/>
      <c r="F286" s="1748">
        <v>0.05</v>
      </c>
    </row>
    <row r="287" spans="1:6" ht="24.75" thickBot="1">
      <c r="A287" s="1742" t="s">
        <v>1390</v>
      </c>
      <c r="B287" s="1746" t="s">
        <v>2164</v>
      </c>
      <c r="C287" s="1756"/>
      <c r="D287" s="1756"/>
      <c r="E287" s="1756"/>
      <c r="F287" s="1748">
        <v>0.05</v>
      </c>
    </row>
    <row r="288" spans="1:6" ht="24.75" thickBot="1">
      <c r="A288" s="1742" t="s">
        <v>1390</v>
      </c>
      <c r="B288" s="1746" t="s">
        <v>2165</v>
      </c>
      <c r="C288" s="1756"/>
      <c r="D288" s="1756"/>
      <c r="E288" s="1756"/>
      <c r="F288" s="1748">
        <v>0.05</v>
      </c>
    </row>
    <row r="289" spans="1:6" ht="24.75" thickBot="1">
      <c r="A289" s="1750" t="s">
        <v>1390</v>
      </c>
      <c r="B289" s="1757" t="s">
        <v>2166</v>
      </c>
      <c r="C289" s="1753"/>
      <c r="D289" s="1753"/>
      <c r="E289" s="1753"/>
      <c r="F289" s="1758">
        <v>0.05</v>
      </c>
    </row>
    <row r="290" spans="1:6" ht="14.25" thickBot="1">
      <c r="A290" s="1742" t="s">
        <v>1394</v>
      </c>
      <c r="B290" s="1743" t="s">
        <v>2167</v>
      </c>
      <c r="C290" s="1744">
        <v>0.15</v>
      </c>
      <c r="D290" s="1744">
        <v>0.15</v>
      </c>
      <c r="E290" s="1744">
        <v>0.15</v>
      </c>
      <c r="F290" s="1766"/>
    </row>
    <row r="291" spans="1:6" ht="14.25" thickBot="1">
      <c r="A291" s="1742" t="s">
        <v>1394</v>
      </c>
      <c r="B291" s="1746" t="s">
        <v>1054</v>
      </c>
      <c r="C291" s="1747">
        <v>0.15</v>
      </c>
      <c r="D291" s="1747">
        <v>0.15</v>
      </c>
      <c r="E291" s="1747">
        <v>0.15</v>
      </c>
      <c r="F291" s="1755"/>
    </row>
    <row r="292" spans="1:6" ht="14.25" thickBot="1">
      <c r="A292" s="1742" t="s">
        <v>1394</v>
      </c>
      <c r="B292" s="1746" t="s">
        <v>2168</v>
      </c>
      <c r="C292" s="1747">
        <v>0.15</v>
      </c>
      <c r="D292" s="1747">
        <v>0.15</v>
      </c>
      <c r="E292" s="1747">
        <v>0.15</v>
      </c>
      <c r="F292" s="1748">
        <v>0.14699999999999999</v>
      </c>
    </row>
    <row r="293" spans="1:6" ht="14.25" thickBot="1">
      <c r="A293" s="1742" t="s">
        <v>1394</v>
      </c>
      <c r="B293" s="1746" t="s">
        <v>2169</v>
      </c>
      <c r="C293" s="1756"/>
      <c r="D293" s="1756"/>
      <c r="E293" s="1756"/>
      <c r="F293" s="1748">
        <v>0.1</v>
      </c>
    </row>
    <row r="294" spans="1:6" ht="14.25" thickBot="1">
      <c r="A294" s="1742" t="s">
        <v>1394</v>
      </c>
      <c r="B294" s="1746" t="s">
        <v>2170</v>
      </c>
      <c r="C294" s="1747">
        <v>0.15</v>
      </c>
      <c r="D294" s="1747">
        <v>0.15</v>
      </c>
      <c r="E294" s="1747">
        <v>0.15</v>
      </c>
      <c r="F294" s="1748">
        <v>0.15</v>
      </c>
    </row>
    <row r="295" spans="1:6" ht="14.25" thickBot="1">
      <c r="A295" s="1742" t="s">
        <v>1394</v>
      </c>
      <c r="B295" s="1746" t="s">
        <v>1095</v>
      </c>
      <c r="C295" s="1747">
        <v>0.15</v>
      </c>
      <c r="D295" s="1747">
        <v>0.15</v>
      </c>
      <c r="E295" s="1747">
        <v>0.15</v>
      </c>
      <c r="F295" s="1748">
        <v>0.15</v>
      </c>
    </row>
    <row r="296" spans="1:6" ht="14.25" thickBot="1">
      <c r="A296" s="1742" t="s">
        <v>1394</v>
      </c>
      <c r="B296" s="1746" t="s">
        <v>2171</v>
      </c>
      <c r="C296" s="1747">
        <v>0.15</v>
      </c>
      <c r="D296" s="1747">
        <v>0.15</v>
      </c>
      <c r="E296" s="1747">
        <v>0.15</v>
      </c>
      <c r="F296" s="1748">
        <v>0.15</v>
      </c>
    </row>
    <row r="297" spans="1:6" ht="14.25" thickBot="1">
      <c r="A297" s="1742" t="s">
        <v>1394</v>
      </c>
      <c r="B297" s="1746" t="s">
        <v>2172</v>
      </c>
      <c r="C297" s="1747">
        <v>0.14799999999999999</v>
      </c>
      <c r="D297" s="1747">
        <v>0.14899999999999999</v>
      </c>
      <c r="E297" s="1747">
        <v>0.15</v>
      </c>
      <c r="F297" s="1748">
        <v>0.13700000000000001</v>
      </c>
    </row>
    <row r="298" spans="1:6" ht="14.25" thickBot="1">
      <c r="A298" s="1742" t="s">
        <v>1394</v>
      </c>
      <c r="B298" s="1746" t="s">
        <v>1128</v>
      </c>
      <c r="C298" s="1747">
        <v>0.13400000000000001</v>
      </c>
      <c r="D298" s="1747">
        <v>0.13400000000000001</v>
      </c>
      <c r="E298" s="1747">
        <v>0.14499999999999999</v>
      </c>
      <c r="F298" s="1748">
        <v>0.14799999999999999</v>
      </c>
    </row>
    <row r="299" spans="1:6" ht="14.25" thickBot="1">
      <c r="A299" s="1742" t="s">
        <v>1394</v>
      </c>
      <c r="B299" s="1746" t="s">
        <v>1140</v>
      </c>
      <c r="C299" s="1747">
        <v>0.15</v>
      </c>
      <c r="D299" s="1747">
        <v>0.15</v>
      </c>
      <c r="E299" s="1747">
        <v>0.15</v>
      </c>
      <c r="F299" s="1755"/>
    </row>
    <row r="300" spans="1:6" ht="14.25" thickBot="1">
      <c r="A300" s="1742" t="s">
        <v>1394</v>
      </c>
      <c r="B300" s="1746" t="s">
        <v>2173</v>
      </c>
      <c r="C300" s="1747">
        <v>0.15</v>
      </c>
      <c r="D300" s="1747">
        <v>0.15</v>
      </c>
      <c r="E300" s="1747">
        <v>0.15</v>
      </c>
      <c r="F300" s="1748">
        <v>0.15</v>
      </c>
    </row>
    <row r="301" spans="1:6" ht="14.25" thickBot="1">
      <c r="A301" s="1742" t="s">
        <v>1394</v>
      </c>
      <c r="B301" s="1746" t="s">
        <v>1160</v>
      </c>
      <c r="C301" s="1747">
        <v>0.15</v>
      </c>
      <c r="D301" s="1747">
        <v>0.15</v>
      </c>
      <c r="E301" s="1747">
        <v>0.15</v>
      </c>
      <c r="F301" s="1755"/>
    </row>
    <row r="302" spans="1:6" ht="14.25" thickBot="1">
      <c r="A302" s="1742" t="s">
        <v>1394</v>
      </c>
      <c r="B302" s="1746" t="s">
        <v>2174</v>
      </c>
      <c r="C302" s="1747">
        <v>0.15</v>
      </c>
      <c r="D302" s="1747">
        <v>0.15</v>
      </c>
      <c r="E302" s="1747">
        <v>0.15</v>
      </c>
      <c r="F302" s="1748">
        <v>0.15</v>
      </c>
    </row>
    <row r="303" spans="1:6" ht="14.25" thickBot="1">
      <c r="A303" s="1742" t="s">
        <v>1394</v>
      </c>
      <c r="B303" s="1746" t="s">
        <v>1180</v>
      </c>
      <c r="C303" s="1747">
        <v>0.15</v>
      </c>
      <c r="D303" s="1747">
        <v>0.15</v>
      </c>
      <c r="E303" s="1747">
        <v>0.15</v>
      </c>
      <c r="F303" s="1748">
        <v>0.15</v>
      </c>
    </row>
    <row r="304" spans="1:6" ht="14.25" thickBot="1">
      <c r="A304" s="1742" t="s">
        <v>1394</v>
      </c>
      <c r="B304" s="1746" t="s">
        <v>1190</v>
      </c>
      <c r="C304" s="1747">
        <v>0.15</v>
      </c>
      <c r="D304" s="1747">
        <v>0.15</v>
      </c>
      <c r="E304" s="1747">
        <v>0.15</v>
      </c>
      <c r="F304" s="1755"/>
    </row>
    <row r="305" spans="1:6" ht="14.25" thickBot="1">
      <c r="A305" s="1742" t="s">
        <v>1394</v>
      </c>
      <c r="B305" s="1746" t="s">
        <v>2175</v>
      </c>
      <c r="C305" s="1747">
        <v>0.15</v>
      </c>
      <c r="D305" s="1747">
        <v>0.15</v>
      </c>
      <c r="E305" s="1747">
        <v>0.15</v>
      </c>
      <c r="F305" s="1748">
        <v>0.14000000000000001</v>
      </c>
    </row>
    <row r="306" spans="1:6" ht="14.25" thickBot="1">
      <c r="A306" s="1742" t="s">
        <v>1394</v>
      </c>
      <c r="B306" s="1746" t="s">
        <v>1210</v>
      </c>
      <c r="C306" s="1747">
        <v>0.15</v>
      </c>
      <c r="D306" s="1747">
        <v>0.15</v>
      </c>
      <c r="E306" s="1747">
        <v>0.15</v>
      </c>
      <c r="F306" s="1755"/>
    </row>
    <row r="307" spans="1:6" ht="14.25" thickBot="1">
      <c r="A307" s="1742" t="s">
        <v>1394</v>
      </c>
      <c r="B307" s="1746" t="s">
        <v>2176</v>
      </c>
      <c r="C307" s="1747">
        <v>0.15</v>
      </c>
      <c r="D307" s="1747">
        <v>0.15</v>
      </c>
      <c r="E307" s="1747">
        <v>0.15</v>
      </c>
      <c r="F307" s="1748">
        <v>0.14299999999999999</v>
      </c>
    </row>
    <row r="308" spans="1:6" ht="14.25" thickBot="1">
      <c r="A308" s="1742" t="s">
        <v>1394</v>
      </c>
      <c r="B308" s="1746" t="s">
        <v>1230</v>
      </c>
      <c r="C308" s="1747">
        <v>0.15</v>
      </c>
      <c r="D308" s="1747">
        <v>0.15</v>
      </c>
      <c r="E308" s="1747">
        <v>0.15</v>
      </c>
      <c r="F308" s="1748">
        <v>0.15</v>
      </c>
    </row>
    <row r="309" spans="1:6" ht="14.25" thickBot="1">
      <c r="A309" s="1742" t="s">
        <v>1394</v>
      </c>
      <c r="B309" s="1746" t="s">
        <v>1240</v>
      </c>
      <c r="C309" s="1747">
        <v>0.15</v>
      </c>
      <c r="D309" s="1747">
        <v>0.15</v>
      </c>
      <c r="E309" s="1747">
        <v>0.15</v>
      </c>
      <c r="F309" s="1755"/>
    </row>
    <row r="310" spans="1:6" ht="14.25" thickBot="1">
      <c r="A310" s="1742" t="s">
        <v>1394</v>
      </c>
      <c r="B310" s="1746" t="s">
        <v>2177</v>
      </c>
      <c r="C310" s="1747">
        <v>0.15</v>
      </c>
      <c r="D310" s="1747">
        <v>0.15</v>
      </c>
      <c r="E310" s="1747">
        <v>0.15</v>
      </c>
      <c r="F310" s="1748">
        <v>0.13700000000000001</v>
      </c>
    </row>
    <row r="311" spans="1:6" ht="14.25" thickBot="1">
      <c r="A311" s="1742" t="s">
        <v>1394</v>
      </c>
      <c r="B311" s="1746" t="s">
        <v>2178</v>
      </c>
      <c r="C311" s="1747">
        <v>0.15</v>
      </c>
      <c r="D311" s="1747">
        <v>0.15</v>
      </c>
      <c r="E311" s="1747">
        <v>0.15</v>
      </c>
      <c r="F311" s="1748">
        <v>0.15</v>
      </c>
    </row>
    <row r="312" spans="1:6" ht="14.25" thickBot="1">
      <c r="A312" s="1742" t="s">
        <v>1394</v>
      </c>
      <c r="B312" s="1746" t="s">
        <v>1266</v>
      </c>
      <c r="C312" s="1747">
        <v>0.15</v>
      </c>
      <c r="D312" s="1747">
        <v>0.15</v>
      </c>
      <c r="E312" s="1747">
        <v>0.15</v>
      </c>
      <c r="F312" s="1748">
        <v>0.1</v>
      </c>
    </row>
    <row r="313" spans="1:6" ht="14.25" thickBot="1">
      <c r="A313" s="1742" t="s">
        <v>1394</v>
      </c>
      <c r="B313" s="1746" t="s">
        <v>2179</v>
      </c>
      <c r="C313" s="1747">
        <v>0.15</v>
      </c>
      <c r="D313" s="1747">
        <v>0.15</v>
      </c>
      <c r="E313" s="1747">
        <v>0.15</v>
      </c>
      <c r="F313" s="1748">
        <v>0.15</v>
      </c>
    </row>
    <row r="314" spans="1:6" ht="24.75" thickBot="1">
      <c r="A314" s="1742" t="s">
        <v>1394</v>
      </c>
      <c r="B314" s="1746" t="s">
        <v>2180</v>
      </c>
      <c r="C314" s="1756"/>
      <c r="D314" s="1756"/>
      <c r="E314" s="1756"/>
      <c r="F314" s="1748">
        <v>0.05</v>
      </c>
    </row>
    <row r="315" spans="1:6" ht="24.75" thickBot="1">
      <c r="A315" s="1742" t="s">
        <v>1394</v>
      </c>
      <c r="B315" s="1746" t="s">
        <v>2181</v>
      </c>
      <c r="C315" s="1756"/>
      <c r="D315" s="1756"/>
      <c r="E315" s="1756"/>
      <c r="F315" s="1748">
        <v>0.05</v>
      </c>
    </row>
    <row r="316" spans="1:6" ht="24.75" thickBot="1">
      <c r="A316" s="1750" t="s">
        <v>1394</v>
      </c>
      <c r="B316" s="1757" t="s">
        <v>2182</v>
      </c>
      <c r="C316" s="1753"/>
      <c r="D316" s="1753"/>
      <c r="E316" s="1753"/>
      <c r="F316" s="1758">
        <v>0.05</v>
      </c>
    </row>
    <row r="317" spans="1:6" ht="14.25" thickBot="1">
      <c r="A317" s="1742" t="s">
        <v>2183</v>
      </c>
      <c r="B317" s="1743" t="s">
        <v>2184</v>
      </c>
      <c r="C317" s="1744">
        <v>0.15</v>
      </c>
      <c r="D317" s="1744">
        <v>0.15</v>
      </c>
      <c r="E317" s="1744">
        <v>0.15</v>
      </c>
      <c r="F317" s="1745">
        <v>0.15</v>
      </c>
    </row>
    <row r="318" spans="1:6" ht="14.25" thickBot="1">
      <c r="A318" s="1742" t="s">
        <v>2183</v>
      </c>
      <c r="B318" s="1746" t="s">
        <v>2185</v>
      </c>
      <c r="C318" s="1747">
        <v>0.107</v>
      </c>
      <c r="D318" s="1747">
        <v>0.11</v>
      </c>
      <c r="E318" s="1747">
        <v>0.112</v>
      </c>
      <c r="F318" s="1755"/>
    </row>
    <row r="319" spans="1:6" ht="14.25" thickBot="1">
      <c r="A319" s="1742" t="s">
        <v>2183</v>
      </c>
      <c r="B319" s="1746" t="s">
        <v>2186</v>
      </c>
      <c r="C319" s="1747">
        <v>0.15</v>
      </c>
      <c r="D319" s="1747">
        <v>0.15</v>
      </c>
      <c r="E319" s="1747">
        <v>0.15</v>
      </c>
      <c r="F319" s="1748">
        <v>0.15</v>
      </c>
    </row>
    <row r="320" spans="1:6" ht="14.25" thickBot="1">
      <c r="A320" s="1742" t="s">
        <v>2183</v>
      </c>
      <c r="B320" s="1746" t="s">
        <v>1082</v>
      </c>
      <c r="C320" s="1747">
        <v>0.15</v>
      </c>
      <c r="D320" s="1747">
        <v>0.15</v>
      </c>
      <c r="E320" s="1747">
        <v>0.15</v>
      </c>
      <c r="F320" s="1755"/>
    </row>
    <row r="321" spans="1:6" ht="14.25" thickBot="1">
      <c r="A321" s="1742" t="s">
        <v>2183</v>
      </c>
      <c r="B321" s="1746" t="s">
        <v>2187</v>
      </c>
      <c r="C321" s="1747">
        <v>0.15</v>
      </c>
      <c r="D321" s="1747">
        <v>0.15</v>
      </c>
      <c r="E321" s="1747">
        <v>0.15</v>
      </c>
      <c r="F321" s="1755"/>
    </row>
    <row r="322" spans="1:6" ht="14.25" thickBot="1">
      <c r="A322" s="1742" t="s">
        <v>2183</v>
      </c>
      <c r="B322" s="1746" t="s">
        <v>2188</v>
      </c>
      <c r="C322" s="1747">
        <v>0.15</v>
      </c>
      <c r="D322" s="1747">
        <v>0.15</v>
      </c>
      <c r="E322" s="1747">
        <v>0.15</v>
      </c>
      <c r="F322" s="1748">
        <v>0.15</v>
      </c>
    </row>
    <row r="323" spans="1:6" ht="14.25" thickBot="1">
      <c r="A323" s="1742" t="s">
        <v>2183</v>
      </c>
      <c r="B323" s="1746" t="s">
        <v>2189</v>
      </c>
      <c r="C323" s="1747">
        <v>0.15</v>
      </c>
      <c r="D323" s="1747">
        <v>0.15</v>
      </c>
      <c r="E323" s="1747">
        <v>0.15</v>
      </c>
      <c r="F323" s="1755"/>
    </row>
    <row r="324" spans="1:6" ht="14.25" thickBot="1">
      <c r="A324" s="1742" t="s">
        <v>2183</v>
      </c>
      <c r="B324" s="1746" t="s">
        <v>2190</v>
      </c>
      <c r="C324" s="1747">
        <v>0.15</v>
      </c>
      <c r="D324" s="1747">
        <v>0.15</v>
      </c>
      <c r="E324" s="1747">
        <v>0.15</v>
      </c>
      <c r="F324" s="1755"/>
    </row>
    <row r="325" spans="1:6" ht="14.25" thickBot="1">
      <c r="A325" s="1742" t="s">
        <v>2183</v>
      </c>
      <c r="B325" s="1746" t="s">
        <v>2191</v>
      </c>
      <c r="C325" s="1747">
        <v>0.15</v>
      </c>
      <c r="D325" s="1747">
        <v>0.15</v>
      </c>
      <c r="E325" s="1747">
        <v>0.15</v>
      </c>
      <c r="F325" s="1748">
        <v>0.14699999999999999</v>
      </c>
    </row>
    <row r="326" spans="1:6" ht="14.25" thickBot="1">
      <c r="A326" s="1742" t="s">
        <v>2183</v>
      </c>
      <c r="B326" s="1746" t="s">
        <v>1151</v>
      </c>
      <c r="C326" s="1747">
        <v>0.15</v>
      </c>
      <c r="D326" s="1747">
        <v>0.15</v>
      </c>
      <c r="E326" s="1747">
        <v>0.15</v>
      </c>
      <c r="F326" s="1755"/>
    </row>
    <row r="327" spans="1:6" ht="14.25" thickBot="1">
      <c r="A327" s="1742" t="s">
        <v>2183</v>
      </c>
      <c r="B327" s="1746" t="s">
        <v>2192</v>
      </c>
      <c r="C327" s="1747">
        <v>0.15</v>
      </c>
      <c r="D327" s="1747">
        <v>0.15</v>
      </c>
      <c r="E327" s="1747">
        <v>0.15</v>
      </c>
      <c r="F327" s="1748">
        <v>0.15</v>
      </c>
    </row>
    <row r="328" spans="1:6" ht="14.25" thickBot="1">
      <c r="A328" s="1742" t="s">
        <v>2183</v>
      </c>
      <c r="B328" s="1746" t="s">
        <v>1171</v>
      </c>
      <c r="C328" s="1747">
        <v>0.15</v>
      </c>
      <c r="D328" s="1747">
        <v>0.15</v>
      </c>
      <c r="E328" s="1747">
        <v>0.15</v>
      </c>
      <c r="F328" s="1748">
        <v>0.14099999999999999</v>
      </c>
    </row>
    <row r="329" spans="1:6" ht="14.25" thickBot="1">
      <c r="A329" s="1742" t="s">
        <v>2183</v>
      </c>
      <c r="B329" s="1746" t="s">
        <v>1181</v>
      </c>
      <c r="C329" s="1747">
        <v>0.15</v>
      </c>
      <c r="D329" s="1747">
        <v>0.15</v>
      </c>
      <c r="E329" s="1747">
        <v>0.15</v>
      </c>
      <c r="F329" s="1748">
        <v>0.15</v>
      </c>
    </row>
    <row r="330" spans="1:6" ht="14.25" thickBot="1">
      <c r="A330" s="1742" t="s">
        <v>2183</v>
      </c>
      <c r="B330" s="1746" t="s">
        <v>1191</v>
      </c>
      <c r="C330" s="1747">
        <v>0.15</v>
      </c>
      <c r="D330" s="1747">
        <v>0.15</v>
      </c>
      <c r="E330" s="1747">
        <v>0.15</v>
      </c>
      <c r="F330" s="1755"/>
    </row>
    <row r="331" spans="1:6" ht="14.25" thickBot="1">
      <c r="A331" s="1742" t="s">
        <v>2183</v>
      </c>
      <c r="B331" s="1746" t="s">
        <v>2193</v>
      </c>
      <c r="C331" s="1747">
        <v>0.15</v>
      </c>
      <c r="D331" s="1747">
        <v>0.15</v>
      </c>
      <c r="E331" s="1747">
        <v>0.15</v>
      </c>
      <c r="F331" s="1748">
        <v>0.15</v>
      </c>
    </row>
    <row r="332" spans="1:6" ht="14.25" thickBot="1">
      <c r="A332" s="1742" t="s">
        <v>2183</v>
      </c>
      <c r="B332" s="1746" t="s">
        <v>1211</v>
      </c>
      <c r="C332" s="1747">
        <v>0.15</v>
      </c>
      <c r="D332" s="1747">
        <v>0.15</v>
      </c>
      <c r="E332" s="1747">
        <v>0.15</v>
      </c>
      <c r="F332" s="1748">
        <v>0.15</v>
      </c>
    </row>
    <row r="333" spans="1:6" ht="14.25" thickBot="1">
      <c r="A333" s="1742" t="s">
        <v>2183</v>
      </c>
      <c r="B333" s="1746" t="s">
        <v>2194</v>
      </c>
      <c r="C333" s="1747">
        <v>0.15</v>
      </c>
      <c r="D333" s="1747">
        <v>0.15</v>
      </c>
      <c r="E333" s="1747">
        <v>0.15</v>
      </c>
      <c r="F333" s="1748">
        <v>0.14099999999999999</v>
      </c>
    </row>
    <row r="334" spans="1:6" ht="14.25" thickBot="1">
      <c r="A334" s="1742" t="s">
        <v>2183</v>
      </c>
      <c r="B334" s="1746" t="s">
        <v>1231</v>
      </c>
      <c r="C334" s="1747">
        <v>0.15</v>
      </c>
      <c r="D334" s="1747">
        <v>0.15</v>
      </c>
      <c r="E334" s="1747">
        <v>0.15</v>
      </c>
      <c r="F334" s="1748">
        <v>0.15</v>
      </c>
    </row>
    <row r="335" spans="1:6" ht="14.25" thickBot="1">
      <c r="A335" s="1742" t="s">
        <v>2183</v>
      </c>
      <c r="B335" s="1746" t="s">
        <v>1241</v>
      </c>
      <c r="C335" s="1747">
        <v>0.15</v>
      </c>
      <c r="D335" s="1747">
        <v>0.15</v>
      </c>
      <c r="E335" s="1747">
        <v>0.15</v>
      </c>
      <c r="F335" s="1755"/>
    </row>
    <row r="336" spans="1:6" ht="14.25" thickBot="1">
      <c r="A336" s="1742" t="s">
        <v>2183</v>
      </c>
      <c r="B336" s="1746" t="s">
        <v>2195</v>
      </c>
      <c r="C336" s="1747">
        <v>0.15</v>
      </c>
      <c r="D336" s="1747">
        <v>0.15</v>
      </c>
      <c r="E336" s="1747">
        <v>0.15</v>
      </c>
      <c r="F336" s="1748">
        <v>0.11799999999999999</v>
      </c>
    </row>
    <row r="337" spans="1:6" ht="14.25" thickBot="1">
      <c r="A337" s="1750" t="s">
        <v>2183</v>
      </c>
      <c r="B337" s="1757" t="s">
        <v>1259</v>
      </c>
      <c r="C337" s="1753"/>
      <c r="D337" s="1753"/>
      <c r="E337" s="1753"/>
      <c r="F337" s="1758">
        <v>0.14299999999999999</v>
      </c>
    </row>
    <row r="338" spans="1:6" ht="14.25" thickBot="1">
      <c r="A338" s="1742" t="s">
        <v>2196</v>
      </c>
      <c r="B338" s="1743" t="s">
        <v>2197</v>
      </c>
      <c r="C338" s="1744">
        <v>0.15</v>
      </c>
      <c r="D338" s="1744">
        <v>0.15</v>
      </c>
      <c r="E338" s="1744">
        <v>0.15</v>
      </c>
      <c r="F338" s="1766"/>
    </row>
    <row r="339" spans="1:6" ht="14.25" thickBot="1">
      <c r="A339" s="1742" t="s">
        <v>2196</v>
      </c>
      <c r="B339" s="1746" t="s">
        <v>2198</v>
      </c>
      <c r="C339" s="1747">
        <v>0.15</v>
      </c>
      <c r="D339" s="1747">
        <v>0.15</v>
      </c>
      <c r="E339" s="1747">
        <v>0.15</v>
      </c>
      <c r="F339" s="1755"/>
    </row>
    <row r="340" spans="1:6" ht="14.25" thickBot="1">
      <c r="A340" s="1742" t="s">
        <v>2196</v>
      </c>
      <c r="B340" s="1746" t="s">
        <v>2199</v>
      </c>
      <c r="C340" s="1747">
        <v>0.15</v>
      </c>
      <c r="D340" s="1747">
        <v>0.15</v>
      </c>
      <c r="E340" s="1747">
        <v>0.15</v>
      </c>
      <c r="F340" s="1755"/>
    </row>
    <row r="341" spans="1:6" ht="14.25" thickBot="1">
      <c r="A341" s="1742" t="s">
        <v>2200</v>
      </c>
      <c r="B341" s="1746" t="s">
        <v>2201</v>
      </c>
      <c r="C341" s="1747">
        <v>0.15</v>
      </c>
      <c r="D341" s="1747">
        <v>0.15</v>
      </c>
      <c r="E341" s="1747">
        <v>0.15</v>
      </c>
      <c r="F341" s="1748">
        <v>0.15</v>
      </c>
    </row>
    <row r="342" spans="1:6" ht="14.25" thickBot="1">
      <c r="A342" s="1742" t="s">
        <v>2196</v>
      </c>
      <c r="B342" s="1746" t="s">
        <v>2202</v>
      </c>
      <c r="C342" s="1747">
        <v>0.15</v>
      </c>
      <c r="D342" s="1747">
        <v>0.15</v>
      </c>
      <c r="E342" s="1747">
        <v>0.15</v>
      </c>
      <c r="F342" s="1748">
        <v>0.15</v>
      </c>
    </row>
    <row r="343" spans="1:6" ht="14.25" thickBot="1">
      <c r="A343" s="1742" t="s">
        <v>2196</v>
      </c>
      <c r="B343" s="1746" t="s">
        <v>2203</v>
      </c>
      <c r="C343" s="1747">
        <v>0.15</v>
      </c>
      <c r="D343" s="1747">
        <v>0.15</v>
      </c>
      <c r="E343" s="1747">
        <v>0.15</v>
      </c>
      <c r="F343" s="1748">
        <v>0.15</v>
      </c>
    </row>
    <row r="344" spans="1:6" ht="14.25" thickBot="1">
      <c r="A344" s="1750" t="s">
        <v>2196</v>
      </c>
      <c r="B344" s="1757" t="s">
        <v>2204</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0"/>
  <sheetViews>
    <sheetView zoomScale="80" zoomScaleNormal="80" workbookViewId="0">
      <selection activeCell="AB5" sqref="AB5"/>
    </sheetView>
  </sheetViews>
  <sheetFormatPr defaultColWidth="9" defaultRowHeight="12.75"/>
  <cols>
    <col min="1" max="1" width="9" style="2852"/>
    <col min="2" max="6" width="9" style="2852" customWidth="1"/>
    <col min="7" max="7" width="9" style="2890" customWidth="1"/>
    <col min="8" max="12" width="9" style="2852" customWidth="1"/>
    <col min="13" max="13" width="2.25" style="2852" customWidth="1"/>
    <col min="14" max="14" width="9" style="2890" customWidth="1"/>
    <col min="15" max="17" width="9" style="2852" customWidth="1"/>
    <col min="18" max="18" width="2.375" style="2852" customWidth="1"/>
    <col min="19" max="19" width="7.125" style="2890" customWidth="1"/>
    <col min="20" max="22" width="7.125" style="2852" customWidth="1"/>
    <col min="23" max="23" width="24" style="2852" customWidth="1"/>
    <col min="24" max="25" width="9" style="2852"/>
    <col min="26" max="27" width="11.625" style="2852" customWidth="1"/>
    <col min="28" max="28" width="9" style="2852"/>
    <col min="29" max="29" width="2" style="2852" customWidth="1"/>
    <col min="30" max="16384" width="9" style="2852"/>
  </cols>
  <sheetData>
    <row r="1" spans="1:34" s="2830" customFormat="1">
      <c r="B1" s="3756" t="s">
        <v>2529</v>
      </c>
      <c r="C1" s="3756"/>
      <c r="D1" s="3756"/>
      <c r="E1" s="3756"/>
      <c r="F1" s="3756"/>
      <c r="G1" s="3755" t="s">
        <v>2530</v>
      </c>
      <c r="H1" s="3755"/>
      <c r="I1" s="3755"/>
      <c r="J1" s="3755"/>
      <c r="K1" s="3755"/>
      <c r="L1" s="3755"/>
      <c r="N1" s="3755" t="s">
        <v>2531</v>
      </c>
      <c r="O1" s="3755"/>
      <c r="P1" s="3755"/>
      <c r="Q1" s="3755"/>
      <c r="S1" s="3755" t="s">
        <v>2532</v>
      </c>
      <c r="T1" s="3755"/>
      <c r="U1" s="3755"/>
      <c r="V1" s="3755"/>
      <c r="X1" s="3754" t="s">
        <v>2592</v>
      </c>
      <c r="Y1" s="3755"/>
      <c r="Z1" s="3755"/>
      <c r="AA1" s="3755"/>
      <c r="AB1" s="3755"/>
      <c r="AD1" s="3754" t="s">
        <v>2596</v>
      </c>
      <c r="AE1" s="3755"/>
      <c r="AF1" s="3755"/>
      <c r="AG1" s="3755"/>
      <c r="AH1" s="3755"/>
    </row>
    <row r="2" spans="1:34" s="2831" customFormat="1" ht="14.25" thickBot="1">
      <c r="B2" s="2832" t="s">
        <v>2533</v>
      </c>
      <c r="C2" s="2832" t="s">
        <v>2594</v>
      </c>
      <c r="D2" s="2833" t="s">
        <v>1619</v>
      </c>
      <c r="E2" s="2833" t="s">
        <v>1916</v>
      </c>
      <c r="F2" s="2832" t="s">
        <v>2595</v>
      </c>
      <c r="G2" s="2834"/>
      <c r="I2" s="2832" t="s">
        <v>2892</v>
      </c>
      <c r="J2" s="2833" t="s">
        <v>2894</v>
      </c>
      <c r="K2" s="2833" t="s">
        <v>2895</v>
      </c>
      <c r="L2" s="2832" t="s">
        <v>2896</v>
      </c>
      <c r="N2" s="2832" t="s">
        <v>2533</v>
      </c>
      <c r="O2" s="2833" t="s">
        <v>2893</v>
      </c>
      <c r="P2" s="2833" t="s">
        <v>1916</v>
      </c>
      <c r="Q2" s="2832" t="s">
        <v>2595</v>
      </c>
      <c r="S2" s="2832" t="s">
        <v>2533</v>
      </c>
      <c r="T2" s="2833" t="s">
        <v>2893</v>
      </c>
      <c r="U2" s="2833" t="s">
        <v>1916</v>
      </c>
      <c r="V2" s="2832" t="s">
        <v>2595</v>
      </c>
      <c r="X2" s="2832" t="s">
        <v>2533</v>
      </c>
      <c r="Y2" s="2832" t="s">
        <v>2594</v>
      </c>
      <c r="Z2" s="2833" t="s">
        <v>1619</v>
      </c>
      <c r="AA2" s="2833" t="s">
        <v>1916</v>
      </c>
      <c r="AB2" s="2832" t="s">
        <v>2595</v>
      </c>
      <c r="AD2" s="2832" t="s">
        <v>2533</v>
      </c>
      <c r="AE2" s="2832" t="s">
        <v>2594</v>
      </c>
      <c r="AF2" s="2833" t="s">
        <v>1619</v>
      </c>
      <c r="AG2" s="2833" t="s">
        <v>1916</v>
      </c>
      <c r="AH2" s="2832" t="s">
        <v>2595</v>
      </c>
    </row>
    <row r="3" spans="1:34" s="2841" customFormat="1" ht="14.25">
      <c r="A3" s="2835" t="s">
        <v>2903</v>
      </c>
      <c r="B3" s="2836"/>
      <c r="C3" s="2836"/>
      <c r="D3" s="2837"/>
      <c r="E3" s="2837"/>
      <c r="F3" s="2836"/>
      <c r="G3" s="2838"/>
      <c r="H3" s="2839"/>
      <c r="I3" s="2840">
        <f>ROUND(AVERAGE($I4:$I37),2)</f>
        <v>1.61</v>
      </c>
      <c r="J3" s="2840">
        <f>ROUND(AVERAGE($J4:$J37),2)</f>
        <v>1.02</v>
      </c>
      <c r="K3" s="2840">
        <f>ROUND(AVERAGE($K4:$K37),2)</f>
        <v>1.77</v>
      </c>
      <c r="L3" s="2840">
        <f>ROUND(AVERAGE($L4:$L37),2)</f>
        <v>1.18</v>
      </c>
      <c r="N3" s="2838"/>
      <c r="S3" s="2838"/>
      <c r="W3" s="2842"/>
      <c r="X3" s="2843">
        <f>ROUND(SUMPRODUCT(PRODUCT(1+N3:N$36)),4)</f>
        <v>1.6415999999999999</v>
      </c>
      <c r="Y3" s="2843">
        <f>ROUND(SUMPRODUCT(PRODUCT(1+O3:O$36)),4)</f>
        <v>1.3644000000000001</v>
      </c>
      <c r="Z3" s="2843">
        <f t="shared" ref="Z3" si="0">Y3</f>
        <v>1.3644000000000001</v>
      </c>
      <c r="AA3" s="2843">
        <f>ROUND(SUMPRODUCT(PRODUCT(1+P3:P$36)),4)</f>
        <v>1.7232000000000001</v>
      </c>
      <c r="AB3" s="2843">
        <f>ROUND(SUMPRODUCT(PRODUCT(1+Q3:Q$36)),4)</f>
        <v>1.4529000000000001</v>
      </c>
      <c r="AD3" s="2844">
        <f>ROUND(AVERAGE(I3:I$37)/100,4)</f>
        <v>1.61E-2</v>
      </c>
      <c r="AE3" s="2844">
        <f>ROUND(AVERAGE(J3:J$37)/100,4)</f>
        <v>1.0200000000000001E-2</v>
      </c>
      <c r="AF3" s="2844">
        <f t="shared" ref="AF3:AF35" si="1">AE3</f>
        <v>1.0200000000000001E-2</v>
      </c>
      <c r="AG3" s="2844">
        <f>ROUND(AVERAGE(K3:K$37)/100,4)</f>
        <v>1.77E-2</v>
      </c>
      <c r="AH3" s="2844">
        <f>ROUND(AVERAGE(L3:L$37)/100,4)</f>
        <v>1.18E-2</v>
      </c>
    </row>
    <row r="4" spans="1:34" s="2845" customFormat="1" ht="14.25">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c r="A5" s="2854" t="s">
        <v>3124</v>
      </c>
      <c r="B5" s="2855">
        <f t="shared" ref="B5" si="2">B6*(1+N5)</f>
        <v>504.87072809615569</v>
      </c>
      <c r="C5" s="2855">
        <f t="shared" ref="C5" si="3">C6*(1+O5)</f>
        <v>351.71182348101968</v>
      </c>
      <c r="D5" s="2855">
        <f t="shared" ref="D5" si="4">C5</f>
        <v>351.71182348101968</v>
      </c>
      <c r="E5" s="2855">
        <f t="shared" ref="E5" si="5">E6*(1+P5)</f>
        <v>728.75350858360832</v>
      </c>
      <c r="F5" s="2855">
        <f t="shared" ref="F5" si="6">F6*(1+Q5)</f>
        <v>334.04593931673656</v>
      </c>
      <c r="G5" s="2848">
        <v>2022</v>
      </c>
      <c r="H5" s="2856">
        <v>1</v>
      </c>
      <c r="I5" s="2857">
        <v>0</v>
      </c>
      <c r="J5" s="2857">
        <v>0</v>
      </c>
      <c r="K5" s="2857">
        <v>0</v>
      </c>
      <c r="L5" s="2857">
        <v>0</v>
      </c>
      <c r="N5" s="2859">
        <f t="shared" ref="N5" si="7">I5/100</f>
        <v>0</v>
      </c>
      <c r="O5" s="2859">
        <f t="shared" ref="O5" si="8">J5/100</f>
        <v>0</v>
      </c>
      <c r="P5" s="2859">
        <f t="shared" ref="P5" si="9">K5/100</f>
        <v>0</v>
      </c>
      <c r="Q5" s="2859">
        <f t="shared" ref="Q5" si="10">L5/100</f>
        <v>0</v>
      </c>
      <c r="S5" s="2860"/>
      <c r="W5" s="2861" t="s">
        <v>2904</v>
      </c>
      <c r="X5" s="2862">
        <f>ROUND(SUMPRODUCT(PRODUCT(1+N5:N$37)),4)</f>
        <v>1.6903999999999999</v>
      </c>
      <c r="Y5" s="2862">
        <f>ROUND(SUMPRODUCT(PRODUCT(1+O5:O$37)),4)</f>
        <v>1.3963000000000001</v>
      </c>
      <c r="Z5" s="2862">
        <f t="shared" ref="Z5" si="11">Y5</f>
        <v>1.3963000000000001</v>
      </c>
      <c r="AA5" s="2862">
        <f>ROUND(SUMPRODUCT(PRODUCT(1+P5:P$37)),4)</f>
        <v>1.7797000000000001</v>
      </c>
      <c r="AB5" s="2862">
        <f>ROUND(SUMPRODUCT(PRODUCT(1+Q5:Q$37)),4)</f>
        <v>1.4726999999999999</v>
      </c>
      <c r="AD5" s="2863">
        <f>ROUND(AVERAGE(I5:I$37)/100,4)</f>
        <v>1.61E-2</v>
      </c>
      <c r="AE5" s="2863">
        <f>ROUND(AVERAGE(J5:J$37)/100,4)</f>
        <v>1.0200000000000001E-2</v>
      </c>
      <c r="AF5" s="2863">
        <f t="shared" ref="AF5" si="12">AE5</f>
        <v>1.0200000000000001E-2</v>
      </c>
      <c r="AG5" s="2863">
        <f>ROUND(AVERAGE(K5:K$37)/100,4)</f>
        <v>1.77E-2</v>
      </c>
      <c r="AH5" s="2863">
        <f>ROUND(AVERAGE(L5:L$37)/100,4)</f>
        <v>1.18E-2</v>
      </c>
    </row>
    <row r="6" spans="1:34" s="2871" customFormat="1">
      <c r="A6" s="2864" t="s">
        <v>3123</v>
      </c>
      <c r="B6" s="2865">
        <f t="shared" ref="B6" si="13">B7*(1+N6)</f>
        <v>504.87072809615569</v>
      </c>
      <c r="C6" s="2865">
        <f t="shared" ref="C6" si="14">C7*(1+O6)</f>
        <v>351.71182348101968</v>
      </c>
      <c r="D6" s="2865">
        <f t="shared" ref="D6" si="15">C6</f>
        <v>351.71182348101968</v>
      </c>
      <c r="E6" s="2865">
        <f t="shared" ref="E6" si="16">E7*(1+P6)</f>
        <v>728.75350858360832</v>
      </c>
      <c r="F6" s="2865">
        <f t="shared" ref="F6" si="17">F7*(1+Q6)</f>
        <v>334.04593931673656</v>
      </c>
      <c r="G6" s="2848">
        <v>2021</v>
      </c>
      <c r="H6" s="2866">
        <v>4</v>
      </c>
      <c r="I6" s="2828">
        <v>0</v>
      </c>
      <c r="J6" s="2828">
        <v>0</v>
      </c>
      <c r="K6" s="2828">
        <v>0</v>
      </c>
      <c r="L6" s="2829">
        <v>0</v>
      </c>
      <c r="M6" s="2852"/>
      <c r="N6" s="2867">
        <f t="shared" ref="N6" si="18">I6/100</f>
        <v>0</v>
      </c>
      <c r="O6" s="2853">
        <f t="shared" ref="O6" si="19">J6/100</f>
        <v>0</v>
      </c>
      <c r="P6" s="2853">
        <f t="shared" ref="P6" si="20">K6/100</f>
        <v>0</v>
      </c>
      <c r="Q6" s="2853">
        <f t="shared" ref="Q6" si="21">L6/100</f>
        <v>0</v>
      </c>
      <c r="R6" s="2868"/>
      <c r="S6" s="2869"/>
      <c r="T6" s="2870"/>
      <c r="U6" s="2870"/>
      <c r="V6" s="2870"/>
      <c r="W6" s="2852"/>
      <c r="X6" s="2852">
        <f>ROUND(SUMPRODUCT(PRODUCT(1+N6:N$37)),4)</f>
        <v>1.6903999999999999</v>
      </c>
      <c r="Y6" s="2852">
        <f>ROUND(SUMPRODUCT(PRODUCT(1+O6:O$37)),4)</f>
        <v>1.3963000000000001</v>
      </c>
      <c r="Z6" s="2852">
        <f t="shared" ref="Z6" si="22">Y6</f>
        <v>1.3963000000000001</v>
      </c>
      <c r="AA6" s="2852">
        <f>ROUND(SUMPRODUCT(PRODUCT(1+P6:P$37)),4)</f>
        <v>1.7797000000000001</v>
      </c>
      <c r="AB6" s="2852">
        <f>ROUND(SUMPRODUCT(PRODUCT(1+Q6:Q$37)),4)</f>
        <v>1.4726999999999999</v>
      </c>
      <c r="AC6" s="2852"/>
      <c r="AD6" s="2853">
        <f>ROUND(AVERAGE(I6:I$37)/100,4)</f>
        <v>1.66E-2</v>
      </c>
      <c r="AE6" s="2853">
        <f>ROUND(AVERAGE(J6:J$37)/100,4)</f>
        <v>1.0500000000000001E-2</v>
      </c>
      <c r="AF6" s="2853">
        <f t="shared" ref="AF6" si="23">AE6</f>
        <v>1.0500000000000001E-2</v>
      </c>
      <c r="AG6" s="2853">
        <f>ROUND(AVERAGE(K6:K$37)/100,4)</f>
        <v>1.83E-2</v>
      </c>
      <c r="AH6" s="2853">
        <f>ROUND(AVERAGE(L6:L$37)/100,4)</f>
        <v>1.2200000000000001E-2</v>
      </c>
    </row>
    <row r="7" spans="1:34" s="2871" customFormat="1">
      <c r="A7" s="2864" t="s">
        <v>2970</v>
      </c>
      <c r="B7" s="2865">
        <f t="shared" ref="B7" si="24">B8*(1+N7)</f>
        <v>504.87072809615569</v>
      </c>
      <c r="C7" s="2865">
        <f t="shared" ref="C7" si="25">C8*(1+O7)</f>
        <v>351.71182348101968</v>
      </c>
      <c r="D7" s="2865">
        <f t="shared" ref="D7" si="26">C7</f>
        <v>351.71182348101968</v>
      </c>
      <c r="E7" s="2865">
        <f t="shared" ref="E7" si="27">E8*(1+P7)</f>
        <v>728.75350858360832</v>
      </c>
      <c r="F7" s="2865">
        <f t="shared" ref="F7" si="28">F8*(1+Q7)</f>
        <v>334.04593931673656</v>
      </c>
      <c r="G7" s="2848">
        <v>2021</v>
      </c>
      <c r="H7" s="2866">
        <v>3</v>
      </c>
      <c r="I7" s="2828">
        <v>0.47</v>
      </c>
      <c r="J7" s="2828">
        <v>0.41</v>
      </c>
      <c r="K7" s="2828">
        <v>0.48</v>
      </c>
      <c r="L7" s="2829">
        <v>0.48</v>
      </c>
      <c r="M7" s="2852"/>
      <c r="N7" s="2867">
        <f t="shared" ref="N7" si="29">I7/100</f>
        <v>4.6999999999999993E-3</v>
      </c>
      <c r="O7" s="2853">
        <f t="shared" ref="O7" si="30">J7/100</f>
        <v>4.0999999999999995E-3</v>
      </c>
      <c r="P7" s="2853">
        <f t="shared" ref="P7" si="31">K7/100</f>
        <v>4.7999999999999996E-3</v>
      </c>
      <c r="Q7" s="2853">
        <f t="shared" ref="Q7" si="32">L7/100</f>
        <v>4.7999999999999996E-3</v>
      </c>
      <c r="R7" s="2868"/>
      <c r="S7" s="2869"/>
      <c r="T7" s="2870"/>
      <c r="U7" s="2870"/>
      <c r="V7" s="2870"/>
      <c r="W7" s="2852"/>
      <c r="X7" s="2852">
        <f>ROUND(SUMPRODUCT(PRODUCT(1+N7:N$37)),4)</f>
        <v>1.6903999999999999</v>
      </c>
      <c r="Y7" s="2852">
        <f>ROUND(SUMPRODUCT(PRODUCT(1+O7:O$37)),4)</f>
        <v>1.3963000000000001</v>
      </c>
      <c r="Z7" s="2852">
        <f t="shared" ref="Z7" si="33">Y7</f>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ref="AF7" si="34">AE7</f>
        <v>1.09E-2</v>
      </c>
      <c r="AG7" s="2853">
        <f>ROUND(AVERAGE(K7:K$37)/100,4)</f>
        <v>1.89E-2</v>
      </c>
      <c r="AH7" s="2853">
        <f>ROUND(AVERAGE(L7:L$37)/100,4)</f>
        <v>1.26E-2</v>
      </c>
    </row>
    <row r="8" spans="1:34" s="2871" customFormat="1">
      <c r="A8" s="2864" t="s">
        <v>2969</v>
      </c>
      <c r="B8" s="2865">
        <f t="shared" ref="B8" si="35">B9*(1+N8)</f>
        <v>502.50893609650217</v>
      </c>
      <c r="C8" s="2865">
        <f t="shared" ref="C8" si="36">C9*(1+O8)</f>
        <v>350.27569313914915</v>
      </c>
      <c r="D8" s="2865">
        <f t="shared" ref="D8" si="37">C8</f>
        <v>350.27569313914915</v>
      </c>
      <c r="E8" s="2865">
        <f t="shared" ref="E8" si="38">E9*(1+P8)</f>
        <v>725.27220201394141</v>
      </c>
      <c r="F8" s="2865">
        <f t="shared" ref="F8" si="39">F9*(1+Q8)</f>
        <v>332.45017846012797</v>
      </c>
      <c r="G8" s="2848">
        <v>2021</v>
      </c>
      <c r="H8" s="2866">
        <v>2</v>
      </c>
      <c r="I8" s="2828">
        <v>0.92</v>
      </c>
      <c r="J8" s="2828">
        <v>0.72</v>
      </c>
      <c r="K8" s="2828">
        <v>0.95</v>
      </c>
      <c r="L8" s="2829">
        <v>1.01</v>
      </c>
      <c r="M8" s="2852"/>
      <c r="N8" s="2867">
        <f t="shared" ref="N8" si="40">I8/100</f>
        <v>9.1999999999999998E-3</v>
      </c>
      <c r="O8" s="2853">
        <f t="shared" ref="O8" si="41">J8/100</f>
        <v>7.1999999999999998E-3</v>
      </c>
      <c r="P8" s="2853">
        <f t="shared" ref="P8" si="42">K8/100</f>
        <v>9.4999999999999998E-3</v>
      </c>
      <c r="Q8" s="2853">
        <f t="shared" ref="Q8" si="43">L8/100</f>
        <v>1.01E-2</v>
      </c>
      <c r="R8" s="2868"/>
      <c r="S8" s="2869"/>
      <c r="T8" s="2870"/>
      <c r="U8" s="2870"/>
      <c r="V8" s="2870"/>
      <c r="W8" s="2852"/>
      <c r="X8" s="2852">
        <f>ROUND(SUMPRODUCT(PRODUCT(1+N8:N$37)),4)</f>
        <v>1.6825000000000001</v>
      </c>
      <c r="Y8" s="2852">
        <f>ROUND(SUMPRODUCT(PRODUCT(1+O8:O$37)),4)</f>
        <v>1.3906000000000001</v>
      </c>
      <c r="Z8" s="2852">
        <f t="shared" ref="Z8" si="44">Y8</f>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ref="AF8" si="45">AE8</f>
        <v>1.11E-2</v>
      </c>
      <c r="AG8" s="2853">
        <f>ROUND(AVERAGE(K8:K$37)/100,4)</f>
        <v>1.9400000000000001E-2</v>
      </c>
      <c r="AH8" s="2853">
        <f>ROUND(AVERAGE(L8:L$37)/100,4)</f>
        <v>1.2800000000000001E-2</v>
      </c>
    </row>
    <row r="9" spans="1:34" s="2871" customFormat="1">
      <c r="A9" s="2864" t="s">
        <v>2968</v>
      </c>
      <c r="B9" s="2865">
        <f t="shared" ref="B9" si="46">B10*(1+N9)</f>
        <v>497.92799851020823</v>
      </c>
      <c r="C9" s="2865">
        <f t="shared" ref="C9" si="47">C10*(1+O9)</f>
        <v>347.77173663537445</v>
      </c>
      <c r="D9" s="2865">
        <f t="shared" ref="D9" si="48">C9</f>
        <v>347.77173663537445</v>
      </c>
      <c r="E9" s="2865">
        <f t="shared" ref="E9" si="49">E10*(1+P9)</f>
        <v>718.44695593258189</v>
      </c>
      <c r="F9" s="2865">
        <f t="shared" ref="F9" si="50">F10*(1+Q9)</f>
        <v>329.12600580153247</v>
      </c>
      <c r="G9" s="2848">
        <v>2021</v>
      </c>
      <c r="H9" s="2866">
        <v>1</v>
      </c>
      <c r="I9" s="2828">
        <v>0.97</v>
      </c>
      <c r="J9" s="2828">
        <v>0.16</v>
      </c>
      <c r="K9" s="2828">
        <v>1.1100000000000001</v>
      </c>
      <c r="L9" s="2829">
        <v>0.36</v>
      </c>
      <c r="M9" s="2852"/>
      <c r="N9" s="2867">
        <f t="shared" ref="N9" si="51">I9/100</f>
        <v>9.7000000000000003E-3</v>
      </c>
      <c r="O9" s="2853">
        <f t="shared" ref="O9" si="52">J9/100</f>
        <v>1.6000000000000001E-3</v>
      </c>
      <c r="P9" s="2853">
        <f t="shared" ref="P9" si="53">K9/100</f>
        <v>1.11E-2</v>
      </c>
      <c r="Q9" s="2853">
        <f t="shared" ref="Q9" si="54">L9/100</f>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ref="Z9" si="55">Y9</f>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ref="AF9" si="56">AE9</f>
        <v>1.12E-2</v>
      </c>
      <c r="AG9" s="2853">
        <f>ROUND(AVERAGE(K9:K$37)/100,4)</f>
        <v>1.9699999999999999E-2</v>
      </c>
      <c r="AH9" s="2853">
        <f>ROUND(AVERAGE(L9:L$37)/100,4)</f>
        <v>1.29E-2</v>
      </c>
    </row>
    <row r="10" spans="1:34" s="2871" customFormat="1">
      <c r="A10" s="2864" t="s">
        <v>2967</v>
      </c>
      <c r="B10" s="2865">
        <f t="shared" ref="B10" si="57">B11*(1+N10)</f>
        <v>493.14449689037161</v>
      </c>
      <c r="C10" s="2865">
        <f t="shared" ref="C10" si="58">C11*(1+O10)</f>
        <v>347.21619073020611</v>
      </c>
      <c r="D10" s="2865">
        <f t="shared" ref="D10" si="59">C10</f>
        <v>347.21619073020611</v>
      </c>
      <c r="E10" s="2865">
        <f t="shared" ref="E10" si="60">E11*(1+P10)</f>
        <v>710.55974278763904</v>
      </c>
      <c r="F10" s="2865">
        <f t="shared" ref="F10" si="61">F11*(1+Q10)</f>
        <v>327.94540235306141</v>
      </c>
      <c r="G10" s="2848">
        <v>2020</v>
      </c>
      <c r="H10" s="2866">
        <v>4</v>
      </c>
      <c r="I10" s="2828">
        <v>2.0699999999999998</v>
      </c>
      <c r="J10" s="2828">
        <v>0.37</v>
      </c>
      <c r="K10" s="2828">
        <v>2.35</v>
      </c>
      <c r="L10" s="2829">
        <v>2.69</v>
      </c>
      <c r="M10" s="2852"/>
      <c r="N10" s="2867">
        <f t="shared" ref="N10" si="62">I10/100</f>
        <v>2.07E-2</v>
      </c>
      <c r="O10" s="2853">
        <f t="shared" ref="O10" si="63">J10/100</f>
        <v>3.7000000000000002E-3</v>
      </c>
      <c r="P10" s="2853">
        <f t="shared" ref="P10" si="64">K10/100</f>
        <v>2.35E-2</v>
      </c>
      <c r="Q10" s="2853">
        <f t="shared" ref="Q10" si="65">L10/100</f>
        <v>2.69E-2</v>
      </c>
      <c r="R10" s="2868"/>
      <c r="S10" s="2869"/>
      <c r="T10" s="2870"/>
      <c r="U10" s="2870"/>
      <c r="V10" s="2870"/>
      <c r="W10" s="2852"/>
      <c r="X10" s="2852">
        <f>ROUND(SUMPRODUCT(PRODUCT(1+N10:N$37)),4)</f>
        <v>1.6511</v>
      </c>
      <c r="Y10" s="2852">
        <f>ROUND(SUMPRODUCT(PRODUCT(1+O10:O$37)),4)</f>
        <v>1.3785000000000001</v>
      </c>
      <c r="Z10" s="2852">
        <f t="shared" ref="Z10" si="66">Y10</f>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ref="AF10" si="67">AE10</f>
        <v>1.1599999999999999E-2</v>
      </c>
      <c r="AG10" s="2853">
        <f>ROUND(AVERAGE(K10:K$37)/100,4)</f>
        <v>0.02</v>
      </c>
      <c r="AH10" s="2853">
        <f>ROUND(AVERAGE(L10:L$37)/100,4)</f>
        <v>1.3299999999999999E-2</v>
      </c>
    </row>
    <row r="11" spans="1:34" s="2871" customFormat="1">
      <c r="A11" s="2864" t="s">
        <v>2966</v>
      </c>
      <c r="B11" s="2865">
        <f t="shared" ref="B11" si="68">B12*(1+N11)</f>
        <v>483.1434279321756</v>
      </c>
      <c r="C11" s="2865">
        <f t="shared" ref="C11" si="69">C12*(1+O11)</f>
        <v>345.93622669144776</v>
      </c>
      <c r="D11" s="2865">
        <f t="shared" ref="D11" si="70">C11</f>
        <v>345.93622669144776</v>
      </c>
      <c r="E11" s="2865">
        <f t="shared" ref="E11" si="71">E12*(1+P11)</f>
        <v>694.24498562544113</v>
      </c>
      <c r="F11" s="2865">
        <f t="shared" ref="F11" si="72">F12*(1+Q11)</f>
        <v>319.35475932716082</v>
      </c>
      <c r="G11" s="2848">
        <v>2020</v>
      </c>
      <c r="H11" s="2866">
        <v>3</v>
      </c>
      <c r="I11" s="2828">
        <v>0.36</v>
      </c>
      <c r="J11" s="2828">
        <v>-0.39</v>
      </c>
      <c r="K11" s="2828">
        <v>0.49</v>
      </c>
      <c r="L11" s="2829">
        <v>7.0000000000000007E-2</v>
      </c>
      <c r="M11" s="2852"/>
      <c r="N11" s="2867">
        <f t="shared" ref="N11" si="73">I11/100</f>
        <v>3.5999999999999999E-3</v>
      </c>
      <c r="O11" s="2853">
        <f t="shared" ref="O11" si="74">J11/100</f>
        <v>-3.9000000000000003E-3</v>
      </c>
      <c r="P11" s="2853">
        <f t="shared" ref="P11" si="75">K11/100</f>
        <v>4.8999999999999998E-3</v>
      </c>
      <c r="Q11" s="2853">
        <f t="shared" ref="Q11" si="76">L11/100</f>
        <v>7.000000000000001E-4</v>
      </c>
      <c r="R11" s="2868"/>
      <c r="S11" s="2869"/>
      <c r="T11" s="2870"/>
      <c r="U11" s="2870"/>
      <c r="V11" s="2870"/>
      <c r="W11" s="2852"/>
      <c r="X11" s="2852">
        <f>ROUND(SUMPRODUCT(PRODUCT(1+N11:N$37)),4)</f>
        <v>1.6175999999999999</v>
      </c>
      <c r="Y11" s="2852">
        <f>ROUND(SUMPRODUCT(PRODUCT(1+O11:O$37)),4)</f>
        <v>1.3734</v>
      </c>
      <c r="Z11" s="2852">
        <f t="shared" ref="Z11" si="77">Y11</f>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ref="AF11" si="78">AE11</f>
        <v>1.1900000000000001E-2</v>
      </c>
      <c r="AG11" s="2853">
        <f>ROUND(AVERAGE(K11:K$37)/100,4)</f>
        <v>1.9900000000000001E-2</v>
      </c>
      <c r="AH11" s="2853">
        <f>ROUND(AVERAGE(L11:L$37)/100,4)</f>
        <v>1.2800000000000001E-2</v>
      </c>
    </row>
    <row r="12" spans="1:34" s="2871" customFormat="1">
      <c r="A12" s="2864" t="s">
        <v>2929</v>
      </c>
      <c r="B12" s="2865">
        <f t="shared" ref="B12" si="79">B13*(1+N12)</f>
        <v>481.4103506697644</v>
      </c>
      <c r="C12" s="2865">
        <f t="shared" ref="C12" si="80">C13*(1+O12)</f>
        <v>347.29066026648707</v>
      </c>
      <c r="D12" s="2865">
        <f t="shared" ref="D12" si="81">C12</f>
        <v>347.29066026648707</v>
      </c>
      <c r="E12" s="2865">
        <f t="shared" ref="E12" si="82">E13*(1+P12)</f>
        <v>690.85977273901995</v>
      </c>
      <c r="F12" s="2865">
        <f t="shared" ref="F12" si="83">F13*(1+Q12)</f>
        <v>319.13136737000184</v>
      </c>
      <c r="G12" s="2848">
        <v>2020</v>
      </c>
      <c r="H12" s="2866">
        <v>2</v>
      </c>
      <c r="I12" s="2828">
        <v>0.31</v>
      </c>
      <c r="J12" s="2828">
        <v>-0.78</v>
      </c>
      <c r="K12" s="2828">
        <v>0.5</v>
      </c>
      <c r="L12" s="2829">
        <v>0.47</v>
      </c>
      <c r="M12" s="2852"/>
      <c r="N12" s="2867">
        <f t="shared" ref="N12" si="84">I12/100</f>
        <v>3.0999999999999999E-3</v>
      </c>
      <c r="O12" s="2853">
        <f t="shared" ref="O12" si="85">J12/100</f>
        <v>-7.8000000000000005E-3</v>
      </c>
      <c r="P12" s="2853">
        <f t="shared" ref="P12" si="86">K12/100</f>
        <v>5.0000000000000001E-3</v>
      </c>
      <c r="Q12" s="2853">
        <f t="shared" ref="Q12" si="87">L12/100</f>
        <v>4.6999999999999993E-3</v>
      </c>
      <c r="R12" s="2868"/>
      <c r="S12" s="2869"/>
      <c r="T12" s="2870"/>
      <c r="U12" s="2870"/>
      <c r="V12" s="2870"/>
      <c r="W12" s="2852"/>
      <c r="X12" s="2852">
        <f>ROUND(SUMPRODUCT(PRODUCT(1+N12:N$37)),4)</f>
        <v>1.6117999999999999</v>
      </c>
      <c r="Y12" s="2852">
        <f>ROUND(SUMPRODUCT(PRODUCT(1+O12:O$37)),4)</f>
        <v>1.3788</v>
      </c>
      <c r="Z12" s="2852">
        <f t="shared" ref="Z12" si="88">Y12</f>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ref="AF12" si="89">AE12</f>
        <v>1.2500000000000001E-2</v>
      </c>
      <c r="AG12" s="2853">
        <f>ROUND(AVERAGE(K12:K$37)/100,4)</f>
        <v>2.0400000000000001E-2</v>
      </c>
      <c r="AH12" s="2853">
        <f>ROUND(AVERAGE(L12:L$37)/100,4)</f>
        <v>1.32E-2</v>
      </c>
    </row>
    <row r="13" spans="1:34" s="2871" customFormat="1">
      <c r="A13" s="2864" t="s">
        <v>2927</v>
      </c>
      <c r="B13" s="2865">
        <f t="shared" ref="B13" si="90">B14*(1+N13)</f>
        <v>479.92259063878413</v>
      </c>
      <c r="C13" s="2865">
        <f t="shared" ref="C13" si="91">C14*(1+O13)</f>
        <v>350.02082268341775</v>
      </c>
      <c r="D13" s="2865">
        <f t="shared" ref="D13" si="92">C13</f>
        <v>350.02082268341775</v>
      </c>
      <c r="E13" s="2865">
        <f t="shared" ref="E13" si="93">E14*(1+P13)</f>
        <v>687.42265944181099</v>
      </c>
      <c r="F13" s="2865">
        <f t="shared" ref="F13" si="94">F14*(1+Q13)</f>
        <v>317.63846657708956</v>
      </c>
      <c r="G13" s="2848">
        <v>2020</v>
      </c>
      <c r="H13" s="2866">
        <v>1</v>
      </c>
      <c r="I13" s="2828">
        <v>0.12</v>
      </c>
      <c r="J13" s="2828">
        <v>-0.4</v>
      </c>
      <c r="K13" s="2828">
        <v>0.21</v>
      </c>
      <c r="L13" s="2829">
        <v>0.27</v>
      </c>
      <c r="M13" s="2852"/>
      <c r="N13" s="2867">
        <f t="shared" ref="N13" si="95">I13/100</f>
        <v>1.1999999999999999E-3</v>
      </c>
      <c r="O13" s="2853">
        <f t="shared" ref="O13" si="96">J13/100</f>
        <v>-4.0000000000000001E-3</v>
      </c>
      <c r="P13" s="2853">
        <f t="shared" ref="P13" si="97">K13/100</f>
        <v>2.0999999999999999E-3</v>
      </c>
      <c r="Q13" s="2853">
        <f t="shared" ref="Q13" si="98">L13/100</f>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99">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ref="AF13" si="100">AE13</f>
        <v>1.3299999999999999E-2</v>
      </c>
      <c r="AG13" s="2853">
        <f>ROUND(AVERAGE(K13:K$37)/100,4)</f>
        <v>2.1100000000000001E-2</v>
      </c>
      <c r="AH13" s="2853">
        <f>ROUND(AVERAGE(L13:L$37)/100,4)</f>
        <v>1.3599999999999999E-2</v>
      </c>
    </row>
    <row r="14" spans="1:34" s="2871" customFormat="1">
      <c r="A14" s="2864" t="s">
        <v>2924</v>
      </c>
      <c r="B14" s="2865">
        <f t="shared" ref="B14" si="101">B15*(1+N14)</f>
        <v>479.34737379023579</v>
      </c>
      <c r="C14" s="2865">
        <f t="shared" ref="C14" si="102">C15*(1+O14)</f>
        <v>351.4265287986122</v>
      </c>
      <c r="D14" s="2865">
        <f t="shared" ref="D14" si="103">C14</f>
        <v>351.4265287986122</v>
      </c>
      <c r="E14" s="2865">
        <f t="shared" ref="E14" si="104">E15*(1+P14)</f>
        <v>685.98209703803116</v>
      </c>
      <c r="F14" s="2865">
        <f t="shared" ref="F14" si="105">F15*(1+Q14)</f>
        <v>316.78315206651001</v>
      </c>
      <c r="G14" s="2848">
        <v>2019</v>
      </c>
      <c r="H14" s="2866">
        <v>4</v>
      </c>
      <c r="I14" s="2866">
        <v>0.45</v>
      </c>
      <c r="J14" s="2866">
        <v>-0.12</v>
      </c>
      <c r="K14" s="2866">
        <v>0.54</v>
      </c>
      <c r="L14" s="2872">
        <v>0.48</v>
      </c>
      <c r="M14" s="2852"/>
      <c r="N14" s="2867">
        <f t="shared" ref="N14" si="106">I14/100</f>
        <v>4.5000000000000005E-3</v>
      </c>
      <c r="O14" s="2853">
        <f t="shared" ref="O14" si="107">J14/100</f>
        <v>-1.1999999999999999E-3</v>
      </c>
      <c r="P14" s="2853">
        <f t="shared" ref="P14" si="108">K14/100</f>
        <v>5.4000000000000003E-3</v>
      </c>
      <c r="Q14" s="2853">
        <f t="shared" ref="Q14" si="109">L14/100</f>
        <v>4.7999999999999996E-3</v>
      </c>
      <c r="R14" s="2868"/>
      <c r="S14" s="2869"/>
      <c r="T14" s="2870"/>
      <c r="U14" s="2870"/>
      <c r="V14" s="2870"/>
      <c r="W14" s="2852"/>
      <c r="X14" s="2852">
        <f>ROUND(SUMPRODUCT(PRODUCT(1+N14:N$37)),4)</f>
        <v>1.6049</v>
      </c>
      <c r="Y14" s="2852">
        <f>ROUND(SUMPRODUCT(PRODUCT(1+O14:O$37)),4)</f>
        <v>1.3952</v>
      </c>
      <c r="Z14" s="2852">
        <f t="shared" si="99"/>
        <v>1.3952</v>
      </c>
      <c r="AA14" s="2852">
        <f>ROUND(SUMPRODUCT(PRODUCT(1+P14:P$37)),4)</f>
        <v>1.6753</v>
      </c>
      <c r="AB14" s="2852">
        <f>ROUND(SUMPRODUCT(PRODUCT(1+Q14:Q$37)),4)</f>
        <v>1.3966000000000001</v>
      </c>
      <c r="AC14" s="2852"/>
      <c r="AD14" s="2853">
        <f>ROUND(AVERAGE(I14:I$37)/100,4)</f>
        <v>0.02</v>
      </c>
      <c r="AE14" s="2853">
        <f>ROUND(AVERAGE(J14:J$37)/100,4)</f>
        <v>1.4E-2</v>
      </c>
      <c r="AF14" s="2853">
        <f t="shared" ref="AF14" si="110">AE14</f>
        <v>1.4E-2</v>
      </c>
      <c r="AG14" s="2853">
        <f>ROUND(AVERAGE(K14:K$37)/100,4)</f>
        <v>2.1899999999999999E-2</v>
      </c>
      <c r="AH14" s="2853">
        <f>ROUND(AVERAGE(L14:L$37)/100,4)</f>
        <v>1.4E-2</v>
      </c>
    </row>
    <row r="15" spans="1:34" s="2871" customFormat="1" ht="13.5" thickBot="1">
      <c r="A15" s="2864" t="s">
        <v>2923</v>
      </c>
      <c r="B15" s="2865">
        <f t="shared" ref="B15" si="111">B16*(1+N15)</f>
        <v>477.19997390765138</v>
      </c>
      <c r="C15" s="2865">
        <f t="shared" ref="C15" si="112">C16*(1+O15)</f>
        <v>351.84874729536665</v>
      </c>
      <c r="D15" s="2865">
        <f t="shared" ref="D15" si="113">C15</f>
        <v>351.84874729536665</v>
      </c>
      <c r="E15" s="2865">
        <f t="shared" ref="E15" si="114">E16*(1+P15)</f>
        <v>682.29768951465201</v>
      </c>
      <c r="F15" s="2865">
        <f t="shared" ref="F15" si="115">F16*(1+Q15)</f>
        <v>315.26985675409043</v>
      </c>
      <c r="G15" s="2848">
        <v>2019</v>
      </c>
      <c r="H15" s="2866">
        <v>3</v>
      </c>
      <c r="I15" s="2866">
        <v>0.61</v>
      </c>
      <c r="J15" s="2866">
        <v>0.67</v>
      </c>
      <c r="K15" s="2866">
        <v>0.6</v>
      </c>
      <c r="L15" s="2872">
        <v>1.03</v>
      </c>
      <c r="M15" s="2852"/>
      <c r="N15" s="2867">
        <f t="shared" ref="N15" si="116">I15/100</f>
        <v>6.0999999999999995E-3</v>
      </c>
      <c r="O15" s="2853">
        <f t="shared" ref="O15" si="117">J15/100</f>
        <v>6.7000000000000002E-3</v>
      </c>
      <c r="P15" s="2853">
        <f t="shared" ref="P15" si="118">K15/100</f>
        <v>6.0000000000000001E-3</v>
      </c>
      <c r="Q15" s="2853">
        <f t="shared" ref="Q15" si="119">L15/100</f>
        <v>1.03E-2</v>
      </c>
      <c r="R15" s="2868"/>
      <c r="S15" s="2869"/>
      <c r="T15" s="2870"/>
      <c r="U15" s="2870"/>
      <c r="V15" s="2870"/>
      <c r="W15" s="2852"/>
      <c r="X15" s="2852">
        <f>ROUND(SUMPRODUCT(PRODUCT(1+N15:N$37)),4)</f>
        <v>1.5976999999999999</v>
      </c>
      <c r="Y15" s="2852">
        <f>ROUND(SUMPRODUCT(PRODUCT(1+O15:O$37)),4)</f>
        <v>1.3969</v>
      </c>
      <c r="Z15" s="2852">
        <f t="shared" si="99"/>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ref="AF15" si="120">AE15</f>
        <v>1.47E-2</v>
      </c>
      <c r="AG15" s="2853">
        <f>ROUND(AVERAGE(K15:K$37)/100,4)</f>
        <v>2.2599999999999999E-2</v>
      </c>
      <c r="AH15" s="2853">
        <f>ROUND(AVERAGE(L15:L$37)/100,4)</f>
        <v>1.44E-2</v>
      </c>
    </row>
    <row r="16" spans="1:34" s="2871" customFormat="1">
      <c r="A16" s="2864" t="s">
        <v>2922</v>
      </c>
      <c r="B16" s="2865">
        <f t="shared" ref="B16:B21" si="121">B17*(1+N16)</f>
        <v>474.30670301923408</v>
      </c>
      <c r="C16" s="2865">
        <f t="shared" ref="C16" si="122">C17*(1+O16)</f>
        <v>349.50705005996491</v>
      </c>
      <c r="D16" s="2865">
        <f t="shared" ref="D16" si="123">C16</f>
        <v>349.50705005996491</v>
      </c>
      <c r="E16" s="2865">
        <f t="shared" ref="E16" si="124">E17*(1+P16)</f>
        <v>678.22831959706957</v>
      </c>
      <c r="F16" s="2865">
        <f t="shared" ref="F16" si="125">F17*(1+Q16)</f>
        <v>312.0556832169558</v>
      </c>
      <c r="G16" s="2848">
        <v>2019</v>
      </c>
      <c r="H16" s="2873">
        <v>2</v>
      </c>
      <c r="I16" s="2873">
        <v>1.53</v>
      </c>
      <c r="J16" s="2873">
        <v>1.01</v>
      </c>
      <c r="K16" s="2873">
        <v>1.62</v>
      </c>
      <c r="L16" s="2874">
        <v>1.25</v>
      </c>
      <c r="M16" s="2852"/>
      <c r="N16" s="2867">
        <f t="shared" ref="N16" si="126">I16/100</f>
        <v>1.5300000000000001E-2</v>
      </c>
      <c r="O16" s="2853">
        <f t="shared" ref="O16" si="127">J16/100</f>
        <v>1.01E-2</v>
      </c>
      <c r="P16" s="2853">
        <f t="shared" ref="P16" si="128">K16/100</f>
        <v>1.6200000000000003E-2</v>
      </c>
      <c r="Q16" s="2853">
        <f t="shared" ref="Q16" si="129">L16/100</f>
        <v>1.2500000000000001E-2</v>
      </c>
      <c r="R16" s="2868"/>
      <c r="S16" s="2869"/>
      <c r="T16" s="2870"/>
      <c r="U16" s="2870"/>
      <c r="V16" s="2870"/>
      <c r="W16" s="2852"/>
      <c r="X16" s="2852">
        <f>ROUND(SUMPRODUCT(PRODUCT(1+N16:N$37)),4)</f>
        <v>1.5880000000000001</v>
      </c>
      <c r="Y16" s="2852">
        <f>ROUND(SUMPRODUCT(PRODUCT(1+O16:O$37)),4)</f>
        <v>1.3875999999999999</v>
      </c>
      <c r="Z16" s="2852">
        <f t="shared" si="99"/>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ref="AF16" si="130">AE16</f>
        <v>1.4999999999999999E-2</v>
      </c>
      <c r="AG16" s="2853">
        <f>ROUND(AVERAGE(K16:K$37)/100,4)</f>
        <v>2.3300000000000001E-2</v>
      </c>
      <c r="AH16" s="2853">
        <f>ROUND(AVERAGE(L16:L$37)/100,4)</f>
        <v>1.46E-2</v>
      </c>
    </row>
    <row r="17" spans="1:34" s="2871" customFormat="1" ht="13.5" thickBot="1">
      <c r="A17" s="2864" t="s">
        <v>2921</v>
      </c>
      <c r="B17" s="2865">
        <f t="shared" si="121"/>
        <v>467.15916775261894</v>
      </c>
      <c r="C17" s="2865">
        <f t="shared" ref="C17" si="131">C18*(1+O17)</f>
        <v>346.01232557169084</v>
      </c>
      <c r="D17" s="2865">
        <f t="shared" ref="D17" si="132">C17</f>
        <v>346.01232557169084</v>
      </c>
      <c r="E17" s="2865">
        <f t="shared" ref="E17" si="133">E18*(1+P17)</f>
        <v>667.41617752122568</v>
      </c>
      <c r="F17" s="2865">
        <f t="shared" ref="F17" si="134">F18*(1+Q17)</f>
        <v>308.20314391798104</v>
      </c>
      <c r="G17" s="2848">
        <v>2019</v>
      </c>
      <c r="H17" s="2866">
        <v>1</v>
      </c>
      <c r="I17" s="2866">
        <v>0.6</v>
      </c>
      <c r="J17" s="2866">
        <v>0.37</v>
      </c>
      <c r="K17" s="2866">
        <v>0.63</v>
      </c>
      <c r="L17" s="2872">
        <v>1.1299999999999999</v>
      </c>
      <c r="M17" s="2852"/>
      <c r="N17" s="2867">
        <f t="shared" ref="N17" si="135">I17/100</f>
        <v>6.0000000000000001E-3</v>
      </c>
      <c r="O17" s="2853">
        <f t="shared" ref="O17" si="136">J17/100</f>
        <v>3.7000000000000002E-3</v>
      </c>
      <c r="P17" s="2853">
        <f t="shared" ref="P17" si="137">K17/100</f>
        <v>6.3E-3</v>
      </c>
      <c r="Q17" s="2853">
        <f t="shared" ref="Q17" si="138">L17/100</f>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99"/>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ref="AF17" si="139">AE17</f>
        <v>1.5299999999999999E-2</v>
      </c>
      <c r="AG17" s="2853">
        <f>ROUND(AVERAGE(K17:K$37)/100,4)</f>
        <v>2.3699999999999999E-2</v>
      </c>
      <c r="AH17" s="2853">
        <f>ROUND(AVERAGE(L17:L$37)/100,4)</f>
        <v>1.47E-2</v>
      </c>
    </row>
    <row r="18" spans="1:34" s="2871" customFormat="1">
      <c r="A18" s="2864" t="s">
        <v>2919</v>
      </c>
      <c r="B18" s="2875">
        <f t="shared" si="121"/>
        <v>464.37293017158942</v>
      </c>
      <c r="C18" s="2875">
        <f t="shared" ref="C18" si="140">C19*(1+O18)</f>
        <v>344.73679941385956</v>
      </c>
      <c r="D18" s="2875">
        <f t="shared" ref="D18" si="141">C18</f>
        <v>344.73679941385956</v>
      </c>
      <c r="E18" s="2875">
        <f t="shared" ref="E18" si="142">E19*(1+P18)</f>
        <v>663.2377795103107</v>
      </c>
      <c r="F18" s="2876">
        <f t="shared" ref="F18" si="143">F19*(1+Q18)</f>
        <v>304.75936311478398</v>
      </c>
      <c r="G18" s="3758">
        <v>2018</v>
      </c>
      <c r="H18" s="2873">
        <v>4</v>
      </c>
      <c r="I18" s="2873">
        <v>0.96</v>
      </c>
      <c r="J18" s="2873">
        <v>1.03</v>
      </c>
      <c r="K18" s="2873">
        <v>0.92</v>
      </c>
      <c r="L18" s="2874">
        <v>1.29</v>
      </c>
      <c r="M18" s="2852"/>
      <c r="N18" s="2867">
        <f t="shared" ref="N18" si="144">I18/100</f>
        <v>9.5999999999999992E-3</v>
      </c>
      <c r="O18" s="2853">
        <f t="shared" ref="O18" si="145">J18/100</f>
        <v>1.03E-2</v>
      </c>
      <c r="P18" s="2853">
        <f t="shared" ref="P18" si="146">K18/100</f>
        <v>9.1999999999999998E-3</v>
      </c>
      <c r="Q18" s="2853">
        <f t="shared" ref="Q18" si="147">L18/100</f>
        <v>1.29E-2</v>
      </c>
      <c r="R18" s="2868"/>
      <c r="S18" s="2877"/>
      <c r="T18" s="2878"/>
      <c r="U18" s="2878"/>
      <c r="V18" s="2878"/>
      <c r="W18" s="2852"/>
      <c r="X18" s="2852">
        <f>ROUND(SUMPRODUCT(PRODUCT(1+N18:N$37)),4)</f>
        <v>1.5548</v>
      </c>
      <c r="Y18" s="2852">
        <f>ROUND(SUMPRODUCT(PRODUCT(1+O18:O$37)),4)</f>
        <v>1.3686</v>
      </c>
      <c r="Z18" s="2852">
        <f t="shared" si="99"/>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ref="AF18" si="148">AE18</f>
        <v>1.5800000000000002E-2</v>
      </c>
      <c r="AG18" s="2853">
        <f>ROUND(AVERAGE(K18:K$37)/100,4)</f>
        <v>2.4500000000000001E-2</v>
      </c>
      <c r="AH18" s="2853">
        <f>ROUND(AVERAGE(L18:L$37)/100,4)</f>
        <v>1.49E-2</v>
      </c>
    </row>
    <row r="19" spans="1:34" s="2871" customFormat="1" ht="14.45" customHeight="1">
      <c r="A19" s="2864" t="s">
        <v>2912</v>
      </c>
      <c r="B19" s="2865">
        <f t="shared" si="121"/>
        <v>459.95733971036987</v>
      </c>
      <c r="C19" s="2865">
        <f t="shared" ref="C19" si="149">C20*(1+O19)</f>
        <v>341.22221064422405</v>
      </c>
      <c r="D19" s="2865">
        <f t="shared" ref="D19" si="150">C19</f>
        <v>341.22221064422405</v>
      </c>
      <c r="E19" s="2865">
        <f t="shared" ref="E19" si="151">E20*(1+P19)</f>
        <v>657.19161663724799</v>
      </c>
      <c r="F19" s="2865">
        <f t="shared" ref="F19" si="152">F20*(1+Q19)</f>
        <v>300.87803644464805</v>
      </c>
      <c r="G19" s="3758"/>
      <c r="H19" s="2866">
        <v>3</v>
      </c>
      <c r="I19" s="2866">
        <v>1.51</v>
      </c>
      <c r="J19" s="2866">
        <v>1.41</v>
      </c>
      <c r="K19" s="2866">
        <v>1.52</v>
      </c>
      <c r="L19" s="2872">
        <v>1.74</v>
      </c>
      <c r="M19" s="2852"/>
      <c r="N19" s="2867">
        <f t="shared" ref="N19" si="153">I19/100</f>
        <v>1.5100000000000001E-2</v>
      </c>
      <c r="O19" s="2853">
        <f t="shared" ref="O19" si="154">J19/100</f>
        <v>1.41E-2</v>
      </c>
      <c r="P19" s="2853">
        <f t="shared" ref="P19" si="155">K19/100</f>
        <v>1.52E-2</v>
      </c>
      <c r="Q19" s="2853">
        <f t="shared" ref="Q19" si="156">L19/100</f>
        <v>1.7399999999999999E-2</v>
      </c>
      <c r="R19" s="2868"/>
      <c r="S19" s="2867"/>
      <c r="T19" s="2853"/>
      <c r="U19" s="2853"/>
      <c r="V19" s="2853"/>
      <c r="W19" s="2852"/>
      <c r="X19" s="2852">
        <f>ROUND(SUMPRODUCT(PRODUCT(1+N19:N$37)),4)</f>
        <v>1.54</v>
      </c>
      <c r="Y19" s="2852">
        <f>ROUND(SUMPRODUCT(PRODUCT(1+O19:O$37)),4)</f>
        <v>1.3547</v>
      </c>
      <c r="Z19" s="2852">
        <f t="shared" si="99"/>
        <v>1.3547</v>
      </c>
      <c r="AA19" s="2852">
        <f>ROUND(SUMPRODUCT(PRODUCT(1+P19:P$37)),4)</f>
        <v>1.605</v>
      </c>
      <c r="AB19" s="2852">
        <f>ROUND(SUMPRODUCT(PRODUCT(1+Q19:Q$37)),4)</f>
        <v>1.3265</v>
      </c>
      <c r="AC19" s="2852"/>
      <c r="AD19" s="2853">
        <f>ROUND(AVERAGE(I19:I$37)/100,4)</f>
        <v>2.3099999999999999E-2</v>
      </c>
      <c r="AE19" s="2853">
        <f>ROUND(AVERAGE(J19:J$37)/100,4)</f>
        <v>1.61E-2</v>
      </c>
      <c r="AF19" s="2853">
        <f t="shared" ref="AF19" si="157">AE19</f>
        <v>1.61E-2</v>
      </c>
      <c r="AG19" s="2853">
        <f>ROUND(AVERAGE(K19:K$37)/100,4)</f>
        <v>2.53E-2</v>
      </c>
      <c r="AH19" s="2853">
        <f>ROUND(AVERAGE(L19:L$37)/100,4)</f>
        <v>1.4999999999999999E-2</v>
      </c>
    </row>
    <row r="20" spans="1:34" s="2871" customFormat="1" ht="14.45" customHeight="1">
      <c r="A20" s="2864" t="s">
        <v>2913</v>
      </c>
      <c r="B20" s="2865">
        <f t="shared" si="121"/>
        <v>453.11529869999993</v>
      </c>
      <c r="C20" s="2865">
        <f t="shared" ref="C20" si="158">C21*(1+O20)</f>
        <v>336.47787264000004</v>
      </c>
      <c r="D20" s="2865">
        <f t="shared" ref="D20" si="159">C20</f>
        <v>336.47787264000004</v>
      </c>
      <c r="E20" s="2865">
        <f t="shared" ref="E20" si="160">E21*(1+P20)</f>
        <v>647.35186823999993</v>
      </c>
      <c r="F20" s="2865">
        <f t="shared" ref="F20" si="161">F21*(1+Q20)</f>
        <v>295.73229452000004</v>
      </c>
      <c r="G20" s="3758"/>
      <c r="H20" s="2879">
        <v>2</v>
      </c>
      <c r="I20" s="2879">
        <v>1.49</v>
      </c>
      <c r="J20" s="2879">
        <v>0.96</v>
      </c>
      <c r="K20" s="2879">
        <v>1.58</v>
      </c>
      <c r="L20" s="2880">
        <v>2.44</v>
      </c>
      <c r="M20" s="2852"/>
      <c r="N20" s="2867">
        <f t="shared" ref="N20" si="162">I20/100</f>
        <v>1.49E-2</v>
      </c>
      <c r="O20" s="2853">
        <f t="shared" ref="O20" si="163">J20/100</f>
        <v>9.5999999999999992E-3</v>
      </c>
      <c r="P20" s="2853">
        <f t="shared" ref="P20" si="164">K20/100</f>
        <v>1.5800000000000002E-2</v>
      </c>
      <c r="Q20" s="2853">
        <f t="shared" ref="Q20" si="165">L20/100</f>
        <v>2.4399999999999998E-2</v>
      </c>
      <c r="R20" s="2868"/>
      <c r="S20" s="2867"/>
      <c r="T20" s="2853"/>
      <c r="U20" s="2853"/>
      <c r="V20" s="2853"/>
      <c r="W20" s="2852"/>
      <c r="X20" s="2852">
        <f>ROUND(SUMPRODUCT(PRODUCT(1+N20:N$37)),4)</f>
        <v>1.5170999999999999</v>
      </c>
      <c r="Y20" s="2852">
        <f>ROUND(SUMPRODUCT(PRODUCT(1+O20:O$37)),4)</f>
        <v>1.3358000000000001</v>
      </c>
      <c r="Z20" s="2852">
        <f t="shared" si="99"/>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ref="AF20" si="166">AE20</f>
        <v>1.6199999999999999E-2</v>
      </c>
      <c r="AG20" s="2853">
        <f>ROUND(AVERAGE(K20:K$37)/100,4)</f>
        <v>2.5899999999999999E-2</v>
      </c>
      <c r="AH20" s="2853">
        <f>ROUND(AVERAGE(L20:L$37)/100,4)</f>
        <v>1.49E-2</v>
      </c>
    </row>
    <row r="21" spans="1:34" s="2871" customFormat="1" ht="15" customHeight="1" thickBot="1">
      <c r="A21" s="2864" t="s">
        <v>2909</v>
      </c>
      <c r="B21" s="2865">
        <f t="shared" si="121"/>
        <v>446.46299999999997</v>
      </c>
      <c r="C21" s="2865">
        <f t="shared" ref="C21" si="167">C22*(1+O21)</f>
        <v>333.27840000000003</v>
      </c>
      <c r="D21" s="2865">
        <f t="shared" ref="D21:D26" si="168">C21</f>
        <v>333.27840000000003</v>
      </c>
      <c r="E21" s="2865">
        <f t="shared" ref="E21" si="169">E22*(1+P21)</f>
        <v>637.28279999999995</v>
      </c>
      <c r="F21" s="2865">
        <f t="shared" ref="F21" si="170">F22*(1+Q21)</f>
        <v>288.68830000000003</v>
      </c>
      <c r="G21" s="3764"/>
      <c r="H21" s="2866">
        <v>1</v>
      </c>
      <c r="I21" s="2866">
        <v>1.7</v>
      </c>
      <c r="J21" s="2866">
        <v>1.92</v>
      </c>
      <c r="K21" s="2866">
        <v>1.64</v>
      </c>
      <c r="L21" s="2872">
        <v>2.0099999999999998</v>
      </c>
      <c r="M21" s="2852"/>
      <c r="N21" s="2867">
        <f t="shared" ref="N21:N26" si="171">I21/100</f>
        <v>1.7000000000000001E-2</v>
      </c>
      <c r="O21" s="2853">
        <f t="shared" ref="O21" si="172">J21/100</f>
        <v>1.9199999999999998E-2</v>
      </c>
      <c r="P21" s="2853">
        <f t="shared" ref="P21" si="173">K21/100</f>
        <v>1.6399999999999998E-2</v>
      </c>
      <c r="Q21" s="2853">
        <f t="shared" ref="Q21" si="174">L21/100</f>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99"/>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ref="AF21" si="175">AE21</f>
        <v>1.66E-2</v>
      </c>
      <c r="AG21" s="2853">
        <f>ROUND(AVERAGE(K21:K$37)/100,4)</f>
        <v>2.6499999999999999E-2</v>
      </c>
      <c r="AH21" s="2853">
        <f>ROUND(AVERAGE(L21:L$37)/100,4)</f>
        <v>1.43E-2</v>
      </c>
    </row>
    <row r="22" spans="1:34">
      <c r="A22" s="2864" t="s">
        <v>2902</v>
      </c>
      <c r="B22" s="2881">
        <v>439</v>
      </c>
      <c r="C22" s="2881">
        <v>327</v>
      </c>
      <c r="D22" s="2881">
        <f t="shared" si="168"/>
        <v>327</v>
      </c>
      <c r="E22" s="2881">
        <v>627</v>
      </c>
      <c r="F22" s="2882">
        <v>283</v>
      </c>
      <c r="G22" s="3763">
        <v>2017</v>
      </c>
      <c r="H22" s="2873">
        <v>4</v>
      </c>
      <c r="I22" s="2873">
        <v>1.71</v>
      </c>
      <c r="J22" s="2873">
        <v>1.78</v>
      </c>
      <c r="K22" s="2873">
        <v>1.71</v>
      </c>
      <c r="L22" s="2874">
        <v>1.43</v>
      </c>
      <c r="N22" s="2883">
        <f t="shared" si="171"/>
        <v>1.7100000000000001E-2</v>
      </c>
      <c r="O22" s="2884">
        <f t="shared" ref="O22" si="176">J22/100</f>
        <v>1.78E-2</v>
      </c>
      <c r="P22" s="2884">
        <f t="shared" ref="P22" si="177">K22/100</f>
        <v>1.7100000000000001E-2</v>
      </c>
      <c r="Q22" s="2884">
        <f t="shared" ref="Q22" si="178">L22/100</f>
        <v>1.43E-2</v>
      </c>
      <c r="R22" s="2868"/>
      <c r="S22" s="2877"/>
      <c r="T22" s="2878"/>
      <c r="U22" s="2878"/>
      <c r="V22" s="2878"/>
      <c r="X22" s="2852">
        <f>ROUND(SUMPRODUCT(PRODUCT(1+N22:N$37)),4)</f>
        <v>1.4698</v>
      </c>
      <c r="Y22" s="2852">
        <f>ROUND(SUMPRODUCT(PRODUCT(1+O22:O$37)),4)</f>
        <v>1.2982</v>
      </c>
      <c r="Z22" s="2852">
        <f t="shared" si="99"/>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
        <v>1.6500000000000001E-2</v>
      </c>
      <c r="AG22" s="2853">
        <f>ROUND(AVERAGE(K22:K$37)/100,4)</f>
        <v>2.7099999999999999E-2</v>
      </c>
      <c r="AH22" s="2853">
        <f>ROUND(AVERAGE(L22:L$37)/100,4)</f>
        <v>1.3899999999999999E-2</v>
      </c>
    </row>
    <row r="23" spans="1:34" s="2871" customFormat="1" ht="14.45" customHeight="1">
      <c r="A23" s="2864" t="s">
        <v>2905</v>
      </c>
      <c r="B23" s="2865">
        <f t="shared" ref="B23:C25" si="179">B24*(1+N23)</f>
        <v>431.80730811680002</v>
      </c>
      <c r="C23" s="2865">
        <f t="shared" si="179"/>
        <v>320.57880516480003</v>
      </c>
      <c r="D23" s="2865">
        <f t="shared" si="168"/>
        <v>320.57880516480003</v>
      </c>
      <c r="E23" s="2865">
        <f t="shared" ref="E23:F25" si="180">E24*(1+P23)</f>
        <v>615.96110553196797</v>
      </c>
      <c r="F23" s="2865">
        <f t="shared" si="180"/>
        <v>279.46777300108801</v>
      </c>
      <c r="G23" s="3758"/>
      <c r="H23" s="2866">
        <v>3</v>
      </c>
      <c r="I23" s="2866">
        <v>2.98</v>
      </c>
      <c r="J23" s="2866">
        <v>2.11</v>
      </c>
      <c r="K23" s="2866">
        <v>3.24</v>
      </c>
      <c r="L23" s="2872">
        <v>1.72</v>
      </c>
      <c r="M23" s="2852"/>
      <c r="N23" s="2867">
        <f t="shared" si="171"/>
        <v>2.98E-2</v>
      </c>
      <c r="O23" s="2885">
        <f t="shared" ref="O23:O24" si="181">J23/100</f>
        <v>2.1099999999999997E-2</v>
      </c>
      <c r="P23" s="2885">
        <f t="shared" ref="P23:P24" si="182">K23/100</f>
        <v>3.2400000000000005E-2</v>
      </c>
      <c r="Q23" s="2885">
        <f t="shared" ref="Q23:Q24" si="183">L23/100</f>
        <v>1.72E-2</v>
      </c>
      <c r="R23" s="2868"/>
      <c r="S23" s="2867"/>
      <c r="T23" s="2853"/>
      <c r="U23" s="2853"/>
      <c r="V23" s="2853"/>
      <c r="W23" s="2852"/>
      <c r="X23" s="2852">
        <f>ROUND(SUMPRODUCT(PRODUCT(1+N23:N$37)),4)</f>
        <v>1.4451000000000001</v>
      </c>
      <c r="Y23" s="2852">
        <f>ROUND(SUMPRODUCT(PRODUCT(1+O23:O$37)),4)</f>
        <v>1.2755000000000001</v>
      </c>
      <c r="Z23" s="2852">
        <f t="shared" si="99"/>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
        <v>1.6400000000000001E-2</v>
      </c>
      <c r="AG23" s="2853">
        <f>ROUND(AVERAGE(K23:K$37)/100,4)</f>
        <v>2.7799999999999998E-2</v>
      </c>
      <c r="AH23" s="2853">
        <f>ROUND(AVERAGE(L23:L$37)/100,4)</f>
        <v>1.3899999999999999E-2</v>
      </c>
    </row>
    <row r="24" spans="1:34" s="2830" customFormat="1" ht="14.45" customHeight="1">
      <c r="A24" s="2864" t="s">
        <v>2534</v>
      </c>
      <c r="B24" s="2865">
        <f t="shared" si="179"/>
        <v>419.31181600000002</v>
      </c>
      <c r="C24" s="2865">
        <f t="shared" si="179"/>
        <v>313.95436800000004</v>
      </c>
      <c r="D24" s="2865">
        <f t="shared" si="168"/>
        <v>313.95436800000004</v>
      </c>
      <c r="E24" s="2865">
        <f t="shared" si="180"/>
        <v>596.63028431999999</v>
      </c>
      <c r="F24" s="2865">
        <f t="shared" si="180"/>
        <v>274.74220703999998</v>
      </c>
      <c r="G24" s="3758"/>
      <c r="H24" s="2879">
        <v>2</v>
      </c>
      <c r="I24" s="2879">
        <v>3.4</v>
      </c>
      <c r="J24" s="2879">
        <v>2</v>
      </c>
      <c r="K24" s="2879">
        <v>3.82</v>
      </c>
      <c r="L24" s="2880">
        <v>1.68</v>
      </c>
      <c r="N24" s="2867">
        <f t="shared" si="171"/>
        <v>3.4000000000000002E-2</v>
      </c>
      <c r="O24" s="2885">
        <f t="shared" si="181"/>
        <v>0.02</v>
      </c>
      <c r="P24" s="2885">
        <f t="shared" si="182"/>
        <v>3.8199999999999998E-2</v>
      </c>
      <c r="Q24" s="2885">
        <f t="shared" si="183"/>
        <v>1.6799999999999999E-2</v>
      </c>
      <c r="S24" s="2867"/>
      <c r="T24" s="2853"/>
      <c r="U24" s="2853"/>
      <c r="V24" s="2853"/>
      <c r="X24" s="2852">
        <f>ROUND(SUMPRODUCT(PRODUCT(1+N24:N$37)),4)</f>
        <v>1.4033</v>
      </c>
      <c r="Y24" s="2852">
        <f>ROUND(SUMPRODUCT(PRODUCT(1+O24:O$37)),4)</f>
        <v>1.2491000000000001</v>
      </c>
      <c r="Z24" s="2852">
        <f t="shared" si="99"/>
        <v>1.2491000000000001</v>
      </c>
      <c r="AA24" s="2852">
        <f>ROUND(SUMPRODUCT(PRODUCT(1+P24:P$37)),4)</f>
        <v>1.4581999999999999</v>
      </c>
      <c r="AB24" s="2852">
        <f>ROUND(SUMPRODUCT(PRODUCT(1+Q24:Q$37)),4)</f>
        <v>1.2093</v>
      </c>
      <c r="AD24" s="2853">
        <f>ROUND(AVERAGE(I24:I$37)/100,4)</f>
        <v>2.46E-2</v>
      </c>
      <c r="AE24" s="2853">
        <f>ROUND(AVERAGE(J24:J$37)/100,4)</f>
        <v>1.6E-2</v>
      </c>
      <c r="AF24" s="2853">
        <f t="shared" si="1"/>
        <v>1.6E-2</v>
      </c>
      <c r="AG24" s="2853">
        <f>ROUND(AVERAGE(K24:K$37)/100,4)</f>
        <v>2.75E-2</v>
      </c>
      <c r="AH24" s="2853">
        <f>ROUND(AVERAGE(L24:L$37)/100,4)</f>
        <v>1.37E-2</v>
      </c>
    </row>
    <row r="25" spans="1:34" s="2871" customFormat="1" ht="15" customHeight="1" thickBot="1">
      <c r="A25" s="2864" t="s">
        <v>2535</v>
      </c>
      <c r="B25" s="2865">
        <f t="shared" si="179"/>
        <v>405.524</v>
      </c>
      <c r="C25" s="2865">
        <f t="shared" si="179"/>
        <v>307.79840000000002</v>
      </c>
      <c r="D25" s="2865">
        <f t="shared" si="168"/>
        <v>307.79840000000002</v>
      </c>
      <c r="E25" s="2865">
        <f t="shared" si="180"/>
        <v>574.67759999999998</v>
      </c>
      <c r="F25" s="2865">
        <f t="shared" si="180"/>
        <v>270.20280000000002</v>
      </c>
      <c r="G25" s="3764"/>
      <c r="H25" s="2866">
        <v>1</v>
      </c>
      <c r="I25" s="2866">
        <v>3.45</v>
      </c>
      <c r="J25" s="2866">
        <v>1.92</v>
      </c>
      <c r="K25" s="2866">
        <v>3.92</v>
      </c>
      <c r="L25" s="2872">
        <v>1.58</v>
      </c>
      <c r="M25" s="2852"/>
      <c r="N25" s="2869">
        <f t="shared" si="171"/>
        <v>3.4500000000000003E-2</v>
      </c>
      <c r="O25" s="2870">
        <f t="shared" ref="O25" si="184">J25/100</f>
        <v>1.9199999999999998E-2</v>
      </c>
      <c r="P25" s="2870">
        <f t="shared" ref="P25" si="185">K25/100</f>
        <v>3.9199999999999999E-2</v>
      </c>
      <c r="Q25" s="2870">
        <f t="shared" ref="Q25" si="186">L25/100</f>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99"/>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
        <v>1.5699999999999999E-2</v>
      </c>
      <c r="AG25" s="2853">
        <f>ROUND(AVERAGE(K25:K$37)/100,4)</f>
        <v>2.6599999999999999E-2</v>
      </c>
      <c r="AH25" s="2853">
        <f>ROUND(AVERAGE(L25:L$37)/100,4)</f>
        <v>1.34E-2</v>
      </c>
    </row>
    <row r="26" spans="1:34">
      <c r="A26" s="2864" t="s">
        <v>945</v>
      </c>
      <c r="B26" s="2886">
        <v>392</v>
      </c>
      <c r="C26" s="2886">
        <v>302</v>
      </c>
      <c r="D26" s="2886">
        <f t="shared" si="168"/>
        <v>302</v>
      </c>
      <c r="E26" s="2886">
        <v>553</v>
      </c>
      <c r="F26" s="2887">
        <v>266</v>
      </c>
      <c r="G26" s="3763">
        <v>2016</v>
      </c>
      <c r="H26" s="2873">
        <v>4</v>
      </c>
      <c r="I26" s="2873">
        <v>4.5599999999999996</v>
      </c>
      <c r="J26" s="2873">
        <v>2.15</v>
      </c>
      <c r="K26" s="2873">
        <v>5.32</v>
      </c>
      <c r="L26" s="2874">
        <v>1.57</v>
      </c>
      <c r="N26" s="2867">
        <f t="shared" si="171"/>
        <v>4.5599999999999995E-2</v>
      </c>
      <c r="O26" s="2853">
        <f t="shared" ref="O26:Q41" si="187">J26/100</f>
        <v>2.1499999999999998E-2</v>
      </c>
      <c r="P26" s="2853">
        <f t="shared" si="187"/>
        <v>5.3200000000000004E-2</v>
      </c>
      <c r="Q26" s="2853">
        <f t="shared" si="187"/>
        <v>1.5700000000000002E-2</v>
      </c>
      <c r="R26" s="2868"/>
      <c r="S26" s="2877"/>
      <c r="T26" s="2878"/>
      <c r="U26" s="2878"/>
      <c r="V26" s="2878"/>
      <c r="X26" s="2852">
        <f>ROUND(SUMPRODUCT(PRODUCT(1+N26:N$37)),4)</f>
        <v>1.3119000000000001</v>
      </c>
      <c r="Y26" s="2852">
        <f>ROUND(SUMPRODUCT(PRODUCT(1+O26:O$37)),4)</f>
        <v>1.2016</v>
      </c>
      <c r="Z26" s="2852">
        <f t="shared" si="99"/>
        <v>1.2016</v>
      </c>
      <c r="AA26" s="2852">
        <f>ROUND(SUMPRODUCT(PRODUCT(1+P26:P$37)),4)</f>
        <v>1.3515999999999999</v>
      </c>
      <c r="AB26" s="2852">
        <f>ROUND(SUMPRODUCT(PRODUCT(1+Q26:Q$37)),4)</f>
        <v>1.1708000000000001</v>
      </c>
      <c r="AD26" s="2853">
        <f>ROUND(AVERAGE(I26:I$37)/100,4)</f>
        <v>2.3E-2</v>
      </c>
      <c r="AE26" s="2853">
        <f>ROUND(AVERAGE(J26:J$37)/100,4)</f>
        <v>1.55E-2</v>
      </c>
      <c r="AF26" s="2853">
        <f t="shared" si="1"/>
        <v>1.55E-2</v>
      </c>
      <c r="AG26" s="2853">
        <f>ROUND(AVERAGE(K26:K$37)/100,4)</f>
        <v>2.5600000000000001E-2</v>
      </c>
      <c r="AH26" s="2853">
        <f>ROUND(AVERAGE(L26:L$37)/100,4)</f>
        <v>1.32E-2</v>
      </c>
    </row>
    <row r="27" spans="1:34">
      <c r="A27" s="2864" t="s">
        <v>944</v>
      </c>
      <c r="B27" s="2865">
        <f t="shared" ref="B27:C29" si="188">B26/(1+N26)</f>
        <v>374.90436113236416</v>
      </c>
      <c r="C27" s="2865">
        <f t="shared" si="188"/>
        <v>295.64366128242779</v>
      </c>
      <c r="D27" s="2865">
        <f t="shared" ref="D27:D86" si="189">C27</f>
        <v>295.64366128242779</v>
      </c>
      <c r="E27" s="2865">
        <f t="shared" ref="E27:F29" si="190">E26/(1+P26)</f>
        <v>525.06646410938095</v>
      </c>
      <c r="F27" s="2865">
        <f t="shared" si="190"/>
        <v>261.88835286009646</v>
      </c>
      <c r="G27" s="3758"/>
      <c r="H27" s="2866">
        <v>3</v>
      </c>
      <c r="I27" s="2866">
        <v>4.12</v>
      </c>
      <c r="J27" s="2866">
        <v>2</v>
      </c>
      <c r="K27" s="2866">
        <v>4.79</v>
      </c>
      <c r="L27" s="2872">
        <v>1.97</v>
      </c>
      <c r="N27" s="2867">
        <f t="shared" ref="N27:Q61" si="191">I27/100</f>
        <v>4.1200000000000001E-2</v>
      </c>
      <c r="O27" s="2853">
        <f t="shared" si="187"/>
        <v>0.02</v>
      </c>
      <c r="P27" s="2853">
        <f t="shared" si="187"/>
        <v>4.7899999999999998E-2</v>
      </c>
      <c r="Q27" s="2853">
        <f t="shared" si="187"/>
        <v>1.9699999999999999E-2</v>
      </c>
      <c r="R27" s="2868"/>
      <c r="S27" s="2867"/>
      <c r="T27" s="2853"/>
      <c r="U27" s="2853"/>
      <c r="V27" s="2853"/>
      <c r="X27" s="2852">
        <f>ROUND(SUMPRODUCT(PRODUCT(1+N27:N$37)),4)</f>
        <v>1.2546999999999999</v>
      </c>
      <c r="Y27" s="2852">
        <f>ROUND(SUMPRODUCT(PRODUCT(1+O27:O$37)),4)</f>
        <v>1.1762999999999999</v>
      </c>
      <c r="Z27" s="2852">
        <f t="shared" si="99"/>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
        <v>1.49E-2</v>
      </c>
      <c r="AG27" s="2853">
        <f>ROUND(AVERAGE(K27:K$37)/100,4)</f>
        <v>2.3099999999999999E-2</v>
      </c>
      <c r="AH27" s="2853">
        <f>ROUND(AVERAGE(L27:L$37)/100,4)</f>
        <v>1.2999999999999999E-2</v>
      </c>
    </row>
    <row r="28" spans="1:34">
      <c r="A28" s="2864" t="s">
        <v>934</v>
      </c>
      <c r="B28" s="2865">
        <f t="shared" si="188"/>
        <v>360.06949782209392</v>
      </c>
      <c r="C28" s="2865">
        <f t="shared" si="188"/>
        <v>289.84672674747821</v>
      </c>
      <c r="D28" s="2865">
        <f t="shared" si="189"/>
        <v>289.84672674747821</v>
      </c>
      <c r="E28" s="2865">
        <f t="shared" si="190"/>
        <v>501.06543001181495</v>
      </c>
      <c r="F28" s="2865">
        <f t="shared" si="190"/>
        <v>256.82882500744967</v>
      </c>
      <c r="G28" s="3758"/>
      <c r="H28" s="2879">
        <v>2</v>
      </c>
      <c r="I28" s="2879">
        <v>3.85</v>
      </c>
      <c r="J28" s="2879">
        <v>1.95</v>
      </c>
      <c r="K28" s="2879">
        <v>4.4800000000000004</v>
      </c>
      <c r="L28" s="2880">
        <v>1.41</v>
      </c>
      <c r="N28" s="2867">
        <f t="shared" si="191"/>
        <v>3.85E-2</v>
      </c>
      <c r="O28" s="2853">
        <f t="shared" si="187"/>
        <v>1.95E-2</v>
      </c>
      <c r="P28" s="2853">
        <f t="shared" si="187"/>
        <v>4.4800000000000006E-2</v>
      </c>
      <c r="Q28" s="2853">
        <f t="shared" si="187"/>
        <v>1.41E-2</v>
      </c>
      <c r="R28" s="2868"/>
      <c r="S28" s="2867"/>
      <c r="T28" s="2853"/>
      <c r="U28" s="2853"/>
      <c r="V28" s="2853"/>
      <c r="X28" s="2852">
        <f>ROUND(SUMPRODUCT(PRODUCT(1+N28:N$37)),4)</f>
        <v>1.2050000000000001</v>
      </c>
      <c r="Y28" s="2852">
        <f>ROUND(SUMPRODUCT(PRODUCT(1+O28:O$37)),4)</f>
        <v>1.1532</v>
      </c>
      <c r="Z28" s="2852">
        <f t="shared" si="99"/>
        <v>1.1532</v>
      </c>
      <c r="AA28" s="2852">
        <f>ROUND(SUMPRODUCT(PRODUCT(1+P28:P$37)),4)</f>
        <v>1.2246999999999999</v>
      </c>
      <c r="AB28" s="2852">
        <f>ROUND(SUMPRODUCT(PRODUCT(1+Q28:Q$37)),4)</f>
        <v>1.1304000000000001</v>
      </c>
      <c r="AD28" s="2853">
        <f>ROUND(AVERAGE(I28:I$37)/100,4)</f>
        <v>1.89E-2</v>
      </c>
      <c r="AE28" s="2853">
        <f>ROUND(AVERAGE(J28:J$37)/100,4)</f>
        <v>1.44E-2</v>
      </c>
      <c r="AF28" s="2853">
        <f t="shared" si="1"/>
        <v>1.44E-2</v>
      </c>
      <c r="AG28" s="2853">
        <f>ROUND(AVERAGE(K28:K$37)/100,4)</f>
        <v>2.06E-2</v>
      </c>
      <c r="AH28" s="2853">
        <f>ROUND(AVERAGE(L28:L$37)/100,4)</f>
        <v>1.23E-2</v>
      </c>
    </row>
    <row r="29" spans="1:34" ht="13.5" thickBot="1">
      <c r="A29" s="2864" t="s">
        <v>943</v>
      </c>
      <c r="B29" s="2865">
        <f t="shared" si="188"/>
        <v>346.720748986128</v>
      </c>
      <c r="C29" s="2865">
        <f t="shared" si="188"/>
        <v>284.30282172386285</v>
      </c>
      <c r="D29" s="2865">
        <f t="shared" si="189"/>
        <v>284.30282172386285</v>
      </c>
      <c r="E29" s="2865">
        <f t="shared" si="190"/>
        <v>479.58023546306947</v>
      </c>
      <c r="F29" s="2865">
        <f t="shared" si="190"/>
        <v>253.25788877571213</v>
      </c>
      <c r="G29" s="3759"/>
      <c r="H29" s="2866">
        <v>1</v>
      </c>
      <c r="I29" s="2866">
        <v>4.09</v>
      </c>
      <c r="J29" s="2866">
        <v>2.93</v>
      </c>
      <c r="K29" s="2866">
        <v>4.54</v>
      </c>
      <c r="L29" s="2872">
        <v>1.48</v>
      </c>
      <c r="N29" s="2867">
        <f t="shared" si="191"/>
        <v>4.0899999999999999E-2</v>
      </c>
      <c r="O29" s="2853">
        <f t="shared" si="187"/>
        <v>2.9300000000000003E-2</v>
      </c>
      <c r="P29" s="2853">
        <f t="shared" si="187"/>
        <v>4.5400000000000003E-2</v>
      </c>
      <c r="Q29" s="2853">
        <f t="shared" si="187"/>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99"/>
        <v>1.1312</v>
      </c>
      <c r="AA29" s="2852">
        <f>ROUND(SUMPRODUCT(PRODUCT(1+P29:P$37)),4)</f>
        <v>1.1721999999999999</v>
      </c>
      <c r="AB29" s="2852">
        <f>ROUND(SUMPRODUCT(PRODUCT(1+Q29:Q$37)),4)</f>
        <v>1.1147</v>
      </c>
      <c r="AD29" s="2853">
        <f>ROUND(AVERAGE(I29:I$37)/100,4)</f>
        <v>1.67E-2</v>
      </c>
      <c r="AE29" s="2853">
        <f>ROUND(AVERAGE(J29:J$37)/100,4)</f>
        <v>1.38E-2</v>
      </c>
      <c r="AF29" s="2853">
        <f t="shared" si="1"/>
        <v>1.38E-2</v>
      </c>
      <c r="AG29" s="2853">
        <f>ROUND(AVERAGE(K29:K$37)/100,4)</f>
        <v>1.7899999999999999E-2</v>
      </c>
      <c r="AH29" s="2853">
        <f>ROUND(AVERAGE(L29:L$37)/100,4)</f>
        <v>1.21E-2</v>
      </c>
    </row>
    <row r="30" spans="1:34" ht="13.5" thickBot="1">
      <c r="A30" s="2864" t="s">
        <v>942</v>
      </c>
      <c r="B30" s="2886">
        <v>333</v>
      </c>
      <c r="C30" s="2886">
        <v>277</v>
      </c>
      <c r="D30" s="2886">
        <f t="shared" si="189"/>
        <v>277</v>
      </c>
      <c r="E30" s="2886">
        <v>459</v>
      </c>
      <c r="F30" s="2887">
        <v>249</v>
      </c>
      <c r="G30" s="3757">
        <v>2015</v>
      </c>
      <c r="H30" s="2888">
        <v>4</v>
      </c>
      <c r="I30" s="2888">
        <v>1.63</v>
      </c>
      <c r="J30" s="2888">
        <v>1.1100000000000001</v>
      </c>
      <c r="K30" s="2888">
        <v>1.77</v>
      </c>
      <c r="L30" s="2889">
        <v>1.89</v>
      </c>
      <c r="N30" s="2883">
        <f t="shared" si="191"/>
        <v>1.6299999999999999E-2</v>
      </c>
      <c r="O30" s="2884">
        <f t="shared" si="187"/>
        <v>1.11E-2</v>
      </c>
      <c r="P30" s="2884">
        <f t="shared" si="187"/>
        <v>1.77E-2</v>
      </c>
      <c r="Q30" s="2884">
        <f t="shared" si="187"/>
        <v>1.89E-2</v>
      </c>
      <c r="R30" s="2868"/>
      <c r="X30" s="2852">
        <f>ROUND(SUMPRODUCT(PRODUCT(1+N30:N$37)),4)</f>
        <v>1.1148</v>
      </c>
      <c r="Y30" s="2852">
        <f>ROUND(SUMPRODUCT(PRODUCT(1+O30:O$37)),4)</f>
        <v>1.099</v>
      </c>
      <c r="Z30" s="2852">
        <f t="shared" si="99"/>
        <v>1.099</v>
      </c>
      <c r="AA30" s="2852">
        <f>ROUND(SUMPRODUCT(PRODUCT(1+P30:P$37)),4)</f>
        <v>1.1213</v>
      </c>
      <c r="AB30" s="2852">
        <f>ROUND(SUMPRODUCT(PRODUCT(1+Q30:Q$37)),4)</f>
        <v>1.0984</v>
      </c>
      <c r="AD30" s="2853">
        <f>ROUND(AVERAGE(I30:I$37)/100,4)</f>
        <v>1.37E-2</v>
      </c>
      <c r="AE30" s="2853">
        <f>ROUND(AVERAGE(J30:J$37)/100,4)</f>
        <v>1.1900000000000001E-2</v>
      </c>
      <c r="AF30" s="2853">
        <f t="shared" si="1"/>
        <v>1.1900000000000001E-2</v>
      </c>
      <c r="AG30" s="2853">
        <f>ROUND(AVERAGE(K30:K$37)/100,4)</f>
        <v>1.4500000000000001E-2</v>
      </c>
      <c r="AH30" s="2853">
        <f>ROUND(AVERAGE(L30:L$37)/100,4)</f>
        <v>1.18E-2</v>
      </c>
    </row>
    <row r="31" spans="1:34">
      <c r="A31" s="2864" t="s">
        <v>941</v>
      </c>
      <c r="B31" s="2865">
        <f t="shared" ref="B31:C33" si="192">B30/(1+N30)</f>
        <v>327.65915576109415</v>
      </c>
      <c r="C31" s="2865">
        <f t="shared" si="192"/>
        <v>273.95905449510434</v>
      </c>
      <c r="D31" s="2865">
        <f t="shared" si="189"/>
        <v>273.95905449510434</v>
      </c>
      <c r="E31" s="2865">
        <f t="shared" ref="E31:F33" si="193">E30/(1+P30)</f>
        <v>451.01699911565294</v>
      </c>
      <c r="F31" s="2865">
        <f t="shared" si="193"/>
        <v>244.38119540681129</v>
      </c>
      <c r="G31" s="3758"/>
      <c r="H31" s="2891">
        <v>3</v>
      </c>
      <c r="I31" s="2891">
        <v>1.65</v>
      </c>
      <c r="J31" s="2891">
        <v>0.92</v>
      </c>
      <c r="K31" s="2891">
        <v>1.88</v>
      </c>
      <c r="L31" s="2892">
        <v>1.26</v>
      </c>
      <c r="N31" s="2867">
        <f t="shared" si="191"/>
        <v>1.6500000000000001E-2</v>
      </c>
      <c r="O31" s="2885">
        <f t="shared" si="187"/>
        <v>9.1999999999999998E-3</v>
      </c>
      <c r="P31" s="2885">
        <f t="shared" si="187"/>
        <v>1.8799999999999997E-2</v>
      </c>
      <c r="Q31" s="2885">
        <f t="shared" si="187"/>
        <v>1.26E-2</v>
      </c>
      <c r="R31" s="2868"/>
      <c r="S31" s="2867"/>
      <c r="T31" s="2853"/>
      <c r="U31" s="2853"/>
      <c r="V31" s="2853"/>
      <c r="X31" s="2852">
        <f>ROUND(SUMPRODUCT(PRODUCT(1+N31:N$37)),4)</f>
        <v>1.0969</v>
      </c>
      <c r="Y31" s="2852">
        <f>ROUND(SUMPRODUCT(PRODUCT(1+O31:O$37)),4)</f>
        <v>1.0869</v>
      </c>
      <c r="Z31" s="2852">
        <f t="shared" si="99"/>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
        <v>1.2E-2</v>
      </c>
      <c r="AG31" s="2853">
        <f>ROUND(AVERAGE(K31:K$37)/100,4)</f>
        <v>1.4E-2</v>
      </c>
      <c r="AH31" s="2853">
        <f>ROUND(AVERAGE(L31:L$37)/100,4)</f>
        <v>1.0800000000000001E-2</v>
      </c>
    </row>
    <row r="32" spans="1:34">
      <c r="A32" s="2864" t="s">
        <v>940</v>
      </c>
      <c r="B32" s="2865">
        <f t="shared" si="192"/>
        <v>322.34053690220776</v>
      </c>
      <c r="C32" s="2865">
        <f t="shared" si="192"/>
        <v>271.46160770422546</v>
      </c>
      <c r="D32" s="2865">
        <f t="shared" si="189"/>
        <v>271.46160770422546</v>
      </c>
      <c r="E32" s="2865">
        <f t="shared" si="193"/>
        <v>442.69434542172456</v>
      </c>
      <c r="F32" s="2865">
        <f t="shared" si="193"/>
        <v>241.34030753190925</v>
      </c>
      <c r="G32" s="3758"/>
      <c r="H32" s="2879">
        <v>2</v>
      </c>
      <c r="I32" s="2879">
        <v>0.77</v>
      </c>
      <c r="J32" s="2879">
        <v>0.69</v>
      </c>
      <c r="K32" s="2879">
        <v>0.8</v>
      </c>
      <c r="L32" s="2880">
        <v>0.88</v>
      </c>
      <c r="N32" s="2867">
        <f t="shared" si="191"/>
        <v>7.7000000000000002E-3</v>
      </c>
      <c r="O32" s="2885">
        <f t="shared" si="187"/>
        <v>6.8999999999999999E-3</v>
      </c>
      <c r="P32" s="2885">
        <f t="shared" si="187"/>
        <v>8.0000000000000002E-3</v>
      </c>
      <c r="Q32" s="2885">
        <f t="shared" si="187"/>
        <v>8.8000000000000005E-3</v>
      </c>
      <c r="R32" s="2868"/>
      <c r="S32" s="2867"/>
      <c r="T32" s="2853"/>
      <c r="U32" s="2853"/>
      <c r="V32" s="2853"/>
      <c r="X32" s="2852">
        <f>ROUND(SUMPRODUCT(PRODUCT(1+N32:N$37)),4)</f>
        <v>1.0790999999999999</v>
      </c>
      <c r="Y32" s="2852">
        <f>ROUND(SUMPRODUCT(PRODUCT(1+O32:O$37)),4)</f>
        <v>1.077</v>
      </c>
      <c r="Z32" s="2852">
        <f t="shared" si="99"/>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
        <v>1.2500000000000001E-2</v>
      </c>
      <c r="AG32" s="2853">
        <f>ROUND(AVERAGE(K32:K$37)/100,4)</f>
        <v>1.32E-2</v>
      </c>
      <c r="AH32" s="2853">
        <f>ROUND(AVERAGE(L32:L$37)/100,4)</f>
        <v>1.0500000000000001E-2</v>
      </c>
    </row>
    <row r="33" spans="1:34">
      <c r="A33" s="2864" t="s">
        <v>939</v>
      </c>
      <c r="B33" s="2865">
        <f t="shared" si="192"/>
        <v>319.87748030386797</v>
      </c>
      <c r="C33" s="2865">
        <f t="shared" si="192"/>
        <v>269.60135833173649</v>
      </c>
      <c r="D33" s="2865">
        <f t="shared" si="189"/>
        <v>269.60135833173649</v>
      </c>
      <c r="E33" s="2865">
        <f t="shared" si="193"/>
        <v>439.18089823583784</v>
      </c>
      <c r="F33" s="2865">
        <f t="shared" si="193"/>
        <v>239.23503918706311</v>
      </c>
      <c r="G33" s="3759"/>
      <c r="H33" s="2866">
        <v>1</v>
      </c>
      <c r="I33" s="2866">
        <v>0.51</v>
      </c>
      <c r="J33" s="2866">
        <v>0.54</v>
      </c>
      <c r="K33" s="2866">
        <v>0.48</v>
      </c>
      <c r="L33" s="2872">
        <v>0.93</v>
      </c>
      <c r="N33" s="2869">
        <f t="shared" si="191"/>
        <v>5.1000000000000004E-3</v>
      </c>
      <c r="O33" s="2870">
        <f t="shared" si="187"/>
        <v>5.4000000000000003E-3</v>
      </c>
      <c r="P33" s="2870">
        <f t="shared" si="187"/>
        <v>4.7999999999999996E-3</v>
      </c>
      <c r="Q33" s="2870">
        <f t="shared" si="187"/>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99"/>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
        <v>1.3599999999999999E-2</v>
      </c>
      <c r="AG33" s="2853">
        <f>ROUND(AVERAGE(K33:K$37)/100,4)</f>
        <v>1.4200000000000001E-2</v>
      </c>
      <c r="AH33" s="2853">
        <f>ROUND(AVERAGE(L33:L$37)/100,4)</f>
        <v>1.0800000000000001E-2</v>
      </c>
    </row>
    <row r="34" spans="1:34" ht="13.5" thickBot="1">
      <c r="A34" s="2864" t="s">
        <v>938</v>
      </c>
      <c r="B34" s="2893">
        <v>318</v>
      </c>
      <c r="C34" s="2893">
        <v>268</v>
      </c>
      <c r="D34" s="2893">
        <f t="shared" si="189"/>
        <v>268</v>
      </c>
      <c r="E34" s="2893">
        <v>437</v>
      </c>
      <c r="F34" s="2894">
        <v>237</v>
      </c>
      <c r="G34" s="3757">
        <v>2014</v>
      </c>
      <c r="H34" s="2888">
        <v>4</v>
      </c>
      <c r="I34" s="2888">
        <v>0.21</v>
      </c>
      <c r="J34" s="2888">
        <v>0.41</v>
      </c>
      <c r="K34" s="2888">
        <v>0.12</v>
      </c>
      <c r="L34" s="2889">
        <v>0.89</v>
      </c>
      <c r="N34" s="2867">
        <f t="shared" si="191"/>
        <v>2.0999999999999999E-3</v>
      </c>
      <c r="O34" s="2853">
        <f t="shared" si="187"/>
        <v>4.0999999999999995E-3</v>
      </c>
      <c r="P34" s="2853">
        <f t="shared" si="187"/>
        <v>1.1999999999999999E-3</v>
      </c>
      <c r="Q34" s="2853">
        <f t="shared" si="187"/>
        <v>8.8999999999999999E-3</v>
      </c>
      <c r="R34" s="2868"/>
      <c r="S34" s="2877"/>
      <c r="T34" s="2878"/>
      <c r="U34" s="2878"/>
      <c r="V34" s="2878"/>
      <c r="X34" s="2852">
        <f>ROUND(SUMPRODUCT(PRODUCT(1+N34:N$37)),4)</f>
        <v>1.0653999999999999</v>
      </c>
      <c r="Y34" s="2852">
        <f>ROUND(SUMPRODUCT(PRODUCT(1+O34:O$37)),4)</f>
        <v>1.0639000000000001</v>
      </c>
      <c r="Z34" s="2852">
        <f t="shared" si="99"/>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
        <v>1.5599999999999999E-2</v>
      </c>
      <c r="AG34" s="2853">
        <f>ROUND(AVERAGE(K34:K$37)/100,4)</f>
        <v>1.66E-2</v>
      </c>
      <c r="AH34" s="2853">
        <f>ROUND(AVERAGE(L34:L$37)/100,4)</f>
        <v>1.12E-2</v>
      </c>
    </row>
    <row r="35" spans="1:34">
      <c r="A35" s="2864" t="s">
        <v>937</v>
      </c>
      <c r="B35" s="2865">
        <f t="shared" ref="B35:C37" si="194">B34/(1+N34)</f>
        <v>317.33359944117353</v>
      </c>
      <c r="C35" s="2865">
        <f t="shared" si="194"/>
        <v>266.90568668459315</v>
      </c>
      <c r="D35" s="2865">
        <f t="shared" si="189"/>
        <v>266.90568668459315</v>
      </c>
      <c r="E35" s="2865">
        <f t="shared" ref="E35:F37" si="195">E34/(1+P34)</f>
        <v>436.47622852576905</v>
      </c>
      <c r="F35" s="2865">
        <f t="shared" si="195"/>
        <v>234.90930716622066</v>
      </c>
      <c r="G35" s="3758"/>
      <c r="H35" s="2895">
        <v>3</v>
      </c>
      <c r="I35" s="2895">
        <v>0.83</v>
      </c>
      <c r="J35" s="2895">
        <v>1.47</v>
      </c>
      <c r="K35" s="2895">
        <v>0.65</v>
      </c>
      <c r="L35" s="2896">
        <v>0.72</v>
      </c>
      <c r="N35" s="2867">
        <f t="shared" si="191"/>
        <v>8.3000000000000001E-3</v>
      </c>
      <c r="O35" s="2853">
        <f t="shared" si="187"/>
        <v>1.47E-2</v>
      </c>
      <c r="P35" s="2853">
        <f t="shared" si="187"/>
        <v>6.5000000000000006E-3</v>
      </c>
      <c r="Q35" s="2853">
        <f t="shared" si="187"/>
        <v>7.1999999999999998E-3</v>
      </c>
      <c r="R35" s="2868"/>
      <c r="S35" s="2867"/>
      <c r="T35" s="2853"/>
      <c r="U35" s="2853"/>
      <c r="V35" s="2853"/>
      <c r="X35" s="2852">
        <f>ROUND(SUMPRODUCT(PRODUCT(1+N35:N$37)),4)</f>
        <v>1.0631999999999999</v>
      </c>
      <c r="Y35" s="2852">
        <f>ROUND(SUMPRODUCT(PRODUCT(1+O35:O$37)),4)</f>
        <v>1.0595000000000001</v>
      </c>
      <c r="Z35" s="2852">
        <f t="shared" si="99"/>
        <v>1.0595000000000001</v>
      </c>
      <c r="AA35" s="2852">
        <f>ROUND(SUMPRODUCT(PRODUCT(1+P35:P$37)),4)</f>
        <v>1.0664</v>
      </c>
      <c r="AB35" s="2852">
        <f>ROUND(SUMPRODUCT(PRODUCT(1+Q35:Q$37)),4)</f>
        <v>1.0364</v>
      </c>
      <c r="AD35" s="2853">
        <f>ROUND(AVERAGE(I35:I$37)/100,4)</f>
        <v>2.07E-2</v>
      </c>
      <c r="AE35" s="2853">
        <f>ROUND(AVERAGE(J35:J$37)/100,4)</f>
        <v>1.95E-2</v>
      </c>
      <c r="AF35" s="2853">
        <f t="shared" si="1"/>
        <v>1.95E-2</v>
      </c>
      <c r="AG35" s="2853">
        <f>ROUND(AVERAGE(K35:K$37)/100,4)</f>
        <v>2.1700000000000001E-2</v>
      </c>
      <c r="AH35" s="2853">
        <f>ROUND(AVERAGE(L35:L$37)/100,4)</f>
        <v>1.2E-2</v>
      </c>
    </row>
    <row r="36" spans="1:34" ht="13.5" thickBot="1">
      <c r="A36" s="2864" t="s">
        <v>936</v>
      </c>
      <c r="B36" s="2865">
        <f t="shared" si="194"/>
        <v>314.72141172386546</v>
      </c>
      <c r="C36" s="2865">
        <f t="shared" si="194"/>
        <v>263.03901319069001</v>
      </c>
      <c r="D36" s="2865">
        <f t="shared" si="189"/>
        <v>263.03901319069001</v>
      </c>
      <c r="E36" s="2865">
        <f t="shared" si="195"/>
        <v>433.65745506782821</v>
      </c>
      <c r="F36" s="2865">
        <f t="shared" si="195"/>
        <v>233.23005080045735</v>
      </c>
      <c r="G36" s="3758"/>
      <c r="H36" s="2888">
        <v>2</v>
      </c>
      <c r="I36" s="2888">
        <v>2.4</v>
      </c>
      <c r="J36" s="2888">
        <v>2.0299999999999998</v>
      </c>
      <c r="K36" s="2888">
        <v>2.59</v>
      </c>
      <c r="L36" s="2889">
        <v>1.52</v>
      </c>
      <c r="N36" s="2867">
        <f t="shared" si="191"/>
        <v>2.4E-2</v>
      </c>
      <c r="O36" s="2853">
        <f t="shared" si="187"/>
        <v>2.0299999999999999E-2</v>
      </c>
      <c r="P36" s="2853">
        <f t="shared" si="187"/>
        <v>2.5899999999999999E-2</v>
      </c>
      <c r="Q36" s="2853">
        <f t="shared" si="187"/>
        <v>1.52E-2</v>
      </c>
      <c r="R36" s="2868"/>
      <c r="S36" s="2867"/>
      <c r="T36" s="2853"/>
      <c r="U36" s="2853"/>
      <c r="V36" s="2853"/>
      <c r="X36" s="2852">
        <f>ROUND(SUMPRODUCT(PRODUCT(1+N36:N$37)),4)</f>
        <v>1.0544</v>
      </c>
      <c r="Y36" s="2852">
        <f>ROUND(SUMPRODUCT(PRODUCT(1+O36:O$37)),4)</f>
        <v>1.0442</v>
      </c>
      <c r="Z36" s="2852">
        <f t="shared" si="99"/>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ref="AF36" si="196">AE36</f>
        <v>2.1899999999999999E-2</v>
      </c>
      <c r="AG36" s="2853">
        <f>ROUND(AVERAGE(K36:K$37)/100,4)</f>
        <v>2.9399999999999999E-2</v>
      </c>
      <c r="AH36" s="2853">
        <f>ROUND(AVERAGE(L36:L$37)/100,4)</f>
        <v>1.44E-2</v>
      </c>
    </row>
    <row r="37" spans="1:34" s="2901" customFormat="1" ht="13.5" thickBot="1">
      <c r="A37" s="2897" t="s">
        <v>935</v>
      </c>
      <c r="B37" s="2898">
        <f t="shared" si="194"/>
        <v>307.34512863658733</v>
      </c>
      <c r="C37" s="2898">
        <f t="shared" si="194"/>
        <v>257.80556031626975</v>
      </c>
      <c r="D37" s="2898">
        <f t="shared" si="189"/>
        <v>257.80556031626975</v>
      </c>
      <c r="E37" s="2898">
        <f t="shared" si="195"/>
        <v>422.70928459677179</v>
      </c>
      <c r="F37" s="2898">
        <f t="shared" si="195"/>
        <v>229.73803270336617</v>
      </c>
      <c r="G37" s="3759"/>
      <c r="H37" s="2899">
        <v>1</v>
      </c>
      <c r="I37" s="2899">
        <v>2.97</v>
      </c>
      <c r="J37" s="2899">
        <v>2.34</v>
      </c>
      <c r="K37" s="2899">
        <v>3.28</v>
      </c>
      <c r="L37" s="2900">
        <v>1.36</v>
      </c>
      <c r="N37" s="2902">
        <f t="shared" si="191"/>
        <v>2.9700000000000001E-2</v>
      </c>
      <c r="O37" s="2903">
        <f t="shared" si="187"/>
        <v>2.3399999999999997E-2</v>
      </c>
      <c r="P37" s="2903">
        <f t="shared" si="187"/>
        <v>3.2799999999999996E-2</v>
      </c>
      <c r="Q37" s="2903">
        <f t="shared" si="187"/>
        <v>1.3600000000000001E-2</v>
      </c>
      <c r="R37" s="2904"/>
      <c r="S37" s="2905">
        <f>B37/B38-1</f>
        <v>2.7910129219355539E-2</v>
      </c>
      <c r="T37" s="2906">
        <f>C37/C38-1</f>
        <v>2.3037937762975247E-2</v>
      </c>
      <c r="U37" s="2906">
        <f>E37/E38-1</f>
        <v>3.3519033243940788E-2</v>
      </c>
      <c r="V37" s="2906">
        <f>F37/F38-1</f>
        <v>1.2061818076502862E-2</v>
      </c>
      <c r="W37" s="2907" t="s">
        <v>2593</v>
      </c>
      <c r="X37" s="2908">
        <v>1</v>
      </c>
      <c r="Y37" s="2908">
        <v>1</v>
      </c>
      <c r="Z37" s="2908">
        <v>1</v>
      </c>
      <c r="AA37" s="2908">
        <v>1</v>
      </c>
      <c r="AB37" s="2908">
        <v>1</v>
      </c>
      <c r="AD37" s="2903">
        <f>I37/100</f>
        <v>2.9700000000000001E-2</v>
      </c>
      <c r="AE37" s="2903">
        <f>J37/100</f>
        <v>2.3399999999999997E-2</v>
      </c>
      <c r="AF37" s="2903">
        <f>AE37</f>
        <v>2.3399999999999997E-2</v>
      </c>
      <c r="AG37" s="2903">
        <f>K37/100</f>
        <v>3.2799999999999996E-2</v>
      </c>
      <c r="AH37" s="2903">
        <f>L37/100</f>
        <v>1.3600000000000001E-2</v>
      </c>
    </row>
    <row r="38" spans="1:34" ht="13.5" thickBot="1">
      <c r="A38" s="2864" t="s">
        <v>2536</v>
      </c>
      <c r="B38" s="2886">
        <v>299</v>
      </c>
      <c r="C38" s="2886">
        <v>252</v>
      </c>
      <c r="D38" s="2886">
        <f t="shared" si="189"/>
        <v>252</v>
      </c>
      <c r="E38" s="2886">
        <v>409</v>
      </c>
      <c r="F38" s="2887">
        <v>227</v>
      </c>
      <c r="G38" s="3760">
        <v>2013</v>
      </c>
      <c r="H38" s="2909">
        <v>4</v>
      </c>
      <c r="I38" s="2909">
        <v>1.83</v>
      </c>
      <c r="J38" s="2909">
        <v>1.68</v>
      </c>
      <c r="K38" s="2909">
        <v>1.97</v>
      </c>
      <c r="L38" s="2910">
        <v>0.87</v>
      </c>
      <c r="N38" s="2883">
        <f t="shared" si="191"/>
        <v>1.83E-2</v>
      </c>
      <c r="O38" s="2884">
        <f t="shared" si="187"/>
        <v>1.6799999999999999E-2</v>
      </c>
      <c r="P38" s="2884">
        <f t="shared" si="187"/>
        <v>1.9699999999999999E-2</v>
      </c>
      <c r="Q38" s="2884">
        <f t="shared" si="187"/>
        <v>8.6999999999999994E-3</v>
      </c>
      <c r="R38" s="2868"/>
      <c r="S38" s="2877"/>
      <c r="T38" s="2878"/>
      <c r="U38" s="2878"/>
      <c r="V38" s="2878"/>
      <c r="X38" s="2878"/>
      <c r="Y38" s="2878"/>
      <c r="Z38" s="2878"/>
    </row>
    <row r="39" spans="1:34">
      <c r="A39" s="2864" t="s">
        <v>2537</v>
      </c>
      <c r="B39" s="2865">
        <f t="shared" ref="B39:C41" si="197">B38/(1+N38)</f>
        <v>293.62663262299913</v>
      </c>
      <c r="C39" s="2865">
        <f t="shared" si="197"/>
        <v>247.83634933123525</v>
      </c>
      <c r="D39" s="2865">
        <f t="shared" si="189"/>
        <v>247.83634933123525</v>
      </c>
      <c r="E39" s="2865">
        <f t="shared" ref="E39:F41" si="198">E38/(1+P38)</f>
        <v>401.09836226341076</v>
      </c>
      <c r="F39" s="2865">
        <f t="shared" si="198"/>
        <v>225.04213343908003</v>
      </c>
      <c r="G39" s="3761"/>
      <c r="H39" s="2891">
        <v>3</v>
      </c>
      <c r="I39" s="2891">
        <v>1.86</v>
      </c>
      <c r="J39" s="2891">
        <v>1.72</v>
      </c>
      <c r="K39" s="2891">
        <v>1.98</v>
      </c>
      <c r="L39" s="2892">
        <v>0.88</v>
      </c>
      <c r="N39" s="2867">
        <f t="shared" si="191"/>
        <v>1.8600000000000002E-2</v>
      </c>
      <c r="O39" s="2885">
        <f t="shared" si="187"/>
        <v>1.72E-2</v>
      </c>
      <c r="P39" s="2885">
        <f t="shared" si="187"/>
        <v>1.9799999999999998E-2</v>
      </c>
      <c r="Q39" s="2885">
        <f t="shared" si="187"/>
        <v>8.8000000000000005E-3</v>
      </c>
      <c r="R39" s="2868"/>
      <c r="S39" s="2867"/>
      <c r="T39" s="2853"/>
      <c r="U39" s="2853"/>
      <c r="V39" s="2853"/>
    </row>
    <row r="40" spans="1:34">
      <c r="A40" s="2864" t="s">
        <v>2538</v>
      </c>
      <c r="B40" s="2865">
        <f t="shared" si="197"/>
        <v>288.2649053828776</v>
      </c>
      <c r="C40" s="2865">
        <f t="shared" si="197"/>
        <v>243.64564425013293</v>
      </c>
      <c r="D40" s="2865">
        <f t="shared" si="189"/>
        <v>243.64564425013293</v>
      </c>
      <c r="E40" s="2865">
        <f t="shared" si="198"/>
        <v>393.31080825986544</v>
      </c>
      <c r="F40" s="2865">
        <f t="shared" si="198"/>
        <v>223.07903790551154</v>
      </c>
      <c r="G40" s="3761"/>
      <c r="H40" s="2879">
        <v>2</v>
      </c>
      <c r="I40" s="2879">
        <v>2.04</v>
      </c>
      <c r="J40" s="2879">
        <v>2.33</v>
      </c>
      <c r="K40" s="2879">
        <v>2.0699999999999998</v>
      </c>
      <c r="L40" s="2880">
        <v>0.69</v>
      </c>
      <c r="N40" s="2867">
        <f t="shared" si="191"/>
        <v>2.0400000000000001E-2</v>
      </c>
      <c r="O40" s="2885">
        <f t="shared" si="187"/>
        <v>2.3300000000000001E-2</v>
      </c>
      <c r="P40" s="2885">
        <f t="shared" si="187"/>
        <v>2.07E-2</v>
      </c>
      <c r="Q40" s="2885">
        <f t="shared" si="187"/>
        <v>6.8999999999999999E-3</v>
      </c>
      <c r="R40" s="2868"/>
      <c r="S40" s="2867"/>
      <c r="T40" s="2853"/>
      <c r="U40" s="2853"/>
      <c r="V40" s="2853"/>
      <c r="X40" s="2911"/>
      <c r="Y40" s="2912"/>
    </row>
    <row r="41" spans="1:34">
      <c r="A41" s="2864" t="s">
        <v>2539</v>
      </c>
      <c r="B41" s="2865">
        <f t="shared" si="197"/>
        <v>282.50186729015837</v>
      </c>
      <c r="C41" s="2865">
        <f t="shared" si="197"/>
        <v>238.09796174155468</v>
      </c>
      <c r="D41" s="2865">
        <f t="shared" si="189"/>
        <v>238.09796174155468</v>
      </c>
      <c r="E41" s="2865">
        <f t="shared" si="198"/>
        <v>385.33438646014054</v>
      </c>
      <c r="F41" s="2865">
        <f t="shared" si="198"/>
        <v>221.55034055567739</v>
      </c>
      <c r="G41" s="3762"/>
      <c r="H41" s="2866">
        <v>1</v>
      </c>
      <c r="I41" s="2866">
        <v>1.67</v>
      </c>
      <c r="J41" s="2866">
        <v>1.31</v>
      </c>
      <c r="K41" s="2866">
        <v>1.85</v>
      </c>
      <c r="L41" s="2872">
        <v>0.96</v>
      </c>
      <c r="N41" s="2869">
        <f t="shared" si="191"/>
        <v>1.67E-2</v>
      </c>
      <c r="O41" s="2870">
        <f t="shared" si="187"/>
        <v>1.3100000000000001E-2</v>
      </c>
      <c r="P41" s="2870">
        <f t="shared" si="187"/>
        <v>1.8500000000000003E-2</v>
      </c>
      <c r="Q41" s="2870">
        <f t="shared" si="187"/>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3.5" thickBot="1">
      <c r="A42" s="2864" t="s">
        <v>2540</v>
      </c>
      <c r="B42" s="2914">
        <v>278</v>
      </c>
      <c r="C42" s="2914">
        <v>234</v>
      </c>
      <c r="D42" s="2914">
        <f t="shared" si="189"/>
        <v>234</v>
      </c>
      <c r="E42" s="2914">
        <v>379</v>
      </c>
      <c r="F42" s="2915">
        <v>220</v>
      </c>
      <c r="G42" s="3757">
        <v>2012</v>
      </c>
      <c r="H42" s="2888">
        <v>4</v>
      </c>
      <c r="I42" s="2888">
        <v>0.91</v>
      </c>
      <c r="J42" s="2888">
        <v>0.68</v>
      </c>
      <c r="K42" s="2888">
        <v>0.98</v>
      </c>
      <c r="L42" s="2889">
        <v>0.9</v>
      </c>
      <c r="N42" s="2867">
        <f t="shared" si="191"/>
        <v>9.1000000000000004E-3</v>
      </c>
      <c r="O42" s="2853">
        <f t="shared" si="191"/>
        <v>6.8000000000000005E-3</v>
      </c>
      <c r="P42" s="2853">
        <f t="shared" si="191"/>
        <v>9.7999999999999997E-3</v>
      </c>
      <c r="Q42" s="2853">
        <f t="shared" si="191"/>
        <v>9.0000000000000011E-3</v>
      </c>
      <c r="R42" s="2868"/>
      <c r="S42" s="2877"/>
      <c r="T42" s="2878"/>
      <c r="U42" s="2878"/>
      <c r="V42" s="2878"/>
      <c r="X42" s="2878"/>
      <c r="Y42" s="2878"/>
      <c r="Z42" s="2878"/>
    </row>
    <row r="43" spans="1:34">
      <c r="A43" s="2864" t="s">
        <v>2541</v>
      </c>
      <c r="B43" s="2865">
        <f>B42/(1+N42)</f>
        <v>275.49301357645425</v>
      </c>
      <c r="C43" s="2865">
        <f>C42/(1+O42)</f>
        <v>232.41954707985698</v>
      </c>
      <c r="D43" s="2865">
        <f t="shared" si="189"/>
        <v>232.41954707985698</v>
      </c>
      <c r="E43" s="2865">
        <f t="shared" ref="E43:F45" si="199">E42/(1+P42)</f>
        <v>375.32184591008121</v>
      </c>
      <c r="F43" s="2865">
        <f t="shared" si="199"/>
        <v>218.03766105054513</v>
      </c>
      <c r="G43" s="3758"/>
      <c r="H43" s="2891">
        <v>3</v>
      </c>
      <c r="I43" s="2891">
        <v>0.09</v>
      </c>
      <c r="J43" s="2891">
        <v>0.28999999999999998</v>
      </c>
      <c r="K43" s="2891">
        <v>-0.01</v>
      </c>
      <c r="L43" s="2892">
        <v>0.57999999999999996</v>
      </c>
      <c r="N43" s="2867">
        <f t="shared" si="191"/>
        <v>8.9999999999999998E-4</v>
      </c>
      <c r="O43" s="2853">
        <f t="shared" si="191"/>
        <v>2.8999999999999998E-3</v>
      </c>
      <c r="P43" s="2853">
        <f t="shared" si="191"/>
        <v>-1E-4</v>
      </c>
      <c r="Q43" s="2853">
        <f t="shared" si="191"/>
        <v>5.7999999999999996E-3</v>
      </c>
      <c r="R43" s="2868"/>
      <c r="S43" s="2867"/>
      <c r="T43" s="2853"/>
      <c r="U43" s="2853"/>
      <c r="V43" s="2853"/>
    </row>
    <row r="44" spans="1:34">
      <c r="A44" s="2864" t="s">
        <v>2542</v>
      </c>
      <c r="B44" s="2865">
        <f>B43/(1+N43)</f>
        <v>275.24529281292263</v>
      </c>
      <c r="C44" s="2865">
        <f>C43/(1+O43)</f>
        <v>231.74747938962707</v>
      </c>
      <c r="D44" s="2865">
        <f t="shared" si="189"/>
        <v>231.74747938962707</v>
      </c>
      <c r="E44" s="2865">
        <f t="shared" si="199"/>
        <v>375.35938184826603</v>
      </c>
      <c r="F44" s="2865">
        <f t="shared" si="199"/>
        <v>216.78033510692495</v>
      </c>
      <c r="G44" s="3758"/>
      <c r="H44" s="2879">
        <v>2</v>
      </c>
      <c r="I44" s="2879">
        <v>0.02</v>
      </c>
      <c r="J44" s="2879">
        <v>0.12</v>
      </c>
      <c r="K44" s="2879">
        <v>-0.08</v>
      </c>
      <c r="L44" s="2880">
        <v>1.24</v>
      </c>
      <c r="N44" s="2867">
        <f t="shared" si="191"/>
        <v>2.0000000000000001E-4</v>
      </c>
      <c r="O44" s="2853">
        <f t="shared" si="191"/>
        <v>1.1999999999999999E-3</v>
      </c>
      <c r="P44" s="2853">
        <f t="shared" si="191"/>
        <v>-8.0000000000000004E-4</v>
      </c>
      <c r="Q44" s="2853">
        <f t="shared" si="191"/>
        <v>1.24E-2</v>
      </c>
      <c r="R44" s="2868"/>
      <c r="S44" s="2867"/>
      <c r="T44" s="2853"/>
      <c r="U44" s="2853"/>
      <c r="V44" s="2853"/>
    </row>
    <row r="45" spans="1:34" ht="13.5" thickBot="1">
      <c r="A45" s="2864" t="s">
        <v>2543</v>
      </c>
      <c r="B45" s="2865">
        <f>B44/(1+N44)</f>
        <v>275.19025476197027</v>
      </c>
      <c r="C45" s="2916">
        <v>232</v>
      </c>
      <c r="D45" s="2916">
        <f t="shared" si="189"/>
        <v>232</v>
      </c>
      <c r="E45" s="2865">
        <f t="shared" si="199"/>
        <v>375.65990977608692</v>
      </c>
      <c r="F45" s="2865">
        <f t="shared" si="199"/>
        <v>214.12518283971252</v>
      </c>
      <c r="G45" s="3759"/>
      <c r="H45" s="2866">
        <v>1</v>
      </c>
      <c r="I45" s="2866">
        <v>0.02</v>
      </c>
      <c r="J45" s="2866">
        <v>0.13</v>
      </c>
      <c r="K45" s="2866">
        <v>-0.04</v>
      </c>
      <c r="L45" s="2872">
        <v>0.46</v>
      </c>
      <c r="N45" s="2867">
        <f t="shared" si="191"/>
        <v>2.0000000000000001E-4</v>
      </c>
      <c r="O45" s="2853">
        <f t="shared" si="191"/>
        <v>1.2999999999999999E-3</v>
      </c>
      <c r="P45" s="2853">
        <f t="shared" si="191"/>
        <v>-4.0000000000000002E-4</v>
      </c>
      <c r="Q45" s="2853">
        <f t="shared" si="191"/>
        <v>4.5999999999999999E-3</v>
      </c>
      <c r="R45" s="2868"/>
      <c r="S45" s="2869">
        <f>B45/B46-1</f>
        <v>6.9183549807361189E-4</v>
      </c>
      <c r="T45" s="2870">
        <f>C45/C46-1</f>
        <v>0</v>
      </c>
      <c r="U45" s="2870">
        <f>E45/E46-1</f>
        <v>-9.0449527636460303E-4</v>
      </c>
      <c r="V45" s="2870">
        <f>F45/F46-1</f>
        <v>5.2825485432512753E-3</v>
      </c>
      <c r="X45" s="2853"/>
      <c r="Y45" s="2853"/>
      <c r="Z45" s="2853"/>
    </row>
    <row r="46" spans="1:34" ht="13.5" thickBot="1">
      <c r="A46" s="2864" t="s">
        <v>2544</v>
      </c>
      <c r="B46" s="2886">
        <v>275</v>
      </c>
      <c r="C46" s="2886">
        <v>232</v>
      </c>
      <c r="D46" s="2886">
        <f t="shared" si="189"/>
        <v>232</v>
      </c>
      <c r="E46" s="2886">
        <v>376</v>
      </c>
      <c r="F46" s="2887">
        <v>213</v>
      </c>
      <c r="G46" s="3757">
        <v>2011</v>
      </c>
      <c r="H46" s="2888">
        <v>4</v>
      </c>
      <c r="I46" s="2888">
        <v>-0.2</v>
      </c>
      <c r="J46" s="2888">
        <v>0.04</v>
      </c>
      <c r="K46" s="2888">
        <v>-0.34</v>
      </c>
      <c r="L46" s="2889">
        <v>0.46</v>
      </c>
      <c r="N46" s="2883">
        <f t="shared" si="191"/>
        <v>-2E-3</v>
      </c>
      <c r="O46" s="2884">
        <f t="shared" si="191"/>
        <v>4.0000000000000002E-4</v>
      </c>
      <c r="P46" s="2884">
        <f t="shared" si="191"/>
        <v>-3.4000000000000002E-3</v>
      </c>
      <c r="Q46" s="2884">
        <f t="shared" si="191"/>
        <v>4.5999999999999999E-3</v>
      </c>
      <c r="R46" s="2868"/>
      <c r="S46" s="2877"/>
      <c r="T46" s="2878"/>
      <c r="U46" s="2878"/>
      <c r="V46" s="2878"/>
      <c r="X46" s="2878"/>
      <c r="Y46" s="2878"/>
      <c r="Z46" s="2878"/>
    </row>
    <row r="47" spans="1:34">
      <c r="A47" s="2864" t="s">
        <v>2545</v>
      </c>
      <c r="B47" s="2865">
        <f t="shared" ref="B47:C49" si="200">B46/(1+N46)</f>
        <v>275.55110220440883</v>
      </c>
      <c r="C47" s="2865">
        <f t="shared" si="200"/>
        <v>231.90723710515795</v>
      </c>
      <c r="D47" s="2865">
        <f t="shared" si="189"/>
        <v>231.90723710515795</v>
      </c>
      <c r="E47" s="2865">
        <f t="shared" ref="E47:F49" si="201">E46/(1+P46)</f>
        <v>377.28276138872161</v>
      </c>
      <c r="F47" s="2865">
        <f t="shared" si="201"/>
        <v>212.02468644236512</v>
      </c>
      <c r="G47" s="3758">
        <v>2011</v>
      </c>
      <c r="H47" s="2891">
        <v>3</v>
      </c>
      <c r="I47" s="2891">
        <v>0.13</v>
      </c>
      <c r="J47" s="2891">
        <v>0.75</v>
      </c>
      <c r="K47" s="2891">
        <v>-0.08</v>
      </c>
      <c r="L47" s="2892">
        <v>0.53</v>
      </c>
      <c r="N47" s="2867">
        <f t="shared" si="191"/>
        <v>1.2999999999999999E-3</v>
      </c>
      <c r="O47" s="2885">
        <f t="shared" si="191"/>
        <v>7.4999999999999997E-3</v>
      </c>
      <c r="P47" s="2885">
        <f t="shared" si="191"/>
        <v>-8.0000000000000004E-4</v>
      </c>
      <c r="Q47" s="2885">
        <f t="shared" si="191"/>
        <v>5.3E-3</v>
      </c>
      <c r="R47" s="2868"/>
      <c r="S47" s="2867"/>
      <c r="T47" s="2853"/>
      <c r="U47" s="2853"/>
      <c r="V47" s="2853"/>
    </row>
    <row r="48" spans="1:34">
      <c r="A48" s="2864" t="s">
        <v>2546</v>
      </c>
      <c r="B48" s="2865">
        <f t="shared" si="200"/>
        <v>275.19335084830601</v>
      </c>
      <c r="C48" s="2865">
        <f t="shared" si="200"/>
        <v>230.18088050139744</v>
      </c>
      <c r="D48" s="2865">
        <f t="shared" si="189"/>
        <v>230.18088050139744</v>
      </c>
      <c r="E48" s="2865">
        <f t="shared" si="201"/>
        <v>377.58482925212331</v>
      </c>
      <c r="F48" s="2865">
        <f t="shared" si="201"/>
        <v>210.90687997847917</v>
      </c>
      <c r="G48" s="3758">
        <v>2011</v>
      </c>
      <c r="H48" s="2879">
        <v>2</v>
      </c>
      <c r="I48" s="2879">
        <v>-0.4</v>
      </c>
      <c r="J48" s="2879">
        <v>0.17</v>
      </c>
      <c r="K48" s="2879">
        <v>-0.57999999999999996</v>
      </c>
      <c r="L48" s="2880">
        <v>-0.2</v>
      </c>
      <c r="N48" s="2867">
        <f t="shared" si="191"/>
        <v>-4.0000000000000001E-3</v>
      </c>
      <c r="O48" s="2885">
        <f t="shared" si="191"/>
        <v>1.7000000000000001E-3</v>
      </c>
      <c r="P48" s="2885">
        <f t="shared" si="191"/>
        <v>-5.7999999999999996E-3</v>
      </c>
      <c r="Q48" s="2885">
        <f t="shared" si="191"/>
        <v>-2E-3</v>
      </c>
      <c r="R48" s="2868"/>
      <c r="S48" s="2867"/>
      <c r="T48" s="2853"/>
      <c r="U48" s="2853"/>
      <c r="V48" s="2853"/>
    </row>
    <row r="49" spans="1:26" ht="13.5" thickBot="1">
      <c r="A49" s="2864" t="s">
        <v>2547</v>
      </c>
      <c r="B49" s="2865">
        <f t="shared" si="200"/>
        <v>276.29854502841971</v>
      </c>
      <c r="C49" s="2865">
        <f t="shared" si="200"/>
        <v>229.79023709833027</v>
      </c>
      <c r="D49" s="2865">
        <f t="shared" si="189"/>
        <v>229.79023709833027</v>
      </c>
      <c r="E49" s="2865">
        <f t="shared" si="201"/>
        <v>379.78759731655936</v>
      </c>
      <c r="F49" s="2865">
        <f t="shared" si="201"/>
        <v>211.32953905659235</v>
      </c>
      <c r="G49" s="3759">
        <v>2011</v>
      </c>
      <c r="H49" s="2866">
        <v>1</v>
      </c>
      <c r="I49" s="2866">
        <v>2.65</v>
      </c>
      <c r="J49" s="2866">
        <v>3.76</v>
      </c>
      <c r="K49" s="2866">
        <v>1.89</v>
      </c>
      <c r="L49" s="2872">
        <v>7.95</v>
      </c>
      <c r="N49" s="2869">
        <f t="shared" si="191"/>
        <v>2.6499999999999999E-2</v>
      </c>
      <c r="O49" s="2870">
        <f t="shared" si="191"/>
        <v>3.7599999999999995E-2</v>
      </c>
      <c r="P49" s="2870">
        <f t="shared" si="191"/>
        <v>1.89E-2</v>
      </c>
      <c r="Q49" s="2870">
        <f t="shared" si="191"/>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3.5" thickBot="1">
      <c r="A50" s="2864" t="s">
        <v>2548</v>
      </c>
      <c r="B50" s="2886">
        <v>269</v>
      </c>
      <c r="C50" s="2886">
        <v>221</v>
      </c>
      <c r="D50" s="2886">
        <f t="shared" si="189"/>
        <v>221</v>
      </c>
      <c r="E50" s="2886">
        <v>373</v>
      </c>
      <c r="F50" s="2887">
        <v>196</v>
      </c>
      <c r="G50" s="3757">
        <v>2010</v>
      </c>
      <c r="H50" s="2888">
        <v>4</v>
      </c>
      <c r="I50" s="2888">
        <v>5.72</v>
      </c>
      <c r="J50" s="2888">
        <v>6.57</v>
      </c>
      <c r="K50" s="2888">
        <v>5.72</v>
      </c>
      <c r="L50" s="2889">
        <v>2.72</v>
      </c>
      <c r="N50" s="2867">
        <f t="shared" si="191"/>
        <v>5.7200000000000001E-2</v>
      </c>
      <c r="O50" s="2853">
        <f t="shared" si="191"/>
        <v>6.5700000000000008E-2</v>
      </c>
      <c r="P50" s="2853">
        <f t="shared" si="191"/>
        <v>5.7200000000000001E-2</v>
      </c>
      <c r="Q50" s="2853">
        <f t="shared" si="191"/>
        <v>2.7200000000000002E-2</v>
      </c>
      <c r="R50" s="2868"/>
      <c r="S50" s="2877"/>
      <c r="T50" s="2878"/>
      <c r="U50" s="2878"/>
      <c r="V50" s="2878"/>
      <c r="X50" s="2878"/>
      <c r="Y50" s="2878"/>
      <c r="Z50" s="2878"/>
    </row>
    <row r="51" spans="1:26">
      <c r="A51" s="2864" t="s">
        <v>2549</v>
      </c>
      <c r="B51" s="2865">
        <f t="shared" ref="B51:C53" si="202">B50/(1+N50)</f>
        <v>254.44570563753314</v>
      </c>
      <c r="C51" s="2865">
        <f t="shared" si="202"/>
        <v>207.37543398705074</v>
      </c>
      <c r="D51" s="2865">
        <f t="shared" si="189"/>
        <v>207.37543398705074</v>
      </c>
      <c r="E51" s="2865">
        <f t="shared" ref="E51:F53" si="203">E50/(1+P50)</f>
        <v>352.81876655315932</v>
      </c>
      <c r="F51" s="2865">
        <f t="shared" si="203"/>
        <v>190.809968847352</v>
      </c>
      <c r="G51" s="3758">
        <v>2010</v>
      </c>
      <c r="H51" s="2891">
        <v>3</v>
      </c>
      <c r="I51" s="2891">
        <v>4.7300000000000004</v>
      </c>
      <c r="J51" s="2891">
        <v>3.9</v>
      </c>
      <c r="K51" s="2891">
        <v>5.03</v>
      </c>
      <c r="L51" s="2892">
        <v>4.21</v>
      </c>
      <c r="N51" s="2867">
        <f t="shared" si="191"/>
        <v>4.7300000000000002E-2</v>
      </c>
      <c r="O51" s="2853">
        <f t="shared" si="191"/>
        <v>3.9E-2</v>
      </c>
      <c r="P51" s="2853">
        <f t="shared" si="191"/>
        <v>5.0300000000000004E-2</v>
      </c>
      <c r="Q51" s="2853">
        <f t="shared" si="191"/>
        <v>4.2099999999999999E-2</v>
      </c>
      <c r="R51" s="2868"/>
      <c r="S51" s="2867"/>
      <c r="T51" s="2853"/>
      <c r="U51" s="2853"/>
      <c r="V51" s="2853"/>
    </row>
    <row r="52" spans="1:26">
      <c r="A52" s="2864" t="s">
        <v>2550</v>
      </c>
      <c r="B52" s="2865">
        <f t="shared" si="202"/>
        <v>242.95398227588385</v>
      </c>
      <c r="C52" s="2865">
        <f t="shared" si="202"/>
        <v>199.59137053614126</v>
      </c>
      <c r="D52" s="2865">
        <f t="shared" si="189"/>
        <v>199.59137053614126</v>
      </c>
      <c r="E52" s="2865">
        <f t="shared" si="203"/>
        <v>335.92189522342125</v>
      </c>
      <c r="F52" s="2865">
        <f t="shared" si="203"/>
        <v>183.10139991109489</v>
      </c>
      <c r="G52" s="3758">
        <v>2010</v>
      </c>
      <c r="H52" s="2879">
        <v>2</v>
      </c>
      <c r="I52" s="2879">
        <v>4.6900000000000004</v>
      </c>
      <c r="J52" s="2879">
        <v>3.55</v>
      </c>
      <c r="K52" s="2879">
        <v>5.07</v>
      </c>
      <c r="L52" s="2880">
        <v>4.2300000000000004</v>
      </c>
      <c r="N52" s="2867">
        <f t="shared" si="191"/>
        <v>4.6900000000000004E-2</v>
      </c>
      <c r="O52" s="2853">
        <f t="shared" si="191"/>
        <v>3.5499999999999997E-2</v>
      </c>
      <c r="P52" s="2853">
        <f t="shared" si="191"/>
        <v>5.0700000000000002E-2</v>
      </c>
      <c r="Q52" s="2853">
        <f t="shared" si="191"/>
        <v>4.2300000000000004E-2</v>
      </c>
      <c r="R52" s="2868"/>
      <c r="S52" s="2867"/>
      <c r="T52" s="2853"/>
      <c r="U52" s="2853"/>
      <c r="V52" s="2853"/>
    </row>
    <row r="53" spans="1:26" ht="13.5" thickBot="1">
      <c r="A53" s="2864" t="s">
        <v>2551</v>
      </c>
      <c r="B53" s="2865">
        <f t="shared" si="202"/>
        <v>232.06990378821649</v>
      </c>
      <c r="C53" s="2865">
        <f t="shared" si="202"/>
        <v>192.74878854286936</v>
      </c>
      <c r="D53" s="2865">
        <f t="shared" si="189"/>
        <v>192.74878854286936</v>
      </c>
      <c r="E53" s="2865">
        <f t="shared" si="203"/>
        <v>319.71247284992984</v>
      </c>
      <c r="F53" s="2865">
        <f t="shared" si="203"/>
        <v>175.67053622862409</v>
      </c>
      <c r="G53" s="3759">
        <v>2010</v>
      </c>
      <c r="H53" s="2866">
        <v>1</v>
      </c>
      <c r="I53" s="2866">
        <v>5.4</v>
      </c>
      <c r="J53" s="2866">
        <v>3.2</v>
      </c>
      <c r="K53" s="2866">
        <v>6.16</v>
      </c>
      <c r="L53" s="2872">
        <v>4.51</v>
      </c>
      <c r="N53" s="2867">
        <f t="shared" si="191"/>
        <v>5.4000000000000006E-2</v>
      </c>
      <c r="O53" s="2853">
        <f t="shared" si="191"/>
        <v>3.2000000000000001E-2</v>
      </c>
      <c r="P53" s="2853">
        <f t="shared" si="191"/>
        <v>6.1600000000000002E-2</v>
      </c>
      <c r="Q53" s="2853">
        <f t="shared" si="191"/>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3.5" thickBot="1">
      <c r="A54" s="2864" t="s">
        <v>2552</v>
      </c>
      <c r="B54" s="2886">
        <v>220</v>
      </c>
      <c r="C54" s="2886">
        <v>187</v>
      </c>
      <c r="D54" s="2886">
        <f t="shared" si="189"/>
        <v>187</v>
      </c>
      <c r="E54" s="2886">
        <v>301</v>
      </c>
      <c r="F54" s="2887">
        <v>168</v>
      </c>
      <c r="G54" s="3757">
        <v>2009</v>
      </c>
      <c r="H54" s="2888">
        <v>4</v>
      </c>
      <c r="I54" s="2888">
        <v>2.2999999999999998</v>
      </c>
      <c r="J54" s="2888">
        <v>1.04</v>
      </c>
      <c r="K54" s="2888">
        <v>2.84</v>
      </c>
      <c r="L54" s="2889">
        <v>0.67</v>
      </c>
      <c r="N54" s="2883">
        <f t="shared" si="191"/>
        <v>2.3E-2</v>
      </c>
      <c r="O54" s="2884">
        <f t="shared" si="191"/>
        <v>1.04E-2</v>
      </c>
      <c r="P54" s="2884">
        <f t="shared" si="191"/>
        <v>2.8399999999999998E-2</v>
      </c>
      <c r="Q54" s="2884">
        <f t="shared" si="191"/>
        <v>6.7000000000000002E-3</v>
      </c>
      <c r="R54" s="2868"/>
      <c r="S54" s="2877"/>
      <c r="T54" s="2878"/>
      <c r="U54" s="2878"/>
      <c r="V54" s="2878"/>
      <c r="X54" s="2878"/>
      <c r="Y54" s="2878"/>
      <c r="Z54" s="2878"/>
    </row>
    <row r="55" spans="1:26">
      <c r="A55" s="2864" t="s">
        <v>2553</v>
      </c>
      <c r="B55" s="2865">
        <f t="shared" ref="B55:C57" si="204">B54/(1+N54)</f>
        <v>215.05376344086022</v>
      </c>
      <c r="C55" s="2865">
        <f t="shared" si="204"/>
        <v>185.0752177355503</v>
      </c>
      <c r="D55" s="2865">
        <f t="shared" si="189"/>
        <v>185.0752177355503</v>
      </c>
      <c r="E55" s="2865">
        <f t="shared" ref="E55:F57" si="205">E54/(1+P54)</f>
        <v>292.68767016725008</v>
      </c>
      <c r="F55" s="2865">
        <f t="shared" si="205"/>
        <v>166.88189132810174</v>
      </c>
      <c r="G55" s="3758">
        <v>2009</v>
      </c>
      <c r="H55" s="2891">
        <v>3</v>
      </c>
      <c r="I55" s="2891">
        <v>2.1</v>
      </c>
      <c r="J55" s="2891">
        <v>1.86</v>
      </c>
      <c r="K55" s="2891">
        <v>2.29</v>
      </c>
      <c r="L55" s="2892">
        <v>0.85</v>
      </c>
      <c r="N55" s="2867">
        <f t="shared" si="191"/>
        <v>2.1000000000000001E-2</v>
      </c>
      <c r="O55" s="2885">
        <f t="shared" si="191"/>
        <v>1.8600000000000002E-2</v>
      </c>
      <c r="P55" s="2885">
        <f t="shared" si="191"/>
        <v>2.29E-2</v>
      </c>
      <c r="Q55" s="2885">
        <f t="shared" si="191"/>
        <v>8.5000000000000006E-3</v>
      </c>
      <c r="R55" s="2868"/>
      <c r="S55" s="2867"/>
      <c r="T55" s="2853"/>
      <c r="U55" s="2853"/>
      <c r="V55" s="2853"/>
    </row>
    <row r="56" spans="1:26">
      <c r="A56" s="2864" t="s">
        <v>2554</v>
      </c>
      <c r="B56" s="2865">
        <f t="shared" si="204"/>
        <v>210.630522469011</v>
      </c>
      <c r="C56" s="2865">
        <f t="shared" si="204"/>
        <v>181.69567812247232</v>
      </c>
      <c r="D56" s="2865">
        <f t="shared" si="189"/>
        <v>181.69567812247232</v>
      </c>
      <c r="E56" s="2865">
        <f t="shared" si="205"/>
        <v>286.13517466736738</v>
      </c>
      <c r="F56" s="2865">
        <f t="shared" si="205"/>
        <v>165.47535084591149</v>
      </c>
      <c r="G56" s="3758">
        <v>2009</v>
      </c>
      <c r="H56" s="2879">
        <v>2</v>
      </c>
      <c r="I56" s="2879">
        <v>0.86</v>
      </c>
      <c r="J56" s="2879">
        <v>-1.1299999999999999</v>
      </c>
      <c r="K56" s="2879">
        <v>1.79</v>
      </c>
      <c r="L56" s="2880">
        <v>-2.0699999999999998</v>
      </c>
      <c r="N56" s="2867">
        <f t="shared" si="191"/>
        <v>8.6E-3</v>
      </c>
      <c r="O56" s="2885">
        <f t="shared" si="191"/>
        <v>-1.1299999999999999E-2</v>
      </c>
      <c r="P56" s="2885">
        <f t="shared" si="191"/>
        <v>1.7899999999999999E-2</v>
      </c>
      <c r="Q56" s="2885">
        <f t="shared" si="191"/>
        <v>-2.07E-2</v>
      </c>
      <c r="R56" s="2868"/>
      <c r="S56" s="2867"/>
      <c r="T56" s="2853"/>
      <c r="U56" s="2853"/>
      <c r="V56" s="2853"/>
    </row>
    <row r="57" spans="1:26">
      <c r="A57" s="2864" t="s">
        <v>2555</v>
      </c>
      <c r="B57" s="2865">
        <f t="shared" si="204"/>
        <v>208.83454537875372</v>
      </c>
      <c r="C57" s="2865">
        <f t="shared" si="204"/>
        <v>183.77230517090351</v>
      </c>
      <c r="D57" s="2865">
        <f t="shared" si="189"/>
        <v>183.77230517090351</v>
      </c>
      <c r="E57" s="2865">
        <f t="shared" si="205"/>
        <v>281.10342338870947</v>
      </c>
      <c r="F57" s="2865">
        <f t="shared" si="205"/>
        <v>168.97309388942256</v>
      </c>
      <c r="G57" s="3759">
        <v>2009</v>
      </c>
      <c r="H57" s="2866">
        <v>1</v>
      </c>
      <c r="I57" s="2866">
        <v>-2.64</v>
      </c>
      <c r="J57" s="2866">
        <v>-2.5299999999999998</v>
      </c>
      <c r="K57" s="2866">
        <v>-3.02</v>
      </c>
      <c r="L57" s="2872">
        <v>1.52</v>
      </c>
      <c r="N57" s="2869">
        <f t="shared" si="191"/>
        <v>-2.64E-2</v>
      </c>
      <c r="O57" s="2870">
        <f t="shared" si="191"/>
        <v>-2.53E-2</v>
      </c>
      <c r="P57" s="2870">
        <f t="shared" si="191"/>
        <v>-3.0200000000000001E-2</v>
      </c>
      <c r="Q57" s="2870">
        <f t="shared" si="191"/>
        <v>1.52E-2</v>
      </c>
      <c r="R57" s="2868"/>
      <c r="S57" s="2869">
        <f>B57/B58-1</f>
        <v>-2.4137638417038754E-2</v>
      </c>
      <c r="T57" s="2870">
        <f>C57/C58-1</f>
        <v>-2.248773845264096E-2</v>
      </c>
      <c r="U57" s="2870">
        <f>E57/E58-1</f>
        <v>-2.7323794502735366E-2</v>
      </c>
      <c r="V57" s="2870">
        <f>F57/F58-1</f>
        <v>1.7910204153148035E-2</v>
      </c>
      <c r="X57" s="2853"/>
      <c r="Y57" s="2853"/>
      <c r="Z57" s="2853"/>
    </row>
    <row r="58" spans="1:26" ht="13.5" thickBot="1">
      <c r="A58" s="2864" t="s">
        <v>2556</v>
      </c>
      <c r="B58" s="2914">
        <v>214</v>
      </c>
      <c r="C58" s="2914">
        <v>188</v>
      </c>
      <c r="D58" s="2914">
        <f t="shared" si="189"/>
        <v>188</v>
      </c>
      <c r="E58" s="2914">
        <v>289</v>
      </c>
      <c r="F58" s="2915">
        <v>166</v>
      </c>
      <c r="G58" s="3757">
        <v>2008</v>
      </c>
      <c r="H58" s="2888">
        <v>4</v>
      </c>
      <c r="I58" s="2888">
        <v>1.73</v>
      </c>
      <c r="J58" s="2888">
        <v>0.03</v>
      </c>
      <c r="K58" s="2888">
        <v>2.59</v>
      </c>
      <c r="L58" s="2889">
        <v>-1.66</v>
      </c>
      <c r="N58" s="2867">
        <f t="shared" si="191"/>
        <v>1.7299999999999999E-2</v>
      </c>
      <c r="O58" s="2853">
        <f t="shared" si="191"/>
        <v>2.9999999999999997E-4</v>
      </c>
      <c r="P58" s="2853">
        <f t="shared" si="191"/>
        <v>2.5899999999999999E-2</v>
      </c>
      <c r="Q58" s="2853">
        <f t="shared" si="191"/>
        <v>-1.66E-2</v>
      </c>
      <c r="R58" s="2868"/>
      <c r="S58" s="2877"/>
      <c r="T58" s="2878"/>
      <c r="U58" s="2878"/>
      <c r="V58" s="2878"/>
      <c r="X58" s="2878"/>
      <c r="Y58" s="2878"/>
      <c r="Z58" s="2878"/>
    </row>
    <row r="59" spans="1:26">
      <c r="A59" s="2864" t="s">
        <v>2557</v>
      </c>
      <c r="B59" s="2865">
        <f t="shared" ref="B59:C61" si="206">B58/(1+N58)</f>
        <v>210.36075887152265</v>
      </c>
      <c r="C59" s="2865">
        <f t="shared" si="206"/>
        <v>187.94361691492554</v>
      </c>
      <c r="D59" s="2865">
        <f t="shared" si="189"/>
        <v>187.94361691492554</v>
      </c>
      <c r="E59" s="2865">
        <f t="shared" ref="E59:F61" si="207">E58/(1+P58)</f>
        <v>281.70386977288234</v>
      </c>
      <c r="F59" s="2865">
        <f t="shared" si="207"/>
        <v>168.80211511083994</v>
      </c>
      <c r="G59" s="3758">
        <v>2008</v>
      </c>
      <c r="H59" s="2891">
        <v>3</v>
      </c>
      <c r="I59" s="2891">
        <v>1.96</v>
      </c>
      <c r="J59" s="2891">
        <v>2.36</v>
      </c>
      <c r="K59" s="2891">
        <v>1.82</v>
      </c>
      <c r="L59" s="2892">
        <v>2.2200000000000002</v>
      </c>
      <c r="N59" s="2867">
        <f t="shared" si="191"/>
        <v>1.9599999999999999E-2</v>
      </c>
      <c r="O59" s="2853">
        <f t="shared" si="191"/>
        <v>2.3599999999999999E-2</v>
      </c>
      <c r="P59" s="2853">
        <f t="shared" si="191"/>
        <v>1.8200000000000001E-2</v>
      </c>
      <c r="Q59" s="2853">
        <f t="shared" si="191"/>
        <v>2.2200000000000001E-2</v>
      </c>
      <c r="R59" s="2868"/>
      <c r="S59" s="2867"/>
      <c r="T59" s="2853"/>
      <c r="U59" s="2853"/>
      <c r="V59" s="2853"/>
    </row>
    <row r="60" spans="1:26">
      <c r="A60" s="2864" t="s">
        <v>2558</v>
      </c>
      <c r="B60" s="2865">
        <f t="shared" si="206"/>
        <v>206.31694671589116</v>
      </c>
      <c r="C60" s="2865">
        <f t="shared" si="206"/>
        <v>183.61041121036101</v>
      </c>
      <c r="D60" s="2865">
        <f t="shared" si="189"/>
        <v>183.61041121036101</v>
      </c>
      <c r="E60" s="2865">
        <f t="shared" si="207"/>
        <v>276.66850301795557</v>
      </c>
      <c r="F60" s="2865">
        <f t="shared" si="207"/>
        <v>165.1360938278614</v>
      </c>
      <c r="G60" s="3758">
        <v>2008</v>
      </c>
      <c r="H60" s="2879">
        <v>2</v>
      </c>
      <c r="I60" s="2879">
        <v>4.93</v>
      </c>
      <c r="J60" s="2879">
        <v>7.38</v>
      </c>
      <c r="K60" s="2879">
        <v>3.98</v>
      </c>
      <c r="L60" s="2880">
        <v>6.86</v>
      </c>
      <c r="N60" s="2867">
        <f t="shared" si="191"/>
        <v>4.9299999999999997E-2</v>
      </c>
      <c r="O60" s="2853">
        <f t="shared" si="191"/>
        <v>7.3800000000000004E-2</v>
      </c>
      <c r="P60" s="2853">
        <f t="shared" si="191"/>
        <v>3.9800000000000002E-2</v>
      </c>
      <c r="Q60" s="2853">
        <f t="shared" si="191"/>
        <v>6.8600000000000008E-2</v>
      </c>
      <c r="R60" s="2868"/>
      <c r="S60" s="2867"/>
      <c r="T60" s="2853"/>
      <c r="U60" s="2853"/>
      <c r="V60" s="2853"/>
    </row>
    <row r="61" spans="1:26" s="2920" customFormat="1" ht="13.5" thickBot="1">
      <c r="A61" s="2864" t="s">
        <v>2559</v>
      </c>
      <c r="B61" s="2917">
        <f t="shared" si="206"/>
        <v>196.62341248059772</v>
      </c>
      <c r="C61" s="2917">
        <f t="shared" si="206"/>
        <v>170.99125648199012</v>
      </c>
      <c r="D61" s="2917">
        <f t="shared" si="189"/>
        <v>170.99125648199012</v>
      </c>
      <c r="E61" s="2917">
        <f t="shared" si="207"/>
        <v>266.07857570490052</v>
      </c>
      <c r="F61" s="2917">
        <f t="shared" si="207"/>
        <v>154.53499328828505</v>
      </c>
      <c r="G61" s="3759">
        <v>2008</v>
      </c>
      <c r="H61" s="2918">
        <v>1</v>
      </c>
      <c r="I61" s="2918">
        <v>4.1399999999999997</v>
      </c>
      <c r="J61" s="2918">
        <v>3.45</v>
      </c>
      <c r="K61" s="2918">
        <v>4.95</v>
      </c>
      <c r="L61" s="2919">
        <v>4.82</v>
      </c>
      <c r="N61" s="2921">
        <f t="shared" si="191"/>
        <v>4.1399999999999999E-2</v>
      </c>
      <c r="O61" s="2922">
        <f t="shared" si="191"/>
        <v>3.4500000000000003E-2</v>
      </c>
      <c r="P61" s="2922">
        <f t="shared" si="191"/>
        <v>4.9500000000000002E-2</v>
      </c>
      <c r="Q61" s="2922">
        <f t="shared" si="191"/>
        <v>4.82E-2</v>
      </c>
      <c r="R61" s="2923"/>
      <c r="S61" s="2921">
        <f>B61/B62-1</f>
        <v>4.5869215322328349E-2</v>
      </c>
      <c r="T61" s="2922">
        <f>C61/C62-1</f>
        <v>3.6310645345394743E-2</v>
      </c>
      <c r="U61" s="2922">
        <f>E61/E62-1</f>
        <v>4.7553447657088688E-2</v>
      </c>
      <c r="V61" s="2922">
        <f>F61/F62-1</f>
        <v>4.4155360055980086E-2</v>
      </c>
      <c r="X61" s="2922"/>
      <c r="Y61" s="2922"/>
      <c r="Z61" s="2922"/>
    </row>
    <row r="62" spans="1:26" ht="13.5" thickBot="1">
      <c r="A62" s="2864" t="s">
        <v>2560</v>
      </c>
      <c r="B62" s="2886">
        <v>188</v>
      </c>
      <c r="C62" s="2886">
        <v>165</v>
      </c>
      <c r="D62" s="2886">
        <f t="shared" si="189"/>
        <v>165</v>
      </c>
      <c r="E62" s="2886">
        <v>254</v>
      </c>
      <c r="F62" s="2887">
        <v>148</v>
      </c>
      <c r="G62" s="3757">
        <v>2007</v>
      </c>
      <c r="H62" s="2924">
        <v>4</v>
      </c>
      <c r="I62" s="2924">
        <v>5.51</v>
      </c>
      <c r="J62" s="2924">
        <v>4.8899999999999997</v>
      </c>
      <c r="K62" s="2924">
        <v>6.43</v>
      </c>
      <c r="L62" s="2925">
        <v>5.36</v>
      </c>
      <c r="N62" s="2926">
        <f t="shared" ref="N62:O65" si="208">B62/B63-1</f>
        <v>4.1339718365245526E-2</v>
      </c>
      <c r="O62" s="2927">
        <f t="shared" si="208"/>
        <v>4.0324492593776018E-2</v>
      </c>
      <c r="P62" s="2927">
        <f t="shared" ref="P62:Q65" si="209">E62/E63-1</f>
        <v>6.1625555347990968E-2</v>
      </c>
      <c r="Q62" s="2927">
        <f t="shared" si="209"/>
        <v>4.6757569250590603E-2</v>
      </c>
      <c r="R62" s="2868"/>
      <c r="S62" s="2877"/>
      <c r="T62" s="2878"/>
      <c r="U62" s="2878"/>
      <c r="V62" s="2878"/>
      <c r="X62" s="2878"/>
      <c r="Y62" s="2878"/>
      <c r="Z62" s="2878"/>
    </row>
    <row r="63" spans="1:26">
      <c r="A63" s="2864" t="s">
        <v>2561</v>
      </c>
      <c r="B63" s="2865">
        <f t="shared" ref="B63:C65" si="210">B64+(B$62-B$66)*I63/SUM(I$62:I$65)</f>
        <v>180.5366651097618</v>
      </c>
      <c r="C63" s="2865">
        <f t="shared" si="210"/>
        <v>158.60435967302453</v>
      </c>
      <c r="D63" s="2865">
        <f t="shared" si="189"/>
        <v>158.60435967302453</v>
      </c>
      <c r="E63" s="2865">
        <f t="shared" ref="E63:F65" si="211">E64+(E$62-E$66)*K63/SUM(K$62:K$65)</f>
        <v>239.25573260785075</v>
      </c>
      <c r="F63" s="2865">
        <f t="shared" si="211"/>
        <v>141.38899430740037</v>
      </c>
      <c r="G63" s="3758">
        <v>2007</v>
      </c>
      <c r="H63" s="2891">
        <v>3</v>
      </c>
      <c r="I63" s="2891">
        <v>8.65</v>
      </c>
      <c r="J63" s="2891">
        <v>8.06</v>
      </c>
      <c r="K63" s="2891">
        <v>9.94</v>
      </c>
      <c r="L63" s="2892">
        <v>5.8</v>
      </c>
      <c r="N63" s="2926">
        <f t="shared" si="208"/>
        <v>6.940217571740015E-2</v>
      </c>
      <c r="O63" s="2927">
        <f t="shared" si="208"/>
        <v>7.1197482471153428E-2</v>
      </c>
      <c r="P63" s="2927">
        <f t="shared" si="209"/>
        <v>0.10529679922579582</v>
      </c>
      <c r="Q63" s="2927">
        <f t="shared" si="209"/>
        <v>5.3292245059512133E-2</v>
      </c>
      <c r="R63" s="2868"/>
      <c r="S63" s="2867"/>
      <c r="T63" s="2853"/>
      <c r="U63" s="2853"/>
      <c r="V63" s="2853"/>
      <c r="X63" s="2928"/>
      <c r="Y63" s="2928"/>
      <c r="Z63" s="2928"/>
    </row>
    <row r="64" spans="1:26">
      <c r="A64" s="2864" t="s">
        <v>2562</v>
      </c>
      <c r="B64" s="2865">
        <f t="shared" si="210"/>
        <v>168.82017748715555</v>
      </c>
      <c r="C64" s="2865">
        <f t="shared" si="210"/>
        <v>148.06267029972753</v>
      </c>
      <c r="D64" s="2865">
        <f t="shared" si="189"/>
        <v>148.06267029972753</v>
      </c>
      <c r="E64" s="2865">
        <f t="shared" si="211"/>
        <v>216.46288379323747</v>
      </c>
      <c r="F64" s="2865">
        <f t="shared" si="211"/>
        <v>134.23529411764704</v>
      </c>
      <c r="G64" s="3758">
        <v>2007</v>
      </c>
      <c r="H64" s="2879">
        <v>2</v>
      </c>
      <c r="I64" s="2879">
        <v>3.67</v>
      </c>
      <c r="J64" s="2879">
        <v>2.3199999999999998</v>
      </c>
      <c r="K64" s="2879">
        <v>5.0199999999999996</v>
      </c>
      <c r="L64" s="2880">
        <v>6.71</v>
      </c>
      <c r="N64" s="2926">
        <f t="shared" si="208"/>
        <v>3.0339138143848032E-2</v>
      </c>
      <c r="O64" s="2927">
        <f t="shared" si="208"/>
        <v>2.0922341588790472E-2</v>
      </c>
      <c r="P64" s="2927">
        <f t="shared" si="209"/>
        <v>5.6164796592717003E-2</v>
      </c>
      <c r="Q64" s="2927">
        <f t="shared" si="209"/>
        <v>6.5704536723887319E-2</v>
      </c>
      <c r="R64" s="2868"/>
      <c r="S64" s="2867"/>
      <c r="T64" s="2853"/>
      <c r="U64" s="2853"/>
      <c r="V64" s="2853"/>
      <c r="X64" s="2928"/>
      <c r="Y64" s="2928"/>
      <c r="Z64" s="2928"/>
    </row>
    <row r="65" spans="1:26">
      <c r="A65" s="2864" t="s">
        <v>2563</v>
      </c>
      <c r="B65" s="2865">
        <f t="shared" si="210"/>
        <v>163.84913591779542</v>
      </c>
      <c r="C65" s="2865">
        <f t="shared" si="210"/>
        <v>145.0283378746594</v>
      </c>
      <c r="D65" s="2865">
        <f t="shared" si="189"/>
        <v>145.0283378746594</v>
      </c>
      <c r="E65" s="2865">
        <f t="shared" si="211"/>
        <v>204.95180722891567</v>
      </c>
      <c r="F65" s="2865">
        <f t="shared" si="211"/>
        <v>125.95920303605313</v>
      </c>
      <c r="G65" s="3759">
        <v>2007</v>
      </c>
      <c r="H65" s="2866">
        <v>1</v>
      </c>
      <c r="I65" s="2866">
        <v>3.58</v>
      </c>
      <c r="J65" s="2866">
        <v>3.08</v>
      </c>
      <c r="K65" s="2866">
        <v>4.34</v>
      </c>
      <c r="L65" s="2872">
        <v>3.21</v>
      </c>
      <c r="N65" s="2929">
        <f t="shared" si="208"/>
        <v>3.0497710174814063E-2</v>
      </c>
      <c r="O65" s="2930">
        <f t="shared" si="208"/>
        <v>2.8569772160704998E-2</v>
      </c>
      <c r="P65" s="2930">
        <f t="shared" si="209"/>
        <v>5.1034908866234296E-2</v>
      </c>
      <c r="Q65" s="2930">
        <f t="shared" si="209"/>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3.5" thickBot="1">
      <c r="A66" s="2864" t="s">
        <v>2564</v>
      </c>
      <c r="B66" s="2893">
        <v>159</v>
      </c>
      <c r="C66" s="2893">
        <v>141</v>
      </c>
      <c r="D66" s="2893">
        <f t="shared" si="189"/>
        <v>141</v>
      </c>
      <c r="E66" s="2893">
        <v>195</v>
      </c>
      <c r="F66" s="2894">
        <v>122</v>
      </c>
      <c r="G66" s="3757">
        <v>2006</v>
      </c>
      <c r="H66" s="2888">
        <v>4</v>
      </c>
      <c r="I66" s="2888">
        <v>3.79</v>
      </c>
      <c r="J66" s="2888">
        <v>2.21</v>
      </c>
      <c r="K66" s="2888">
        <v>5.65</v>
      </c>
      <c r="L66" s="2889">
        <v>5.41</v>
      </c>
      <c r="N66" s="2926">
        <f t="shared" ref="N66:O69" si="212">I66/SUM(I$66:I$69)*(B$66/B$70-1)</f>
        <v>7.245466462748526E-2</v>
      </c>
      <c r="O66" s="2927">
        <f t="shared" si="212"/>
        <v>2.3237230038062766E-2</v>
      </c>
      <c r="P66" s="2927">
        <f t="shared" ref="P66:Q69" si="213">K66/SUM(K$66:K$69)*(E$66/E$70-1)</f>
        <v>0.16146893866323722</v>
      </c>
      <c r="Q66" s="2927">
        <f t="shared" si="213"/>
        <v>5.0755230321793784E-2</v>
      </c>
      <c r="R66" s="2868"/>
      <c r="S66" s="2877"/>
      <c r="T66" s="2878"/>
      <c r="U66" s="2878"/>
      <c r="V66" s="2878"/>
      <c r="X66" s="2928"/>
      <c r="Y66" s="2928"/>
      <c r="Z66" s="2928"/>
    </row>
    <row r="67" spans="1:26">
      <c r="A67" s="2864" t="s">
        <v>2565</v>
      </c>
      <c r="B67" s="2865">
        <f t="shared" ref="B67:C69" si="214">B68+(B$66-B$70)*I67/SUM(I$66:I$69)</f>
        <v>149.00125628140702</v>
      </c>
      <c r="C67" s="2865">
        <f t="shared" si="214"/>
        <v>137.95592286501378</v>
      </c>
      <c r="D67" s="2865">
        <f t="shared" si="189"/>
        <v>137.95592286501378</v>
      </c>
      <c r="E67" s="2865">
        <f t="shared" ref="E67:F69" si="215">E68+(E$66-E$70)*K67/SUM(K$66:K$69)</f>
        <v>169.97231450719823</v>
      </c>
      <c r="F67" s="2865">
        <f t="shared" si="215"/>
        <v>116.21390374331551</v>
      </c>
      <c r="G67" s="3758">
        <v>2006</v>
      </c>
      <c r="H67" s="2891">
        <v>3</v>
      </c>
      <c r="I67" s="2891">
        <v>0.92</v>
      </c>
      <c r="J67" s="2891">
        <v>1.08</v>
      </c>
      <c r="K67" s="2891">
        <v>0.73</v>
      </c>
      <c r="L67" s="2892">
        <v>1.08</v>
      </c>
      <c r="N67" s="2926">
        <f t="shared" si="212"/>
        <v>1.7587939698492462E-2</v>
      </c>
      <c r="O67" s="2927">
        <f t="shared" si="212"/>
        <v>1.1355750425840628E-2</v>
      </c>
      <c r="P67" s="2927">
        <f t="shared" si="213"/>
        <v>2.0862358446754544E-2</v>
      </c>
      <c r="Q67" s="2927">
        <f t="shared" si="213"/>
        <v>1.0132282578103011E-2</v>
      </c>
      <c r="R67" s="2868"/>
      <c r="S67" s="2867"/>
      <c r="T67" s="2853"/>
      <c r="U67" s="2853"/>
      <c r="V67" s="2853"/>
      <c r="X67" s="2928"/>
      <c r="Y67" s="2928"/>
      <c r="Z67" s="2928"/>
    </row>
    <row r="68" spans="1:26">
      <c r="A68" s="2864" t="s">
        <v>2566</v>
      </c>
      <c r="B68" s="2865">
        <f t="shared" si="214"/>
        <v>146.57412060301507</v>
      </c>
      <c r="C68" s="2865">
        <f t="shared" si="214"/>
        <v>136.46831955922866</v>
      </c>
      <c r="D68" s="2865">
        <f t="shared" si="189"/>
        <v>136.46831955922866</v>
      </c>
      <c r="E68" s="2865">
        <f t="shared" si="215"/>
        <v>166.73864894795128</v>
      </c>
      <c r="F68" s="2865">
        <f t="shared" si="215"/>
        <v>115.05882352941177</v>
      </c>
      <c r="G68" s="3758">
        <v>2006</v>
      </c>
      <c r="H68" s="2879">
        <v>2</v>
      </c>
      <c r="I68" s="2879">
        <v>0.96</v>
      </c>
      <c r="J68" s="2879">
        <v>0.25</v>
      </c>
      <c r="K68" s="2879">
        <v>1.9</v>
      </c>
      <c r="L68" s="2880">
        <v>0.95</v>
      </c>
      <c r="N68" s="2926">
        <f t="shared" si="212"/>
        <v>1.8352632728861701E-2</v>
      </c>
      <c r="O68" s="2927">
        <f t="shared" si="212"/>
        <v>2.6286459319075526E-3</v>
      </c>
      <c r="P68" s="2927">
        <f t="shared" si="213"/>
        <v>5.4299289107991269E-2</v>
      </c>
      <c r="Q68" s="2927">
        <f t="shared" si="213"/>
        <v>8.9126559714794995E-3</v>
      </c>
      <c r="R68" s="2868"/>
      <c r="S68" s="2867"/>
      <c r="T68" s="2853"/>
      <c r="U68" s="2853"/>
      <c r="V68" s="2853"/>
      <c r="X68" s="2928"/>
      <c r="Y68" s="2928"/>
      <c r="Z68" s="2928"/>
    </row>
    <row r="69" spans="1:26">
      <c r="A69" s="2864" t="s">
        <v>2567</v>
      </c>
      <c r="B69" s="2865">
        <f t="shared" si="214"/>
        <v>144.04145728643215</v>
      </c>
      <c r="C69" s="2865">
        <f t="shared" si="214"/>
        <v>136.12396694214877</v>
      </c>
      <c r="D69" s="2865">
        <f t="shared" si="189"/>
        <v>136.12396694214877</v>
      </c>
      <c r="E69" s="2865">
        <f t="shared" si="215"/>
        <v>158.32225913621264</v>
      </c>
      <c r="F69" s="2865">
        <f t="shared" si="215"/>
        <v>114.04278074866311</v>
      </c>
      <c r="G69" s="3759">
        <v>2006</v>
      </c>
      <c r="H69" s="2866">
        <v>1</v>
      </c>
      <c r="I69" s="2866">
        <v>2.29</v>
      </c>
      <c r="J69" s="2866">
        <v>3.72</v>
      </c>
      <c r="K69" s="2866">
        <v>0.75</v>
      </c>
      <c r="L69" s="2872">
        <v>0.04</v>
      </c>
      <c r="N69" s="2929">
        <f t="shared" si="212"/>
        <v>4.3778675988638847E-2</v>
      </c>
      <c r="O69" s="2930">
        <f t="shared" si="212"/>
        <v>3.9114251466784385E-2</v>
      </c>
      <c r="P69" s="2930">
        <f t="shared" si="213"/>
        <v>2.1433929911049188E-2</v>
      </c>
      <c r="Q69" s="2930">
        <f t="shared" si="213"/>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3.5" thickBot="1">
      <c r="A70" s="2864" t="s">
        <v>2568</v>
      </c>
      <c r="B70" s="2893">
        <v>138</v>
      </c>
      <c r="C70" s="2893">
        <v>131</v>
      </c>
      <c r="D70" s="2893">
        <f t="shared" si="189"/>
        <v>131</v>
      </c>
      <c r="E70" s="2893">
        <v>155</v>
      </c>
      <c r="F70" s="2894">
        <v>114</v>
      </c>
      <c r="G70" s="3757">
        <v>2005</v>
      </c>
      <c r="H70" s="2888">
        <v>4</v>
      </c>
      <c r="I70" s="2888">
        <v>3.29</v>
      </c>
      <c r="J70" s="2888">
        <v>1.44</v>
      </c>
      <c r="K70" s="2888">
        <v>0.66</v>
      </c>
      <c r="L70" s="2889">
        <v>7.78</v>
      </c>
      <c r="N70" s="2926">
        <f t="shared" ref="N70:O73" si="216">I70/SUM(I$70:I$73)*(B$70/B$74-1)</f>
        <v>9.9404603216919935E-2</v>
      </c>
      <c r="O70" s="2927">
        <f t="shared" si="216"/>
        <v>4.7636550760861554E-2</v>
      </c>
      <c r="P70" s="2927">
        <f t="shared" ref="P70:Q73" si="217">K70/SUM(K$70:K$73)*(E$70/E$74-1)</f>
        <v>8.3756345177664976E-2</v>
      </c>
      <c r="Q70" s="2927">
        <f t="shared" si="217"/>
        <v>5.2148766661559584E-2</v>
      </c>
      <c r="R70" s="2868"/>
      <c r="S70" s="2877"/>
      <c r="T70" s="2878"/>
      <c r="U70" s="2878"/>
      <c r="V70" s="2878"/>
      <c r="X70" s="2928"/>
      <c r="Y70" s="2928"/>
      <c r="Z70" s="2928"/>
    </row>
    <row r="71" spans="1:26">
      <c r="A71" s="2864" t="s">
        <v>2569</v>
      </c>
      <c r="B71" s="2865">
        <f t="shared" ref="B71:C73" si="218">B72+(B$70-B$74)*I71/SUM(I$70:I$73)</f>
        <v>125.9720430107527</v>
      </c>
      <c r="C71" s="2865">
        <f t="shared" si="218"/>
        <v>125.1883408071749</v>
      </c>
      <c r="D71" s="2865">
        <f t="shared" si="189"/>
        <v>125.1883408071749</v>
      </c>
      <c r="E71" s="2865">
        <f t="shared" ref="E71:F73" si="219">E72+(E$70-E$74)*K71/SUM(K$70:K$73)</f>
        <v>144.61421319796952</v>
      </c>
      <c r="F71" s="2865">
        <f t="shared" si="219"/>
        <v>108.42008196721311</v>
      </c>
      <c r="G71" s="3758">
        <v>2005</v>
      </c>
      <c r="H71" s="2891">
        <v>3</v>
      </c>
      <c r="I71" s="2891">
        <v>0.46</v>
      </c>
      <c r="J71" s="2891">
        <v>0.32</v>
      </c>
      <c r="K71" s="2891">
        <v>0.42</v>
      </c>
      <c r="L71" s="2892">
        <v>0.64</v>
      </c>
      <c r="N71" s="2926">
        <f t="shared" si="216"/>
        <v>1.3898515951301874E-2</v>
      </c>
      <c r="O71" s="2927">
        <f t="shared" si="216"/>
        <v>1.0585900169080346E-2</v>
      </c>
      <c r="P71" s="2927">
        <f t="shared" si="217"/>
        <v>5.3299492385786795E-2</v>
      </c>
      <c r="Q71" s="2927">
        <f t="shared" si="217"/>
        <v>4.2898728359123568E-3</v>
      </c>
      <c r="R71" s="2868"/>
      <c r="S71" s="2867"/>
      <c r="T71" s="2853"/>
      <c r="U71" s="2853"/>
      <c r="V71" s="2853"/>
      <c r="X71" s="2928"/>
      <c r="Y71" s="2928"/>
      <c r="Z71" s="2928"/>
    </row>
    <row r="72" spans="1:26">
      <c r="A72" s="2864" t="s">
        <v>2570</v>
      </c>
      <c r="B72" s="2865">
        <f t="shared" si="218"/>
        <v>124.29032258064517</v>
      </c>
      <c r="C72" s="2865">
        <f t="shared" si="218"/>
        <v>123.8968609865471</v>
      </c>
      <c r="D72" s="2865">
        <f t="shared" si="189"/>
        <v>123.8968609865471</v>
      </c>
      <c r="E72" s="2865">
        <f t="shared" si="219"/>
        <v>138.00507614213197</v>
      </c>
      <c r="F72" s="2865">
        <f t="shared" si="219"/>
        <v>107.96106557377048</v>
      </c>
      <c r="G72" s="3758">
        <v>2005</v>
      </c>
      <c r="H72" s="2879">
        <v>2</v>
      </c>
      <c r="I72" s="2879">
        <v>0.47</v>
      </c>
      <c r="J72" s="2879">
        <v>0.1</v>
      </c>
      <c r="K72" s="2879">
        <v>0.52</v>
      </c>
      <c r="L72" s="2880">
        <v>0.79</v>
      </c>
      <c r="N72" s="2926">
        <f t="shared" si="216"/>
        <v>1.420065760241713E-2</v>
      </c>
      <c r="O72" s="2927">
        <f t="shared" si="216"/>
        <v>3.3080938028376083E-3</v>
      </c>
      <c r="P72" s="2927">
        <f t="shared" si="217"/>
        <v>6.598984771573603E-2</v>
      </c>
      <c r="Q72" s="2927">
        <f t="shared" si="217"/>
        <v>5.2953117818293153E-3</v>
      </c>
      <c r="R72" s="2868"/>
      <c r="S72" s="2867"/>
      <c r="T72" s="2853"/>
      <c r="U72" s="2853"/>
      <c r="V72" s="2853"/>
      <c r="X72" s="2928"/>
      <c r="Y72" s="2928"/>
      <c r="Z72" s="2928"/>
    </row>
    <row r="73" spans="1:26">
      <c r="A73" s="2864" t="s">
        <v>2571</v>
      </c>
      <c r="B73" s="2865">
        <f t="shared" si="218"/>
        <v>122.57204301075269</v>
      </c>
      <c r="C73" s="2865">
        <f t="shared" si="218"/>
        <v>123.4932735426009</v>
      </c>
      <c r="D73" s="2865">
        <f t="shared" si="189"/>
        <v>123.4932735426009</v>
      </c>
      <c r="E73" s="2865">
        <f t="shared" si="219"/>
        <v>129.82233502538071</v>
      </c>
      <c r="F73" s="2865">
        <f t="shared" si="219"/>
        <v>107.39446721311475</v>
      </c>
      <c r="G73" s="3759">
        <v>2005</v>
      </c>
      <c r="H73" s="2866">
        <v>1</v>
      </c>
      <c r="I73" s="2866">
        <v>0.43</v>
      </c>
      <c r="J73" s="2866">
        <v>0.37</v>
      </c>
      <c r="K73" s="2866">
        <v>0.37</v>
      </c>
      <c r="L73" s="2872">
        <v>0.55000000000000004</v>
      </c>
      <c r="N73" s="2929">
        <f t="shared" si="216"/>
        <v>1.2992090997956099E-2</v>
      </c>
      <c r="O73" s="2930">
        <f t="shared" si="216"/>
        <v>1.2239947070499151E-2</v>
      </c>
      <c r="P73" s="2930">
        <f t="shared" si="217"/>
        <v>4.6954314720812178E-2</v>
      </c>
      <c r="Q73" s="2930">
        <f t="shared" si="217"/>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3.5" thickBot="1">
      <c r="A74" s="2864" t="s">
        <v>2572</v>
      </c>
      <c r="B74" s="2914">
        <v>121</v>
      </c>
      <c r="C74" s="2914">
        <v>122</v>
      </c>
      <c r="D74" s="2914">
        <f t="shared" si="189"/>
        <v>122</v>
      </c>
      <c r="E74" s="2914">
        <v>124</v>
      </c>
      <c r="F74" s="2915">
        <v>107</v>
      </c>
      <c r="G74" s="3757">
        <v>2004</v>
      </c>
      <c r="H74" s="2888">
        <v>4</v>
      </c>
      <c r="I74" s="2888">
        <v>0.33</v>
      </c>
      <c r="J74" s="2888">
        <v>0.5</v>
      </c>
      <c r="K74" s="2888">
        <v>0.5</v>
      </c>
      <c r="L74" s="2889">
        <v>0</v>
      </c>
      <c r="N74" s="2926">
        <f t="shared" ref="N74:O77" si="220">I74/SUM(I$74:I$77)*(B$74/B$78-1)</f>
        <v>1.3391770148526898E-2</v>
      </c>
      <c r="O74" s="2927">
        <f t="shared" si="220"/>
        <v>1.063264221158958E-2</v>
      </c>
      <c r="P74" s="2927">
        <f t="shared" ref="P74:Q77" si="221">K74/SUM(K$74:K$77)*(E$74/E$78-1)</f>
        <v>2.2244466688911134E-2</v>
      </c>
      <c r="Q74" s="2927">
        <f t="shared" si="221"/>
        <v>0</v>
      </c>
      <c r="R74" s="2868"/>
      <c r="S74" s="2877"/>
      <c r="T74" s="2878"/>
      <c r="U74" s="2878"/>
      <c r="V74" s="2878"/>
      <c r="X74" s="2928"/>
      <c r="Y74" s="2928"/>
      <c r="Z74" s="2928"/>
    </row>
    <row r="75" spans="1:26">
      <c r="A75" s="2864" t="s">
        <v>2573</v>
      </c>
      <c r="B75" s="2865">
        <f t="shared" ref="B75:C77" si="222">B76+(B$74-B$78)*I75/SUM(I$74:I$77)</f>
        <v>119.51351351351352</v>
      </c>
      <c r="C75" s="2865">
        <f t="shared" si="222"/>
        <v>120.7878787878788</v>
      </c>
      <c r="D75" s="2865">
        <f t="shared" si="189"/>
        <v>120.7878787878788</v>
      </c>
      <c r="E75" s="2865">
        <f t="shared" ref="E75:F77" si="223">E76+(E$74-E$78)*K75/SUM(K$74:K$77)</f>
        <v>121.5975975975976</v>
      </c>
      <c r="F75" s="2865">
        <f t="shared" si="223"/>
        <v>107</v>
      </c>
      <c r="G75" s="3758">
        <v>2004</v>
      </c>
      <c r="H75" s="2891">
        <v>3</v>
      </c>
      <c r="I75" s="2891">
        <v>0.56000000000000005</v>
      </c>
      <c r="J75" s="2891">
        <v>0.8</v>
      </c>
      <c r="K75" s="2891">
        <v>0.83</v>
      </c>
      <c r="L75" s="2892">
        <v>0.06</v>
      </c>
      <c r="N75" s="2926">
        <f t="shared" si="220"/>
        <v>2.2725428130833527E-2</v>
      </c>
      <c r="O75" s="2927">
        <f t="shared" si="220"/>
        <v>1.7012227538543329E-2</v>
      </c>
      <c r="P75" s="2927">
        <f t="shared" si="221"/>
        <v>3.6925814703592477E-2</v>
      </c>
      <c r="Q75" s="2927">
        <f t="shared" si="221"/>
        <v>2.8846153846153744E-2</v>
      </c>
      <c r="R75" s="2868"/>
      <c r="S75" s="2867"/>
      <c r="T75" s="2853"/>
      <c r="U75" s="2853"/>
      <c r="V75" s="2853"/>
      <c r="X75" s="2928"/>
      <c r="Y75" s="2928"/>
      <c r="Z75" s="2928"/>
    </row>
    <row r="76" spans="1:26">
      <c r="A76" s="2864" t="s">
        <v>2574</v>
      </c>
      <c r="B76" s="2865">
        <f t="shared" si="222"/>
        <v>116.99099099099099</v>
      </c>
      <c r="C76" s="2865">
        <f t="shared" si="222"/>
        <v>118.84848484848486</v>
      </c>
      <c r="D76" s="2865">
        <f t="shared" si="189"/>
        <v>118.84848484848486</v>
      </c>
      <c r="E76" s="2865">
        <f t="shared" si="223"/>
        <v>117.60960960960961</v>
      </c>
      <c r="F76" s="2865">
        <f t="shared" si="223"/>
        <v>104</v>
      </c>
      <c r="G76" s="3758">
        <v>2004</v>
      </c>
      <c r="H76" s="2879">
        <v>2</v>
      </c>
      <c r="I76" s="2879">
        <v>1</v>
      </c>
      <c r="J76" s="2879">
        <v>1.5</v>
      </c>
      <c r="K76" s="2879">
        <v>1.5</v>
      </c>
      <c r="L76" s="2880">
        <v>0</v>
      </c>
      <c r="N76" s="2926">
        <f t="shared" si="220"/>
        <v>4.0581121662202721E-2</v>
      </c>
      <c r="O76" s="2927">
        <f t="shared" si="220"/>
        <v>3.1897926634768738E-2</v>
      </c>
      <c r="P76" s="2927">
        <f t="shared" si="221"/>
        <v>6.6733400066733395E-2</v>
      </c>
      <c r="Q76" s="2927">
        <f t="shared" si="221"/>
        <v>0</v>
      </c>
      <c r="R76" s="2868"/>
      <c r="S76" s="2867"/>
      <c r="T76" s="2853"/>
      <c r="U76" s="2853"/>
      <c r="V76" s="2853"/>
      <c r="X76" s="2928"/>
      <c r="Y76" s="2928"/>
      <c r="Z76" s="2928"/>
    </row>
    <row r="77" spans="1:26" s="2920" customFormat="1" ht="13.5" thickBot="1">
      <c r="A77" s="2864" t="s">
        <v>2575</v>
      </c>
      <c r="B77" s="2917">
        <f t="shared" si="222"/>
        <v>112.48648648648648</v>
      </c>
      <c r="C77" s="2917">
        <f t="shared" si="222"/>
        <v>115.21212121212122</v>
      </c>
      <c r="D77" s="2917">
        <f t="shared" si="189"/>
        <v>115.21212121212122</v>
      </c>
      <c r="E77" s="2917">
        <f t="shared" si="223"/>
        <v>110.4024024024024</v>
      </c>
      <c r="F77" s="2917">
        <f t="shared" si="223"/>
        <v>104</v>
      </c>
      <c r="G77" s="3759">
        <v>2004</v>
      </c>
      <c r="H77" s="2918">
        <v>1</v>
      </c>
      <c r="I77" s="2918">
        <v>0.33</v>
      </c>
      <c r="J77" s="2918">
        <v>0.5</v>
      </c>
      <c r="K77" s="2918">
        <v>0.5</v>
      </c>
      <c r="L77" s="2919">
        <v>0</v>
      </c>
      <c r="N77" s="2931">
        <f t="shared" si="220"/>
        <v>1.3391770148526898E-2</v>
      </c>
      <c r="O77" s="2932">
        <f t="shared" si="220"/>
        <v>1.063264221158958E-2</v>
      </c>
      <c r="P77" s="2932">
        <f t="shared" si="221"/>
        <v>2.2244466688911134E-2</v>
      </c>
      <c r="Q77" s="2932">
        <f t="shared" si="221"/>
        <v>0</v>
      </c>
      <c r="R77" s="2923"/>
      <c r="S77" s="2921">
        <f>B77/B78-1</f>
        <v>1.3391770148526883E-2</v>
      </c>
      <c r="T77" s="2922">
        <f>C77/C78-1</f>
        <v>1.063264221158966E-2</v>
      </c>
      <c r="U77" s="2922">
        <f>E77/E78-1</f>
        <v>2.2244466688911224E-2</v>
      </c>
      <c r="V77" s="2922">
        <f>F77/F78-1</f>
        <v>0</v>
      </c>
      <c r="X77" s="2933"/>
      <c r="Y77" s="2933"/>
      <c r="Z77" s="2933"/>
    </row>
    <row r="78" spans="1:26" ht="13.5" thickBot="1">
      <c r="A78" s="2864" t="s">
        <v>2576</v>
      </c>
      <c r="B78" s="2934">
        <v>111</v>
      </c>
      <c r="C78" s="2934">
        <v>114</v>
      </c>
      <c r="D78" s="2934">
        <f t="shared" si="189"/>
        <v>114</v>
      </c>
      <c r="E78" s="2934">
        <v>108</v>
      </c>
      <c r="F78" s="2935">
        <v>104</v>
      </c>
      <c r="G78" s="3757">
        <v>2003</v>
      </c>
      <c r="H78" s="2924">
        <v>4</v>
      </c>
      <c r="I78" s="2936"/>
      <c r="J78" s="2936"/>
      <c r="K78" s="2936"/>
      <c r="L78" s="2936"/>
      <c r="N78" s="2937"/>
      <c r="O78" s="2936"/>
      <c r="P78" s="2936"/>
      <c r="Q78" s="2936"/>
      <c r="S78" s="2937"/>
      <c r="T78" s="2936"/>
      <c r="U78" s="2936"/>
      <c r="V78" s="2936"/>
      <c r="X78" s="2928"/>
      <c r="Y78" s="2928"/>
      <c r="Z78" s="2928"/>
    </row>
    <row r="79" spans="1:26">
      <c r="A79" s="2864" t="s">
        <v>2577</v>
      </c>
      <c r="B79" s="2938">
        <f t="shared" ref="B79:C81" si="224">B80+(B$78-B$82)/4</f>
        <v>109.75</v>
      </c>
      <c r="C79" s="2938">
        <f t="shared" si="224"/>
        <v>112.25</v>
      </c>
      <c r="D79" s="2938">
        <f t="shared" si="189"/>
        <v>112.25</v>
      </c>
      <c r="E79" s="2938">
        <f t="shared" ref="E79:F81" si="225">E80+(E$78-E$82)/4</f>
        <v>107.25</v>
      </c>
      <c r="F79" s="2938">
        <f t="shared" si="225"/>
        <v>103.5</v>
      </c>
      <c r="G79" s="3758">
        <v>2003</v>
      </c>
      <c r="H79" s="2891">
        <v>3</v>
      </c>
      <c r="I79" s="2936"/>
      <c r="J79" s="2936"/>
      <c r="K79" s="2936"/>
      <c r="L79" s="2936"/>
      <c r="X79" s="2928"/>
      <c r="Y79" s="2928"/>
      <c r="Z79" s="2928"/>
    </row>
    <row r="80" spans="1:26">
      <c r="A80" s="2864" t="s">
        <v>2578</v>
      </c>
      <c r="B80" s="2938">
        <f t="shared" si="224"/>
        <v>108.5</v>
      </c>
      <c r="C80" s="2938">
        <f t="shared" si="224"/>
        <v>110.5</v>
      </c>
      <c r="D80" s="2938">
        <f t="shared" si="189"/>
        <v>110.5</v>
      </c>
      <c r="E80" s="2938">
        <f t="shared" si="225"/>
        <v>106.5</v>
      </c>
      <c r="F80" s="2938">
        <f t="shared" si="225"/>
        <v>103</v>
      </c>
      <c r="G80" s="3758">
        <v>2003</v>
      </c>
      <c r="H80" s="2879">
        <v>2</v>
      </c>
      <c r="I80" s="2936"/>
      <c r="J80" s="2936"/>
      <c r="K80" s="2936"/>
      <c r="L80" s="2936"/>
      <c r="X80" s="2928"/>
      <c r="Y80" s="2928"/>
      <c r="Z80" s="2928"/>
    </row>
    <row r="81" spans="1:26" ht="13.5" thickBot="1">
      <c r="A81" s="2864" t="s">
        <v>2579</v>
      </c>
      <c r="B81" s="2938">
        <f t="shared" si="224"/>
        <v>107.25</v>
      </c>
      <c r="C81" s="2938">
        <f t="shared" si="224"/>
        <v>108.75</v>
      </c>
      <c r="D81" s="2938">
        <f t="shared" si="189"/>
        <v>108.75</v>
      </c>
      <c r="E81" s="2938">
        <f t="shared" si="225"/>
        <v>105.75</v>
      </c>
      <c r="F81" s="2938">
        <f t="shared" si="225"/>
        <v>102.5</v>
      </c>
      <c r="G81" s="3759">
        <v>2003</v>
      </c>
      <c r="H81" s="2939">
        <v>1</v>
      </c>
      <c r="I81" s="2936"/>
      <c r="J81" s="2936"/>
      <c r="K81" s="2936"/>
      <c r="L81" s="2936"/>
      <c r="S81" s="2867"/>
      <c r="T81" s="2853"/>
      <c r="U81" s="2853"/>
      <c r="X81" s="2928"/>
      <c r="Y81" s="2928"/>
      <c r="Z81" s="2928"/>
    </row>
    <row r="82" spans="1:26" ht="13.5" thickBot="1">
      <c r="A82" s="2864" t="s">
        <v>2580</v>
      </c>
      <c r="B82" s="2940">
        <v>106</v>
      </c>
      <c r="C82" s="2940">
        <v>107</v>
      </c>
      <c r="D82" s="2940">
        <f t="shared" si="189"/>
        <v>107</v>
      </c>
      <c r="E82" s="2940">
        <v>105</v>
      </c>
      <c r="F82" s="2941">
        <v>102</v>
      </c>
      <c r="G82" s="3757">
        <v>2002</v>
      </c>
      <c r="H82" s="2888">
        <v>4</v>
      </c>
      <c r="I82" s="2936"/>
      <c r="J82" s="2936"/>
      <c r="K82" s="2936"/>
      <c r="L82" s="2936"/>
      <c r="N82" s="2937"/>
      <c r="O82" s="2936"/>
      <c r="P82" s="2936"/>
      <c r="Q82" s="2936"/>
      <c r="S82" s="2937"/>
      <c r="T82" s="2936"/>
      <c r="U82" s="2936"/>
      <c r="V82" s="2936"/>
      <c r="X82" s="2928"/>
      <c r="Y82" s="2928"/>
      <c r="Z82" s="2928"/>
    </row>
    <row r="83" spans="1:26">
      <c r="A83" s="2864" t="s">
        <v>2581</v>
      </c>
      <c r="B83" s="2938">
        <f t="shared" ref="B83:C85" si="226">B84+(B$82-B$86)/4</f>
        <v>105</v>
      </c>
      <c r="C83" s="2938">
        <f t="shared" si="226"/>
        <v>106</v>
      </c>
      <c r="D83" s="2938">
        <f t="shared" si="189"/>
        <v>106</v>
      </c>
      <c r="E83" s="2938">
        <f t="shared" ref="E83:F85" si="227">E84+(E$82-E$86)/4</f>
        <v>104.5</v>
      </c>
      <c r="F83" s="2938">
        <f t="shared" si="227"/>
        <v>101.5</v>
      </c>
      <c r="G83" s="3758">
        <v>2002</v>
      </c>
      <c r="H83" s="2891">
        <v>3</v>
      </c>
      <c r="I83" s="2936"/>
      <c r="J83" s="2936"/>
      <c r="K83" s="2936"/>
      <c r="L83" s="2936"/>
      <c r="X83" s="2928"/>
      <c r="Y83" s="2928"/>
      <c r="Z83" s="2928"/>
    </row>
    <row r="84" spans="1:26">
      <c r="A84" s="2864" t="s">
        <v>2582</v>
      </c>
      <c r="B84" s="2938">
        <f t="shared" si="226"/>
        <v>104</v>
      </c>
      <c r="C84" s="2938">
        <f t="shared" si="226"/>
        <v>105</v>
      </c>
      <c r="D84" s="2938">
        <f t="shared" si="189"/>
        <v>105</v>
      </c>
      <c r="E84" s="2938">
        <f t="shared" si="227"/>
        <v>104</v>
      </c>
      <c r="F84" s="2938">
        <f t="shared" si="227"/>
        <v>101</v>
      </c>
      <c r="G84" s="3758">
        <v>2002</v>
      </c>
      <c r="H84" s="2879">
        <v>2</v>
      </c>
      <c r="I84" s="2936"/>
      <c r="J84" s="2936"/>
      <c r="K84" s="2936"/>
      <c r="L84" s="2936"/>
      <c r="X84" s="2928"/>
      <c r="Y84" s="2928"/>
      <c r="Z84" s="2928"/>
    </row>
    <row r="85" spans="1:26" s="2901" customFormat="1" ht="13.5" thickBot="1">
      <c r="A85" s="2897" t="s">
        <v>2583</v>
      </c>
      <c r="B85" s="2904">
        <f t="shared" si="226"/>
        <v>103</v>
      </c>
      <c r="C85" s="2904">
        <f t="shared" si="226"/>
        <v>104</v>
      </c>
      <c r="D85" s="2904">
        <f t="shared" si="189"/>
        <v>104</v>
      </c>
      <c r="E85" s="2904">
        <f t="shared" si="227"/>
        <v>103.5</v>
      </c>
      <c r="F85" s="2904">
        <f t="shared" si="227"/>
        <v>100.5</v>
      </c>
      <c r="G85" s="3759">
        <v>2002</v>
      </c>
      <c r="H85" s="2942">
        <v>1</v>
      </c>
      <c r="I85" s="2943"/>
      <c r="J85" s="2943"/>
      <c r="K85" s="2943"/>
      <c r="L85" s="2943"/>
      <c r="N85" s="2944"/>
      <c r="S85" s="2944"/>
      <c r="X85" s="2945"/>
      <c r="Y85" s="2945"/>
      <c r="Z85" s="2945"/>
    </row>
    <row r="86" spans="1:26" ht="13.5" thickBot="1">
      <c r="B86" s="2946">
        <v>102</v>
      </c>
      <c r="C86" s="2947">
        <v>103</v>
      </c>
      <c r="D86" s="2947">
        <f t="shared" si="189"/>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c r="A88" s="2949" t="s">
        <v>2584</v>
      </c>
      <c r="G88" s="2951"/>
      <c r="N88" s="2951"/>
      <c r="S88" s="2951"/>
    </row>
    <row r="89" spans="1:26" s="2950" customFormat="1">
      <c r="A89" s="2950" t="s">
        <v>2585</v>
      </c>
      <c r="G89" s="2951"/>
      <c r="N89" s="2951"/>
      <c r="S89" s="2951"/>
    </row>
    <row r="90" spans="1:26" s="2950" customFormat="1">
      <c r="A90" s="2950" t="s">
        <v>2586</v>
      </c>
      <c r="G90" s="2951"/>
      <c r="I90" s="2952"/>
      <c r="J90" s="2952"/>
      <c r="K90" s="2952"/>
      <c r="L90" s="2952"/>
      <c r="N90" s="2953"/>
      <c r="O90" s="2952"/>
      <c r="P90" s="2952"/>
      <c r="Q90" s="2952"/>
      <c r="S90" s="2953"/>
      <c r="T90" s="2952"/>
      <c r="U90" s="2952"/>
      <c r="V90" s="2952"/>
    </row>
    <row r="91" spans="1:26" s="2950" customFormat="1">
      <c r="A91" s="2950" t="s">
        <v>2587</v>
      </c>
      <c r="G91" s="2951"/>
      <c r="N91" s="2951"/>
      <c r="S91" s="2951"/>
    </row>
    <row r="98" spans="7:22" ht="13.5" thickBot="1"/>
    <row r="99" spans="7:22">
      <c r="G99" s="2852"/>
      <c r="S99" s="2954" t="s">
        <v>2588</v>
      </c>
      <c r="T99" s="2955" t="s">
        <v>2589</v>
      </c>
      <c r="U99" s="2955" t="s">
        <v>2590</v>
      </c>
      <c r="V99" s="2955" t="s">
        <v>2591</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3.5"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18.75">
      <c r="A4" s="1679" t="str">
        <f>"受贵公司委托，我公司对"&amp;项目基本情况!K2&amp;项目基本情况!B9&amp;"进行了预评估。"</f>
        <v>受贵公司委托，我公司对出让国有建设用地使用权进行了预评估。</v>
      </c>
    </row>
    <row r="5" spans="1:4" ht="18.75">
      <c r="A5" s="1682" t="s">
        <v>1874</v>
      </c>
    </row>
    <row r="6" spans="1:4" ht="75">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18388.8平方米。根据《建设工程规划许可证》[]、《出让合同》[]，估价对象规划建筑面积为18388.8平方米。</v>
      </c>
    </row>
    <row r="7" spans="1:4" ht="56.25">
      <c r="A7" s="1683" t="s">
        <v>2700</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1993</v>
      </c>
    </row>
    <row r="11" spans="1:4" ht="18.75">
      <c r="A11" s="1668" t="str">
        <f>TEXT(项目基本情况!D3,"yyyy年m月d日;;")&amp;IF(项目基本情况!B3=项目基本情况!D3,"（评估专业人员勘察现场之日）","")</f>
        <v>2022年3月3日</v>
      </c>
    </row>
    <row r="12" spans="1:4" ht="18.75">
      <c r="A12" s="1685" t="s">
        <v>1992</v>
      </c>
    </row>
    <row r="13" spans="1:4" ht="18.75">
      <c r="A13" s="1679" t="s">
        <v>2879</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根据《国有土地使用证》[]，估价对象（分摊）出让国有建设用地使用权面积为18388.8平方米。根据《建设工程规划许可证》[]、《出让合同》[]，估价对象规划建筑面积为18388.8平方米。</v>
      </c>
    </row>
    <row r="21" spans="1:1" ht="18.75">
      <c r="A21" s="1679" t="s">
        <v>2041</v>
      </c>
    </row>
    <row r="22" spans="1:1" ht="93.7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2080年1月1日。截至估价期日，出让国有建设用地使用权剩余土地使用年限为。</v>
      </c>
    </row>
    <row r="23" spans="1:1" ht="18.75">
      <c r="A23" s="1679" t="str">
        <f>IF(项目基本情况!B16="出让","本次评估设定估价对象剩余土地使用年限为"&amp;项目基本情况!D20&amp;"。","")</f>
        <v>本次评估设定估价对象剩余土地使用年限为。</v>
      </c>
    </row>
    <row r="24" spans="1:1" ht="18.75">
      <c r="A24" s="1679" t="s">
        <v>2042</v>
      </c>
    </row>
    <row r="25" spans="1:1" ht="75">
      <c r="A25" s="1679" t="str">
        <f>定义!C53</f>
        <v>本次估价的“出让国有建设用地使用权价格”是指在估价对象土地所有权为国家所有，使用权性质为出让，在公开市场条件下、于估价期日2022年3月3日，在规划利用条件下、设定土地开发程度为红线外“七通”、宗地内场地，设定用途为，剩余土地使用年限为的出让国有建设用地使用权价格。</v>
      </c>
    </row>
    <row r="26" spans="1:1" ht="93.75">
      <c r="A26" s="16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6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3" customWidth="1"/>
    <col min="2" max="2" width="12.375" style="3213" customWidth="1"/>
    <col min="3" max="3" width="12.125" style="3213" customWidth="1"/>
    <col min="4" max="4" width="16.625" style="3213" customWidth="1"/>
    <col min="5" max="5" width="12.375" style="3213" customWidth="1"/>
    <col min="6" max="6" width="12.75" style="3213" customWidth="1"/>
    <col min="7" max="16384" width="8.875" style="3213"/>
  </cols>
  <sheetData>
    <row r="1" spans="1:14" ht="20.25">
      <c r="A1" s="3216" t="s">
        <v>2886</v>
      </c>
      <c r="B1" s="3211"/>
      <c r="C1" s="3211"/>
      <c r="D1" s="3211"/>
      <c r="E1" s="3211"/>
      <c r="F1" s="3211"/>
      <c r="G1" s="3212"/>
      <c r="H1" s="3212"/>
      <c r="I1" s="3212"/>
      <c r="J1" s="3212"/>
      <c r="K1" s="3212"/>
      <c r="L1" s="3212"/>
      <c r="M1" s="3212"/>
      <c r="N1" s="3212"/>
    </row>
    <row r="2" spans="1:14" ht="14.25">
      <c r="A2" s="3217" t="s">
        <v>2881</v>
      </c>
      <c r="B2" s="3222">
        <f ca="1">SUMIF(B7:B14,"&lt;&gt;#ref!",B7:B14)</f>
        <v>0</v>
      </c>
      <c r="C2" s="3217" t="s">
        <v>2882</v>
      </c>
      <c r="D2" s="3214"/>
      <c r="E2" s="3214"/>
      <c r="F2" s="3214"/>
      <c r="G2" s="3212"/>
      <c r="H2" s="3212"/>
      <c r="I2" s="3212"/>
      <c r="J2" s="3212"/>
      <c r="K2" s="3212"/>
      <c r="L2" s="3212"/>
      <c r="M2" s="3212"/>
      <c r="N2" s="3212"/>
    </row>
    <row r="3" spans="1:14" ht="14.25">
      <c r="A3" s="3217" t="s">
        <v>2910</v>
      </c>
      <c r="B3" s="3222" t="e">
        <f ca="1">ROUND(B2*10000/E3,0)</f>
        <v>#DIV/0!</v>
      </c>
      <c r="C3" s="3217" t="s">
        <v>2045</v>
      </c>
      <c r="D3" s="3217" t="s">
        <v>2883</v>
      </c>
      <c r="E3" s="3215">
        <f ca="1">SUMIF(E7:E14,"&lt;&gt;#ref!",E7:E14)</f>
        <v>0</v>
      </c>
      <c r="F3" s="3214"/>
      <c r="G3" s="3212"/>
      <c r="H3" s="3212"/>
      <c r="I3" s="3212"/>
      <c r="J3" s="3212"/>
      <c r="K3" s="3212"/>
      <c r="L3" s="3212"/>
      <c r="M3" s="3212"/>
      <c r="N3" s="3212"/>
    </row>
    <row r="4" spans="1:14" ht="14.25">
      <c r="A4" s="3217" t="s">
        <v>2889</v>
      </c>
      <c r="B4" s="3222" t="e">
        <f ca="1">ROUND(B2*10000/E4,0)</f>
        <v>#DIV/0!</v>
      </c>
      <c r="C4" s="3217" t="s">
        <v>2045</v>
      </c>
      <c r="D4" s="3217" t="s">
        <v>2890</v>
      </c>
      <c r="E4" s="3215">
        <f ca="1">SUMIF(F7:F14,"&lt;&gt;#ref!",F7:F14)</f>
        <v>0</v>
      </c>
      <c r="F4" s="3214"/>
      <c r="G4" s="3212"/>
      <c r="H4" s="3212"/>
      <c r="I4" s="3212"/>
      <c r="J4" s="3212"/>
      <c r="K4" s="3212"/>
      <c r="L4" s="3212"/>
      <c r="M4" s="3212"/>
      <c r="N4" s="3212"/>
    </row>
    <row r="5" spans="1:14" ht="14.25">
      <c r="A5" s="3218"/>
      <c r="B5" s="3214"/>
      <c r="C5" s="3214"/>
      <c r="D5" s="3214"/>
      <c r="E5" s="3214"/>
      <c r="F5" s="3214"/>
      <c r="G5" s="3212"/>
      <c r="H5" s="3212"/>
      <c r="I5" s="3212"/>
      <c r="J5" s="3212"/>
      <c r="K5" s="3212"/>
      <c r="L5" s="3212"/>
      <c r="M5" s="3212"/>
      <c r="N5" s="3212"/>
    </row>
    <row r="6" spans="1:14" ht="28.5">
      <c r="A6" s="3219" t="s">
        <v>2887</v>
      </c>
      <c r="B6" s="3217" t="s">
        <v>2884</v>
      </c>
      <c r="C6" s="2756"/>
      <c r="D6" s="3214"/>
      <c r="E6" s="3217" t="s">
        <v>2885</v>
      </c>
      <c r="F6" s="3217" t="s">
        <v>2888</v>
      </c>
      <c r="G6" s="3212"/>
      <c r="H6" s="3212"/>
      <c r="I6" s="3212"/>
      <c r="J6" s="3212"/>
      <c r="K6" s="3212"/>
      <c r="L6" s="3212"/>
      <c r="M6" s="3212"/>
      <c r="N6" s="3212"/>
    </row>
    <row r="7" spans="1:14" ht="14.25">
      <c r="A7" s="3220"/>
      <c r="B7" s="3222" t="e">
        <f ca="1">SUMIF(INDIRECT("'"&amp;A7&amp;"'"&amp;"!A:A"),"总价",INDIRECT("'"&amp;A7&amp;"'"&amp;"!B:B"))</f>
        <v>#REF!</v>
      </c>
      <c r="C7" s="3217" t="s">
        <v>2882</v>
      </c>
      <c r="D7" s="3214"/>
      <c r="E7" s="3215" t="e">
        <f ca="1">SUMIF(INDIRECT("'"&amp;A7&amp;"'"&amp;"!C:C"),"建筑面积",INDIRECT("'"&amp;A7&amp;"'"&amp;"!D:D"))</f>
        <v>#REF!</v>
      </c>
      <c r="F7" s="3215" t="e">
        <f ca="1">SUMIF(INDIRECT("'"&amp;A7&amp;"'"&amp;"!E:E"),"土地面积",INDIRECT("'"&amp;A7&amp;"'"&amp;"!F:F"))</f>
        <v>#REF!</v>
      </c>
      <c r="G7" s="3212"/>
      <c r="H7" s="3212"/>
      <c r="I7" s="3212"/>
      <c r="J7" s="3212"/>
      <c r="K7" s="3212"/>
      <c r="L7" s="3212"/>
      <c r="M7" s="3212"/>
      <c r="N7" s="3212"/>
    </row>
    <row r="8" spans="1:14" ht="14.25">
      <c r="A8" s="3220"/>
      <c r="B8" s="3222" t="e">
        <f t="shared" ref="B8:B14" ca="1" si="0">SUMIF(INDIRECT("'"&amp;A8&amp;"'"&amp;"!A:A"),"总价",INDIRECT("'"&amp;A8&amp;"'"&amp;"!B:B"))</f>
        <v>#REF!</v>
      </c>
      <c r="C8" s="3217" t="s">
        <v>2882</v>
      </c>
      <c r="D8" s="3214"/>
      <c r="E8" s="3215" t="e">
        <f t="shared" ref="E8:E14" ca="1" si="1">SUMIF(INDIRECT("'"&amp;A8&amp;"'"&amp;"!C:C"),"建筑面积",INDIRECT("'"&amp;A8&amp;"'"&amp;"!D:D"))</f>
        <v>#REF!</v>
      </c>
      <c r="F8" s="3215" t="e">
        <f t="shared" ref="F8:F14" ca="1" si="2">SUMIF(INDIRECT("'"&amp;A8&amp;"'"&amp;"!E:E"),"土地面积",INDIRECT("'"&amp;A8&amp;"'"&amp;"!F:F"))</f>
        <v>#REF!</v>
      </c>
      <c r="G8" s="3212"/>
      <c r="H8" s="3212"/>
      <c r="I8" s="3212"/>
      <c r="J8" s="3212"/>
      <c r="K8" s="3212"/>
      <c r="L8" s="3212"/>
      <c r="M8" s="3212"/>
      <c r="N8" s="3212"/>
    </row>
    <row r="9" spans="1:14" ht="14.25">
      <c r="A9" s="3220"/>
      <c r="B9" s="3222" t="e">
        <f t="shared" ca="1" si="0"/>
        <v>#REF!</v>
      </c>
      <c r="C9" s="3217" t="s">
        <v>2882</v>
      </c>
      <c r="D9" s="3214"/>
      <c r="E9" s="3215" t="e">
        <f t="shared" ca="1" si="1"/>
        <v>#REF!</v>
      </c>
      <c r="F9" s="3215" t="e">
        <f t="shared" ca="1" si="2"/>
        <v>#REF!</v>
      </c>
      <c r="G9" s="3212"/>
      <c r="H9" s="3212"/>
      <c r="I9" s="3212"/>
      <c r="J9" s="3212"/>
      <c r="K9" s="3212"/>
      <c r="L9" s="3212"/>
      <c r="M9" s="3212"/>
      <c r="N9" s="3212"/>
    </row>
    <row r="10" spans="1:14" ht="14.25">
      <c r="A10" s="3220"/>
      <c r="B10" s="3222" t="e">
        <f t="shared" ca="1" si="0"/>
        <v>#REF!</v>
      </c>
      <c r="C10" s="3217" t="s">
        <v>2882</v>
      </c>
      <c r="D10" s="3214"/>
      <c r="E10" s="3215" t="e">
        <f t="shared" ca="1" si="1"/>
        <v>#REF!</v>
      </c>
      <c r="F10" s="3215" t="e">
        <f t="shared" ca="1" si="2"/>
        <v>#REF!</v>
      </c>
      <c r="G10" s="3212"/>
      <c r="H10" s="3212"/>
      <c r="I10" s="3212"/>
      <c r="J10" s="3212"/>
      <c r="K10" s="3212"/>
      <c r="L10" s="3212"/>
      <c r="M10" s="3212"/>
      <c r="N10" s="3212"/>
    </row>
    <row r="11" spans="1:14" ht="14.25">
      <c r="A11" s="3220"/>
      <c r="B11" s="3222" t="e">
        <f t="shared" ca="1" si="0"/>
        <v>#REF!</v>
      </c>
      <c r="C11" s="3217" t="s">
        <v>2882</v>
      </c>
      <c r="D11" s="3214"/>
      <c r="E11" s="3215" t="e">
        <f t="shared" ca="1" si="1"/>
        <v>#REF!</v>
      </c>
      <c r="F11" s="3215" t="e">
        <f t="shared" ca="1" si="2"/>
        <v>#REF!</v>
      </c>
      <c r="G11" s="3212"/>
      <c r="H11" s="3212"/>
      <c r="I11" s="3212"/>
      <c r="J11" s="3212"/>
      <c r="K11" s="3212"/>
      <c r="L11" s="3212"/>
      <c r="M11" s="3212"/>
      <c r="N11" s="3212"/>
    </row>
    <row r="12" spans="1:14" ht="14.25">
      <c r="A12" s="3220"/>
      <c r="B12" s="3222" t="e">
        <f t="shared" ca="1" si="0"/>
        <v>#REF!</v>
      </c>
      <c r="C12" s="3217" t="s">
        <v>2882</v>
      </c>
      <c r="D12" s="3214"/>
      <c r="E12" s="3215" t="e">
        <f t="shared" ca="1" si="1"/>
        <v>#REF!</v>
      </c>
      <c r="F12" s="3215" t="e">
        <f t="shared" ca="1" si="2"/>
        <v>#REF!</v>
      </c>
      <c r="G12" s="3212"/>
      <c r="H12" s="3212"/>
      <c r="I12" s="3212"/>
      <c r="J12" s="3212"/>
      <c r="K12" s="3212"/>
      <c r="L12" s="3212"/>
      <c r="M12" s="3212"/>
      <c r="N12" s="3212"/>
    </row>
    <row r="13" spans="1:14" ht="14.25">
      <c r="A13" s="3220"/>
      <c r="B13" s="3222" t="e">
        <f t="shared" ca="1" si="0"/>
        <v>#REF!</v>
      </c>
      <c r="C13" s="3217" t="s">
        <v>2882</v>
      </c>
      <c r="D13" s="3214"/>
      <c r="E13" s="3215" t="e">
        <f t="shared" ca="1" si="1"/>
        <v>#REF!</v>
      </c>
      <c r="F13" s="3215" t="e">
        <f t="shared" ca="1" si="2"/>
        <v>#REF!</v>
      </c>
      <c r="G13" s="3212"/>
      <c r="H13" s="3212"/>
      <c r="I13" s="3212"/>
      <c r="J13" s="3212"/>
      <c r="K13" s="3212"/>
      <c r="L13" s="3212"/>
      <c r="M13" s="3212"/>
      <c r="N13" s="3212"/>
    </row>
    <row r="14" spans="1:14" ht="14.25">
      <c r="A14" s="3221"/>
      <c r="B14" s="3222" t="e">
        <f t="shared" ca="1" si="0"/>
        <v>#REF!</v>
      </c>
      <c r="C14" s="3217" t="s">
        <v>2882</v>
      </c>
      <c r="D14" s="3214"/>
      <c r="E14" s="3215" t="e">
        <f t="shared" ca="1" si="1"/>
        <v>#REF!</v>
      </c>
      <c r="F14" s="3215" t="e">
        <f t="shared" ca="1" si="2"/>
        <v>#REF!</v>
      </c>
      <c r="G14" s="3212"/>
      <c r="H14" s="3212"/>
      <c r="I14" s="3212"/>
      <c r="J14" s="3212"/>
      <c r="K14" s="3212"/>
      <c r="L14" s="3212"/>
      <c r="M14" s="3212"/>
      <c r="N14" s="3212"/>
    </row>
    <row r="15" spans="1:14">
      <c r="A15" s="3212"/>
      <c r="B15" s="3212"/>
      <c r="C15" s="3212"/>
      <c r="D15" s="3212"/>
      <c r="E15" s="3212"/>
      <c r="F15" s="3212"/>
      <c r="G15" s="3212"/>
      <c r="H15" s="3212"/>
      <c r="I15" s="3212"/>
      <c r="J15" s="3212"/>
      <c r="K15" s="3212"/>
      <c r="L15" s="3212"/>
      <c r="M15" s="3212"/>
      <c r="N15" s="3212"/>
    </row>
    <row r="16" spans="1:14">
      <c r="A16" s="3212"/>
      <c r="B16" s="3212"/>
      <c r="C16" s="3212"/>
      <c r="D16" s="3212"/>
      <c r="E16" s="3212"/>
      <c r="F16" s="3212"/>
      <c r="G16" s="3212"/>
      <c r="H16" s="3212"/>
      <c r="I16" s="3212"/>
      <c r="J16" s="3212"/>
      <c r="K16" s="3212"/>
      <c r="L16" s="3212"/>
      <c r="M16" s="3212"/>
      <c r="N16" s="3212"/>
    </row>
    <row r="17" spans="1:14">
      <c r="A17" s="3212"/>
      <c r="B17" s="3212"/>
      <c r="C17" s="3212"/>
      <c r="D17" s="3212"/>
      <c r="E17" s="3212"/>
      <c r="F17" s="3212"/>
      <c r="G17" s="3212"/>
      <c r="H17" s="3212"/>
      <c r="I17" s="3212"/>
      <c r="J17" s="3212"/>
      <c r="K17" s="3212"/>
      <c r="L17" s="3212"/>
      <c r="M17" s="3212"/>
      <c r="N17" s="3212"/>
    </row>
    <row r="18" spans="1:14">
      <c r="A18" s="3212"/>
      <c r="B18" s="3212"/>
      <c r="C18" s="3212"/>
      <c r="D18" s="3212"/>
      <c r="E18" s="3212"/>
      <c r="F18" s="3212"/>
      <c r="G18" s="3212"/>
      <c r="H18" s="3212"/>
      <c r="I18" s="3212"/>
      <c r="J18" s="3212"/>
      <c r="K18" s="3212"/>
      <c r="L18" s="3212"/>
      <c r="M18" s="3212"/>
      <c r="N18" s="3212"/>
    </row>
    <row r="19" spans="1:14">
      <c r="A19" s="3212"/>
      <c r="B19" s="3212"/>
      <c r="C19" s="3212"/>
      <c r="D19" s="3212"/>
      <c r="E19" s="3212"/>
      <c r="F19" s="3212"/>
      <c r="G19" s="3212"/>
      <c r="H19" s="3212"/>
      <c r="I19" s="3212"/>
      <c r="J19" s="3212"/>
      <c r="K19" s="3212"/>
      <c r="L19" s="3212"/>
      <c r="M19" s="3212"/>
      <c r="N19" s="3212"/>
    </row>
    <row r="20" spans="1:14">
      <c r="A20" s="3212"/>
      <c r="B20" s="3212"/>
      <c r="C20" s="3212"/>
      <c r="D20" s="3212"/>
      <c r="E20" s="3212"/>
      <c r="F20" s="3212"/>
      <c r="G20" s="3212"/>
      <c r="H20" s="3212"/>
      <c r="I20" s="3212"/>
      <c r="J20" s="3212"/>
      <c r="K20" s="3212"/>
      <c r="L20" s="3212"/>
      <c r="M20" s="3212"/>
      <c r="N20" s="3212"/>
    </row>
    <row r="21" spans="1:14">
      <c r="A21" s="3212"/>
      <c r="B21" s="3212"/>
      <c r="C21" s="3212"/>
      <c r="D21" s="3212"/>
      <c r="E21" s="3212"/>
      <c r="F21" s="3212"/>
      <c r="G21" s="3212"/>
      <c r="H21" s="3212"/>
      <c r="I21" s="3212"/>
      <c r="J21" s="3212"/>
      <c r="K21" s="3212"/>
      <c r="L21" s="3212"/>
      <c r="M21" s="3212"/>
      <c r="N21" s="3212"/>
    </row>
    <row r="22" spans="1:14">
      <c r="A22" s="3212"/>
      <c r="B22" s="3212"/>
      <c r="C22" s="3212"/>
      <c r="D22" s="3212"/>
      <c r="E22" s="3212"/>
      <c r="F22" s="3212"/>
      <c r="G22" s="3212"/>
      <c r="H22" s="3212"/>
      <c r="I22" s="3212"/>
      <c r="J22" s="3212"/>
      <c r="K22" s="3212"/>
      <c r="L22" s="3212"/>
      <c r="M22" s="3212"/>
      <c r="N22" s="3212"/>
    </row>
    <row r="23" spans="1:14">
      <c r="A23" s="3212"/>
      <c r="B23" s="3212"/>
      <c r="C23" s="3212"/>
      <c r="D23" s="3212"/>
      <c r="E23" s="3212"/>
      <c r="F23" s="3212"/>
      <c r="G23" s="3212"/>
      <c r="H23" s="3212"/>
      <c r="I23" s="3212"/>
      <c r="J23" s="3212"/>
      <c r="K23" s="3212"/>
      <c r="L23" s="3212"/>
      <c r="M23" s="3212"/>
      <c r="N23" s="3212"/>
    </row>
    <row r="24" spans="1:14">
      <c r="A24" s="3212"/>
      <c r="B24" s="3212"/>
      <c r="C24" s="3212"/>
      <c r="D24" s="3212"/>
      <c r="E24" s="3212"/>
      <c r="F24" s="3212"/>
      <c r="G24" s="3212"/>
      <c r="H24" s="3212"/>
      <c r="I24" s="3212"/>
      <c r="J24" s="3212"/>
      <c r="K24" s="3212"/>
      <c r="L24" s="3212"/>
      <c r="M24" s="3212"/>
      <c r="N24" s="3212"/>
    </row>
    <row r="25" spans="1:14">
      <c r="A25" s="3212"/>
      <c r="B25" s="3212"/>
      <c r="C25" s="3212"/>
      <c r="D25" s="3212"/>
      <c r="E25" s="3212"/>
      <c r="F25" s="3212"/>
      <c r="G25" s="3212"/>
      <c r="H25" s="3212"/>
      <c r="I25" s="3212"/>
      <c r="J25" s="3212"/>
      <c r="K25" s="3212"/>
      <c r="L25" s="3212"/>
      <c r="M25" s="3212"/>
      <c r="N25" s="3212"/>
    </row>
    <row r="26" spans="1:14">
      <c r="A26" s="3212"/>
      <c r="B26" s="3212"/>
      <c r="C26" s="3212"/>
      <c r="D26" s="3212"/>
      <c r="E26" s="3212"/>
      <c r="F26" s="3212"/>
      <c r="G26" s="3212"/>
      <c r="H26" s="3212"/>
      <c r="I26" s="3212"/>
      <c r="J26" s="3212"/>
      <c r="K26" s="3212"/>
      <c r="L26" s="3212"/>
      <c r="M26" s="3212"/>
      <c r="N26" s="3212"/>
    </row>
    <row r="27" spans="1:14">
      <c r="A27" s="3212"/>
      <c r="B27" s="3212"/>
      <c r="C27" s="3212"/>
      <c r="D27" s="3212"/>
      <c r="E27" s="3212"/>
      <c r="F27" s="3212"/>
      <c r="G27" s="3212"/>
      <c r="H27" s="3212"/>
      <c r="I27" s="3212"/>
      <c r="J27" s="3212"/>
      <c r="K27" s="3212"/>
      <c r="L27" s="3212"/>
      <c r="M27" s="3212"/>
      <c r="N27" s="3212"/>
    </row>
    <row r="28" spans="1:14">
      <c r="A28" s="3212"/>
      <c r="B28" s="3212"/>
      <c r="C28" s="3212"/>
      <c r="D28" s="3212"/>
      <c r="E28" s="3212"/>
      <c r="F28" s="3212"/>
      <c r="G28" s="3212"/>
      <c r="H28" s="3212"/>
      <c r="I28" s="3212"/>
      <c r="J28" s="3212"/>
      <c r="K28" s="3212"/>
      <c r="L28" s="3212"/>
      <c r="M28" s="3212"/>
      <c r="N28" s="3212"/>
    </row>
    <row r="29" spans="1:14">
      <c r="A29" s="3212"/>
      <c r="B29" s="3212"/>
      <c r="C29" s="3212"/>
      <c r="D29" s="3212"/>
      <c r="E29" s="3212"/>
      <c r="F29" s="3212"/>
      <c r="G29" s="3212"/>
      <c r="H29" s="3212"/>
      <c r="I29" s="3212"/>
      <c r="J29" s="3212"/>
      <c r="K29" s="3212"/>
      <c r="L29" s="3212"/>
      <c r="M29" s="3212"/>
      <c r="N29" s="3212"/>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2" customWidth="1"/>
    <col min="2" max="2" width="20.625" style="1953" customWidth="1"/>
    <col min="3" max="3" width="11.875" style="1953" customWidth="1"/>
    <col min="4" max="4" width="40.375" style="1915" customWidth="1"/>
    <col min="5" max="5" width="15.75" style="1915" customWidth="1"/>
    <col min="6" max="6" width="10.625" style="1915" customWidth="1"/>
    <col min="7" max="7" width="4.875" style="1915" customWidth="1"/>
    <col min="8" max="8" width="8.37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375" style="1914" bestFit="1" customWidth="1"/>
    <col min="15" max="15" width="8.375" style="1914" customWidth="1"/>
    <col min="16" max="16" width="30.25" style="1914" customWidth="1"/>
    <col min="17" max="17" width="13.75" style="1914" customWidth="1"/>
    <col min="18" max="18" width="22.25" style="1914" customWidth="1"/>
    <col min="19" max="19" width="1.375" style="1914" customWidth="1"/>
    <col min="20" max="25" width="9" style="1914"/>
    <col min="26" max="16384" width="9" style="1915"/>
  </cols>
  <sheetData>
    <row r="1" spans="1:25" s="1909" customFormat="1" ht="21">
      <c r="A1" s="744" t="s">
        <v>606</v>
      </c>
      <c r="B1" s="712"/>
      <c r="C1" s="745"/>
      <c r="D1" s="1905"/>
      <c r="E1" s="2213" t="s">
        <v>2336</v>
      </c>
      <c r="F1" s="2214">
        <f ca="1">J54</f>
        <v>-1.5</v>
      </c>
      <c r="G1" s="746">
        <f>MATCH(C1,'数据-取费表'!A6:A16,0)+5</f>
        <v>7</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1661</v>
      </c>
      <c r="B3" s="1314">
        <f ca="1">ROUND(B2*10000/'数据-汇总表'!E3,0)</f>
        <v>0</v>
      </c>
      <c r="C3" s="1278"/>
      <c r="D3" s="1910"/>
      <c r="E3" s="1911"/>
      <c r="F3" s="1911"/>
      <c r="G3" s="1499"/>
      <c r="H3" s="748" t="s">
        <v>673</v>
      </c>
      <c r="I3" s="1912"/>
      <c r="J3" s="1912"/>
      <c r="K3" s="1913"/>
      <c r="L3" s="1912"/>
      <c r="M3" s="1912"/>
    </row>
    <row r="4" spans="1:25" ht="18" customHeight="1">
      <c r="A4" s="1548" t="s">
        <v>674</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8" t="s">
        <v>2415</v>
      </c>
      <c r="E7" s="2312"/>
      <c r="F7" s="2313"/>
      <c r="G7" s="1501"/>
      <c r="H7" s="753">
        <v>1</v>
      </c>
      <c r="I7" s="754" t="s">
        <v>2412</v>
      </c>
      <c r="J7" s="53">
        <f ca="1">J8+J12+J14</f>
        <v>0</v>
      </c>
      <c r="K7" s="2318" t="s">
        <v>2415</v>
      </c>
      <c r="L7" s="2312"/>
      <c r="M7" s="2313"/>
    </row>
    <row r="8" spans="1:25" ht="18" customHeight="1">
      <c r="A8" s="1718" t="s">
        <v>1799</v>
      </c>
      <c r="B8" s="3679" t="s">
        <v>2417</v>
      </c>
      <c r="C8" s="1713">
        <f ca="1">ROUND(F8*F10*F9*(1-F11)/10000,0)</f>
        <v>0</v>
      </c>
      <c r="D8" s="1710" t="s">
        <v>2488</v>
      </c>
      <c r="E8" s="61" t="s">
        <v>615</v>
      </c>
      <c r="F8" s="757">
        <f ca="1">INDIRECT("'数据-取费表'!u"&amp;$G$1)</f>
        <v>0</v>
      </c>
      <c r="G8" s="1501"/>
      <c r="H8" s="2326" t="s">
        <v>1799</v>
      </c>
      <c r="I8" s="3679" t="s">
        <v>2417</v>
      </c>
      <c r="J8" s="755">
        <f ca="1">ROUND(M8*M10*M9*(1-M11)/10000,0)</f>
        <v>0</v>
      </c>
      <c r="K8" s="339" t="s">
        <v>2488</v>
      </c>
      <c r="L8" s="756" t="s">
        <v>1713</v>
      </c>
      <c r="M8" s="757">
        <f ca="1">INDIRECT("'数据-取费表'!z"&amp;$G$1)</f>
        <v>0</v>
      </c>
    </row>
    <row r="9" spans="1:25" ht="18" customHeight="1">
      <c r="A9" s="2322"/>
      <c r="B9" s="3680"/>
      <c r="C9" s="1714"/>
      <c r="D9" s="1711"/>
      <c r="E9" s="61" t="s">
        <v>616</v>
      </c>
      <c r="F9" s="757">
        <f ca="1">IF(INDIRECT("'数据-取费表'!ah"&amp;$G$1)="",INDIRECT("'数据-取费表'!k"&amp;$G$1),INDIRECT("'数据-取费表'!ah"&amp;$G$1))</f>
        <v>0</v>
      </c>
      <c r="G9" s="1501"/>
      <c r="H9" s="2311"/>
      <c r="I9" s="3680"/>
      <c r="J9" s="760"/>
      <c r="K9" s="761"/>
      <c r="L9" s="756" t="s">
        <v>1714</v>
      </c>
      <c r="M9" s="757">
        <f ca="1">F9</f>
        <v>0</v>
      </c>
    </row>
    <row r="10" spans="1:25" ht="18" customHeight="1">
      <c r="A10" s="2315"/>
      <c r="B10" s="3681"/>
      <c r="C10" s="1714"/>
      <c r="D10" s="1711"/>
      <c r="E10" s="61" t="s">
        <v>617</v>
      </c>
      <c r="F10" s="757">
        <f ca="1">INDIRECT("'数据-取费表'!ai"&amp;$G$1)</f>
        <v>0</v>
      </c>
      <c r="G10" s="1501"/>
      <c r="H10" s="2311"/>
      <c r="I10" s="3681"/>
      <c r="J10" s="760"/>
      <c r="K10" s="761"/>
      <c r="L10" s="756" t="s">
        <v>1715</v>
      </c>
      <c r="M10" s="757">
        <f ca="1">INDIRECT("'数据-取费表'!ai"&amp;$G$1)</f>
        <v>0</v>
      </c>
    </row>
    <row r="11" spans="1:25" ht="18" customHeight="1">
      <c r="A11" s="758"/>
      <c r="B11" s="3682"/>
      <c r="C11" s="1714"/>
      <c r="D11" s="1711"/>
      <c r="E11" s="61" t="s">
        <v>618</v>
      </c>
      <c r="F11" s="766">
        <f ca="1">INDIRECT("'数据-取费表'!w"&amp;$G$1)</f>
        <v>0</v>
      </c>
      <c r="G11" s="1501"/>
      <c r="H11" s="2327"/>
      <c r="I11" s="3681"/>
      <c r="J11" s="760"/>
      <c r="K11" s="761"/>
      <c r="L11" s="767" t="s">
        <v>1716</v>
      </c>
      <c r="M11" s="768">
        <f ca="1">INDIRECT("'数据-取费表'!ab"&amp;$G$1)</f>
        <v>0</v>
      </c>
    </row>
    <row r="12" spans="1:25" ht="18" customHeight="1">
      <c r="A12" s="1718" t="s">
        <v>1800</v>
      </c>
      <c r="B12" s="2316" t="s">
        <v>2413</v>
      </c>
      <c r="C12" s="771">
        <f ca="1">ROUND(IF(F12="押一",C8/12*F13,IF(F12="押二",C8/12*2*F13,IF(F12="押三",C8/12*3*F13,C13*F13))),0)</f>
        <v>0</v>
      </c>
      <c r="D12" s="2323" t="s">
        <v>2907</v>
      </c>
      <c r="E12" s="2320" t="s">
        <v>2418</v>
      </c>
      <c r="F12" s="2433"/>
      <c r="G12" s="1501"/>
      <c r="H12" s="2383" t="s">
        <v>1800</v>
      </c>
      <c r="I12" s="2388" t="s">
        <v>2413</v>
      </c>
      <c r="J12" s="755">
        <f ca="1">ROUND(IF(M12="押一",J8/12*M13,IF(M12="押二",J8/12*2*M13,IF(M12="押三",J8/12*3*M13,J13*M13))),0)</f>
        <v>0</v>
      </c>
      <c r="K12" s="2323" t="s">
        <v>2907</v>
      </c>
      <c r="L12" s="2320" t="s">
        <v>2418</v>
      </c>
      <c r="M12" s="2433"/>
    </row>
    <row r="13" spans="1:25" ht="18" customHeight="1">
      <c r="A13" s="762"/>
      <c r="B13" s="2317" t="s">
        <v>2527</v>
      </c>
      <c r="C13" s="2321"/>
      <c r="D13" s="761"/>
      <c r="E13" s="2320" t="s">
        <v>2410</v>
      </c>
      <c r="F13" s="768">
        <f ca="1">'数据-取费表'!B39</f>
        <v>1.4999999999999999E-2</v>
      </c>
      <c r="G13" s="1501"/>
      <c r="H13" s="2384"/>
      <c r="I13" s="2317" t="s">
        <v>2527</v>
      </c>
      <c r="J13" s="2321"/>
      <c r="K13" s="2385"/>
      <c r="L13" s="2320" t="s">
        <v>2410</v>
      </c>
      <c r="M13" s="2314">
        <f ca="1">'数据-取费表'!B39</f>
        <v>1.4999999999999999E-2</v>
      </c>
    </row>
    <row r="14" spans="1:25" ht="18" customHeight="1" thickBot="1">
      <c r="A14" s="2359" t="s">
        <v>2421</v>
      </c>
      <c r="B14" s="2360" t="s">
        <v>2414</v>
      </c>
      <c r="C14" s="2361"/>
      <c r="D14" s="2362"/>
      <c r="E14" s="2363"/>
      <c r="F14" s="2364"/>
      <c r="G14" s="1501"/>
      <c r="H14" s="2373" t="s">
        <v>2421</v>
      </c>
      <c r="I14" s="2386" t="s">
        <v>2414</v>
      </c>
      <c r="J14" s="2387"/>
      <c r="K14" s="2362"/>
      <c r="L14" s="2363"/>
      <c r="M14" s="2376"/>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5" t="s">
        <v>624</v>
      </c>
      <c r="E16" s="1866"/>
      <c r="F16" s="777"/>
      <c r="G16" s="1501"/>
      <c r="H16" s="775" t="s">
        <v>2036</v>
      </c>
      <c r="I16" s="2082" t="s">
        <v>2777</v>
      </c>
      <c r="J16" s="53">
        <f ca="1">C31</f>
        <v>0</v>
      </c>
      <c r="K16" s="26"/>
      <c r="L16" s="773"/>
      <c r="M16" s="774"/>
    </row>
    <row r="17" spans="1:25" s="1919"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8"/>
      <c r="M18" s="56"/>
    </row>
    <row r="19" spans="1:25" s="1919" customFormat="1" ht="18" customHeight="1">
      <c r="A19" s="775" t="s">
        <v>1826</v>
      </c>
      <c r="B19" s="756" t="s">
        <v>631</v>
      </c>
      <c r="C19" s="53">
        <f ca="1">ROUND(F19*(INDIRECT("'数据-取费表'!k"&amp;$G$1)+INDIRECT("'数据-取费表'!S"&amp;$G$1))/10000,0)</f>
        <v>0</v>
      </c>
      <c r="D19" s="756" t="s">
        <v>632</v>
      </c>
      <c r="E19" s="756" t="s">
        <v>633</v>
      </c>
      <c r="F19" s="56">
        <f>'数据-取费表'!B35</f>
        <v>200</v>
      </c>
      <c r="G19" s="1502"/>
      <c r="H19" s="775" t="s">
        <v>2036</v>
      </c>
      <c r="I19" s="756" t="s">
        <v>634</v>
      </c>
      <c r="J19" s="2985">
        <f ca="1">ROUND(IF(AND(项目基本情况!B11="自然人",项目基本情况!B10="北京市"),J8*M19/(1+'数据-取费表'!C42),J20+J21+J22),0)</f>
        <v>0</v>
      </c>
      <c r="K19" s="1865" t="s">
        <v>635</v>
      </c>
      <c r="L19" s="1863" t="s">
        <v>636</v>
      </c>
      <c r="M19" s="2984">
        <f ca="1">IF(项目基本情况!B11="企业","——",IF('数据-取费表'!B10="住宅",IF(M8*M9*M10/12/(1+'数据-取费表'!F30)&gt;100000,4%,2.5%),IF(M8*M9*M10/12/(1+'数据-取费表'!F30)&gt;100000,12%,7%)))</f>
        <v>7.0000000000000007E-2</v>
      </c>
      <c r="N19" s="1918"/>
      <c r="O19" s="1918"/>
      <c r="P19" s="1918"/>
      <c r="Q19" s="1918"/>
      <c r="R19" s="1918"/>
      <c r="S19" s="1918"/>
      <c r="T19" s="1918"/>
      <c r="U19" s="1918"/>
      <c r="V19" s="1918"/>
      <c r="W19" s="1918"/>
      <c r="X19" s="1918"/>
      <c r="Y19" s="1918"/>
    </row>
    <row r="20" spans="1:25" s="1919"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3" t="s">
        <v>639</v>
      </c>
      <c r="L20" s="756" t="s">
        <v>627</v>
      </c>
      <c r="M20" s="781">
        <f>'数据-取费表'!B41</f>
        <v>5.6000000000000001E-2</v>
      </c>
      <c r="N20" s="1918"/>
      <c r="O20" s="1918"/>
      <c r="P20" s="1918"/>
      <c r="Q20" s="1918"/>
      <c r="R20" s="1918"/>
      <c r="S20" s="1918"/>
      <c r="T20" s="1918"/>
      <c r="U20" s="1918"/>
      <c r="V20" s="1918"/>
      <c r="W20" s="1918"/>
      <c r="X20" s="1918"/>
      <c r="Y20" s="1918"/>
    </row>
    <row r="21" spans="1:25" ht="18" customHeight="1">
      <c r="A21" s="775" t="s">
        <v>1845</v>
      </c>
      <c r="B21" s="756" t="s">
        <v>640</v>
      </c>
      <c r="C21" s="53">
        <f ca="1">SUM(C16:C20)</f>
        <v>0</v>
      </c>
      <c r="D21" s="259" t="s">
        <v>641</v>
      </c>
      <c r="E21" s="1868"/>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9" customFormat="1" ht="18" customHeight="1">
      <c r="A22" s="775" t="s">
        <v>1846</v>
      </c>
      <c r="B22" s="756" t="s">
        <v>644</v>
      </c>
      <c r="C22" s="53">
        <f ca="1">ROUND(C21*F22,0)</f>
        <v>0</v>
      </c>
      <c r="D22" s="783" t="s">
        <v>645</v>
      </c>
      <c r="E22" s="756" t="s">
        <v>627</v>
      </c>
      <c r="F22" s="781">
        <f>'数据-取费表'!B37</f>
        <v>0.01</v>
      </c>
      <c r="G22" s="1502"/>
      <c r="H22" s="1720" t="s">
        <v>1825</v>
      </c>
      <c r="I22" s="1710" t="s">
        <v>646</v>
      </c>
      <c r="J22" s="54">
        <f ca="1">ROUND(M22*M23/10000,0)</f>
        <v>0</v>
      </c>
      <c r="K22" s="785" t="s">
        <v>647</v>
      </c>
      <c r="L22" s="756" t="s">
        <v>648</v>
      </c>
      <c r="M22" s="614">
        <f>'数据-取费表'!B52</f>
        <v>1.5</v>
      </c>
      <c r="N22" s="1918"/>
      <c r="O22" s="1918"/>
      <c r="P22" s="1918"/>
      <c r="Q22" s="1918"/>
      <c r="R22" s="1918"/>
      <c r="S22" s="1918"/>
      <c r="T22" s="1918"/>
      <c r="U22" s="1918"/>
      <c r="V22" s="1918"/>
      <c r="W22" s="1918"/>
      <c r="X22" s="1918"/>
      <c r="Y22" s="1918"/>
    </row>
    <row r="23" spans="1:25" s="1919" customFormat="1" ht="18" customHeight="1">
      <c r="A23" s="775" t="s">
        <v>1847</v>
      </c>
      <c r="B23" s="756" t="s">
        <v>649</v>
      </c>
      <c r="C23" s="53" t="s">
        <v>1</v>
      </c>
      <c r="D23" s="783" t="s">
        <v>650</v>
      </c>
      <c r="E23" s="756" t="s">
        <v>651</v>
      </c>
      <c r="F23" s="781">
        <f>'数据-取费表'!B38</f>
        <v>0.01</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1848</v>
      </c>
      <c r="B24" s="756" t="s">
        <v>653</v>
      </c>
      <c r="C24" s="53"/>
      <c r="D24" s="2392" t="str">
        <f>IF(F25&lt;=1,"单利计息。","复利计息。")&amp;"建造成本、管理费用、销售费用产生的利息。"</f>
        <v>复利计息。建造成本、管理费用、销售费用产生的利息。</v>
      </c>
      <c r="E24" s="1868"/>
      <c r="F24" s="56"/>
      <c r="G24" s="1501"/>
      <c r="H24" s="1719" t="s">
        <v>2037</v>
      </c>
      <c r="I24" s="756" t="s">
        <v>654</v>
      </c>
      <c r="J24" s="53">
        <f ca="1">ROUND(J16*M24,0)</f>
        <v>0</v>
      </c>
      <c r="K24" s="1863" t="s">
        <v>655</v>
      </c>
      <c r="L24" s="756" t="s">
        <v>627</v>
      </c>
      <c r="M24" s="788">
        <f ca="1">INDIRECT("'数据-取费表'!Ak"&amp;$G$1)</f>
        <v>0</v>
      </c>
    </row>
    <row r="25" spans="1:25" s="1919" customFormat="1" ht="18" customHeight="1">
      <c r="A25" s="775" t="s">
        <v>1844</v>
      </c>
      <c r="B25" s="756" t="s">
        <v>2393</v>
      </c>
      <c r="C25" s="53">
        <f ca="1">ROUND(IF('数据-取费表'!B22&lt;=1,(C21+C22)*F26*F25/2,(C21+C22)*(POWER((1+F26),F25/2)-1)),0)</f>
        <v>0</v>
      </c>
      <c r="D25" s="2391" t="str">
        <f>IF(F25&lt;=1,"(建造成本+管理费用)×利率×(建设周期÷2)","(建造成本+管理费用)×((1+利率)^(建设周期÷2)-1)")</f>
        <v>(建造成本+管理费用)×((1+利率)^(建设周期÷2)-1)</v>
      </c>
      <c r="E25" s="756" t="s">
        <v>656</v>
      </c>
      <c r="F25" s="614">
        <f>'数据-取费表'!B20</f>
        <v>1.5</v>
      </c>
      <c r="G25" s="1502"/>
      <c r="H25" s="775" t="s">
        <v>1847</v>
      </c>
      <c r="I25" s="756" t="s">
        <v>657</v>
      </c>
      <c r="J25" s="53">
        <f ca="1">ROUND(J15*M25,0)</f>
        <v>0</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1824</v>
      </c>
      <c r="B26" s="756" t="s">
        <v>659</v>
      </c>
      <c r="C26" s="53">
        <f ca="1">ROUND(IF('数据-取费表'!B22&lt;=1,F23*F26*F25/2,F23*(POWER((1+F26),F25/2)-1)),4)</f>
        <v>4.0000000000000002E-4</v>
      </c>
      <c r="D26" s="2391" t="str">
        <f>IF(F25&lt;=1,"销售费用×利率×(建设周期÷2)","销售费用×((1+利率)^(建设周期÷2)-1)")</f>
        <v>销售费用×((1+利率)^(建设周期÷2)-1)</v>
      </c>
      <c r="E26" s="756" t="s">
        <v>660</v>
      </c>
      <c r="F26" s="790">
        <f ca="1">'数据-取费表'!B40</f>
        <v>4.7500000000000001E-2</v>
      </c>
      <c r="G26" s="1502"/>
      <c r="H26" s="775" t="s">
        <v>1848</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1850</v>
      </c>
      <c r="B27" s="756" t="s">
        <v>662</v>
      </c>
      <c r="C27" s="53"/>
      <c r="D27" s="259" t="s">
        <v>663</v>
      </c>
      <c r="E27" s="1868"/>
      <c r="F27" s="56"/>
      <c r="G27" s="1501"/>
      <c r="H27" s="769" t="s">
        <v>1803</v>
      </c>
      <c r="I27" s="2692" t="s">
        <v>2774</v>
      </c>
      <c r="J27" s="771">
        <f ca="1">J7-J18</f>
        <v>0</v>
      </c>
      <c r="K27" s="1865" t="s">
        <v>678</v>
      </c>
      <c r="L27" s="1867"/>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1851</v>
      </c>
      <c r="B30" s="756" t="s">
        <v>665</v>
      </c>
      <c r="C30" s="53">
        <f>ROUND(F30/(1+'数据-取费表'!C42),4)</f>
        <v>5.33E-2</v>
      </c>
      <c r="D30" s="783" t="s">
        <v>687</v>
      </c>
      <c r="E30" s="756" t="s">
        <v>627</v>
      </c>
      <c r="F30" s="781">
        <f>'数据-取费表'!B41</f>
        <v>5.6000000000000001E-2</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1852</v>
      </c>
      <c r="B31" s="2363" t="s">
        <v>2775</v>
      </c>
      <c r="C31" s="2366">
        <f ca="1">ROUND((C21+C22+C25+C28)/(1-F23-C26-C29-C30),0)</f>
        <v>0</v>
      </c>
      <c r="D31" s="2367"/>
      <c r="E31" s="2368"/>
      <c r="F31" s="2369"/>
      <c r="G31" s="1502"/>
      <c r="H31" s="794" t="s">
        <v>1841</v>
      </c>
      <c r="I31" s="2693" t="s">
        <v>2776</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f ca="1">ROUND(C33+C38+C39+C40,0)</f>
        <v>0</v>
      </c>
      <c r="D32" s="1709" t="s">
        <v>630</v>
      </c>
      <c r="E32" s="2309"/>
      <c r="F32" s="2313"/>
      <c r="G32" s="1917"/>
      <c r="H32" s="1920"/>
      <c r="I32" s="1921"/>
      <c r="J32" s="1922"/>
      <c r="K32" s="1923"/>
      <c r="L32" s="1924"/>
      <c r="M32" s="1925"/>
    </row>
    <row r="33" spans="1:18" ht="18" customHeight="1">
      <c r="A33" s="775" t="s">
        <v>1845</v>
      </c>
      <c r="B33" s="756" t="s">
        <v>634</v>
      </c>
      <c r="C33" s="2985">
        <f ca="1">ROUND(IF(AND(项目基本情况!B11="自然人",项目基本情况!B10="北京市"),C8*F33/(1+'数据-取费表'!C42),C34+C35+C36),0)</f>
        <v>0</v>
      </c>
      <c r="D33" s="1865" t="s">
        <v>635</v>
      </c>
      <c r="E33" s="1863" t="s">
        <v>668</v>
      </c>
      <c r="F33" s="2984">
        <f ca="1">IF(项目基本情况!B11="企业","——",IF('数据-取费表'!B10="住宅",IF(F8*F9*F10/12/(1+'数据-取费表'!F30)&gt;100000,4%,2.5%),IF(F8*F9*F10/12/(1+'数据-取费表'!F30)&gt;100000,12%,7%)))</f>
        <v>7.0000000000000007E-2</v>
      </c>
      <c r="G33" s="1917"/>
      <c r="H33" s="3223" t="s">
        <v>2961</v>
      </c>
      <c r="I33" s="1921"/>
      <c r="J33" s="1922"/>
      <c r="K33" s="1923"/>
      <c r="L33" s="1924"/>
      <c r="M33" s="1925"/>
    </row>
    <row r="34" spans="1:18" ht="18" customHeight="1">
      <c r="A34" s="775" t="s">
        <v>1844</v>
      </c>
      <c r="B34" s="756" t="s">
        <v>638</v>
      </c>
      <c r="C34" s="53">
        <f ca="1">ROUND(C8*F34/(1+'数据-取费表'!C42),1)</f>
        <v>0</v>
      </c>
      <c r="D34" s="1863" t="s">
        <v>639</v>
      </c>
      <c r="E34" s="756" t="s">
        <v>627</v>
      </c>
      <c r="F34" s="781">
        <f>'数据-取费表'!B41</f>
        <v>5.6000000000000001E-2</v>
      </c>
      <c r="G34" s="1917"/>
      <c r="H34" s="1926"/>
      <c r="I34" s="1927"/>
      <c r="J34" s="1928"/>
      <c r="K34" s="1929"/>
      <c r="L34" s="1930"/>
      <c r="M34" s="1931"/>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7"/>
      <c r="H35" s="1932"/>
      <c r="I35" s="1932"/>
      <c r="J35" s="1932"/>
      <c r="K35" s="1933"/>
      <c r="L35" s="1932"/>
      <c r="M35" s="1932"/>
    </row>
    <row r="36" spans="1:18" ht="18" customHeight="1">
      <c r="A36" s="784" t="s">
        <v>1849</v>
      </c>
      <c r="B36" s="339" t="s">
        <v>646</v>
      </c>
      <c r="C36" s="54">
        <f ca="1">ROUND(F36*F37/10000,1)</f>
        <v>0</v>
      </c>
      <c r="D36" s="785" t="s">
        <v>647</v>
      </c>
      <c r="E36" s="756" t="s">
        <v>648</v>
      </c>
      <c r="F36" s="614">
        <f>'数据-取费表'!B52</f>
        <v>1.5</v>
      </c>
      <c r="G36" s="1917"/>
      <c r="H36" s="1920"/>
      <c r="I36" s="3765"/>
      <c r="J36" s="1934"/>
      <c r="K36" s="1935"/>
      <c r="L36" s="1934"/>
      <c r="M36" s="1934"/>
    </row>
    <row r="37" spans="1:18" ht="18" customHeight="1">
      <c r="A37" s="786"/>
      <c r="B37" s="765"/>
      <c r="C37" s="69"/>
      <c r="D37" s="787"/>
      <c r="E37" s="756" t="s">
        <v>652</v>
      </c>
      <c r="F37" s="757">
        <f ca="1">INDIRECT("'数据-取费表'!r"&amp;$G$1)</f>
        <v>0</v>
      </c>
      <c r="G37" s="1917"/>
      <c r="H37" s="1920"/>
      <c r="I37" s="3765"/>
      <c r="J37" s="1932"/>
      <c r="K37" s="1933"/>
      <c r="L37" s="1932"/>
      <c r="M37" s="1932"/>
    </row>
    <row r="38" spans="1:18" ht="18" customHeight="1">
      <c r="A38" s="775" t="s">
        <v>1846</v>
      </c>
      <c r="B38" s="756" t="s">
        <v>654</v>
      </c>
      <c r="C38" s="53">
        <f ca="1">ROUND(C31*F38,1)</f>
        <v>0</v>
      </c>
      <c r="D38" s="1863" t="s">
        <v>669</v>
      </c>
      <c r="E38" s="756" t="s">
        <v>627</v>
      </c>
      <c r="F38" s="788">
        <f ca="1">INDIRECT("'数据-取费表'!Ak"&amp;$G$1)</f>
        <v>0</v>
      </c>
      <c r="G38" s="1917"/>
      <c r="H38" s="1932"/>
      <c r="I38" s="2988"/>
      <c r="J38" s="1872"/>
      <c r="K38" s="1936"/>
      <c r="L38" s="1932"/>
      <c r="M38" s="1932"/>
    </row>
    <row r="39" spans="1:18" ht="18" customHeight="1">
      <c r="A39" s="775" t="s">
        <v>1847</v>
      </c>
      <c r="B39" s="756" t="s">
        <v>657</v>
      </c>
      <c r="C39" s="53">
        <f ca="1">ROUND(C15*F39,1)</f>
        <v>0</v>
      </c>
      <c r="D39" s="1863" t="s">
        <v>658</v>
      </c>
      <c r="E39" s="756" t="s">
        <v>627</v>
      </c>
      <c r="F39" s="789">
        <f ca="1">INDIRECT("'数据-取费表'!Al"&amp;$G$1)</f>
        <v>0</v>
      </c>
      <c r="G39" s="1917"/>
      <c r="H39" s="1932"/>
      <c r="I39" s="2988"/>
      <c r="J39" s="1872"/>
      <c r="K39" s="1936"/>
      <c r="L39" s="1932"/>
      <c r="M39" s="1932"/>
    </row>
    <row r="40" spans="1:18" ht="18" customHeight="1" thickBot="1">
      <c r="A40" s="2382" t="s">
        <v>1848</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1845</v>
      </c>
      <c r="B42" s="806" t="s">
        <v>671</v>
      </c>
      <c r="C42" s="800">
        <f ca="1">C7-C32</f>
        <v>0</v>
      </c>
      <c r="D42" s="1865" t="s">
        <v>672</v>
      </c>
      <c r="E42" s="1867"/>
      <c r="F42" s="791"/>
      <c r="G42" s="1917"/>
      <c r="H42" s="1917"/>
      <c r="I42" s="1917"/>
      <c r="J42" s="1917"/>
      <c r="K42" s="1937"/>
      <c r="L42" s="1917"/>
      <c r="M42" s="1917"/>
    </row>
    <row r="43" spans="1:18" ht="18" customHeight="1">
      <c r="A43" s="775" t="s">
        <v>1846</v>
      </c>
      <c r="B43" s="806" t="s">
        <v>689</v>
      </c>
      <c r="C43" s="807">
        <f ca="1">ROUND(C15*F43,0)</f>
        <v>0</v>
      </c>
      <c r="D43" s="1283" t="s">
        <v>690</v>
      </c>
      <c r="E43" s="2761" t="s">
        <v>2897</v>
      </c>
      <c r="F43" s="2762">
        <f ca="1">INDIRECT("'数据-取费表'!j"&amp;$G$1)</f>
        <v>0</v>
      </c>
      <c r="G43" s="1917"/>
      <c r="H43" s="1917"/>
      <c r="I43" s="1917"/>
      <c r="J43" s="1917"/>
      <c r="K43" s="1937"/>
      <c r="L43" s="1917"/>
      <c r="M43" s="1917"/>
    </row>
    <row r="44" spans="1:18" ht="18" customHeight="1">
      <c r="A44" s="775" t="s">
        <v>1847</v>
      </c>
      <c r="B44" s="806" t="s">
        <v>691</v>
      </c>
      <c r="C44" s="1284">
        <f ca="1">C42-C43</f>
        <v>0</v>
      </c>
      <c r="D44" s="456" t="s">
        <v>692</v>
      </c>
      <c r="E44" s="457"/>
      <c r="F44" s="458"/>
      <c r="G44" s="1917"/>
      <c r="H44" s="1917"/>
      <c r="I44" s="1917"/>
      <c r="J44" s="1917"/>
      <c r="K44" s="1937"/>
      <c r="L44" s="1917"/>
      <c r="M44" s="1917"/>
    </row>
    <row r="45" spans="1:18" ht="18" customHeight="1">
      <c r="A45" s="775" t="s">
        <v>1848</v>
      </c>
      <c r="B45" s="1283" t="s">
        <v>693</v>
      </c>
      <c r="C45" s="2717">
        <f ca="1">ROUND(-PV(F45,F46,C44,0),0)</f>
        <v>0</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2900</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2305</v>
      </c>
      <c r="J47" s="2205"/>
      <c r="K47" s="2206"/>
      <c r="L47" s="2777" t="str">
        <f ca="1">IF(M48="住宅",0,IF(L49&gt;J52,L61,J61))</f>
        <v>0</v>
      </c>
      <c r="O47" s="2220" t="s">
        <v>2372</v>
      </c>
      <c r="P47" s="1501"/>
      <c r="Q47" s="1509"/>
      <c r="R47" s="1501"/>
    </row>
    <row r="48" spans="1:18" s="1914" customFormat="1" ht="18" customHeight="1" thickBot="1">
      <c r="A48" s="1938"/>
      <c r="C48" s="1941"/>
      <c r="D48" s="1942"/>
      <c r="E48" s="1942"/>
      <c r="F48" s="1943"/>
      <c r="G48" s="1944"/>
      <c r="I48" s="2768" t="s">
        <v>2306</v>
      </c>
      <c r="J48" s="2207"/>
      <c r="K48" s="2774" t="s">
        <v>2311</v>
      </c>
      <c r="L48" s="2778">
        <f ca="1">INDIRECT("'数据-取费表'!d"&amp;$G$1)</f>
        <v>0</v>
      </c>
      <c r="M48" s="2760" t="str">
        <f>IF(ISNUMBER(FIND("住宅",C1)),"住宅","非住宅")</f>
        <v>非住宅</v>
      </c>
      <c r="O48" s="2221" t="s">
        <v>2337</v>
      </c>
      <c r="P48" s="2222" t="s">
        <v>2338</v>
      </c>
      <c r="Q48" s="2223" t="s">
        <v>2339</v>
      </c>
      <c r="R48" s="2222" t="s">
        <v>2340</v>
      </c>
    </row>
    <row r="49" spans="1:18" s="1914" customFormat="1" ht="18" customHeight="1" thickBot="1">
      <c r="A49" s="1938"/>
      <c r="D49" s="1945"/>
      <c r="E49" s="1946"/>
      <c r="F49" s="1943"/>
      <c r="G49" s="1944"/>
      <c r="H49" s="1947"/>
      <c r="I49" s="2765" t="s">
        <v>2307</v>
      </c>
      <c r="J49" s="2208"/>
      <c r="K49" s="2775" t="s">
        <v>2313</v>
      </c>
      <c r="L49" s="1795">
        <f ca="1">INDIRECT("'数据-取费表'!f"&amp;$G$1)</f>
        <v>0</v>
      </c>
      <c r="O49" s="2224" t="s">
        <v>2341</v>
      </c>
      <c r="P49" s="2225" t="s">
        <v>2367</v>
      </c>
      <c r="Q49" s="2226">
        <f ca="1">C41+J31</f>
        <v>0</v>
      </c>
      <c r="R49" s="2225" t="s">
        <v>2342</v>
      </c>
    </row>
    <row r="50" spans="1:18" s="1914" customFormat="1" ht="18" customHeight="1" thickBot="1">
      <c r="A50" s="1938"/>
      <c r="D50" s="1948"/>
      <c r="E50" s="1948"/>
      <c r="F50" s="1942"/>
      <c r="G50" s="1949"/>
      <c r="H50" s="1947"/>
      <c r="I50" s="2765" t="s">
        <v>2308</v>
      </c>
      <c r="J50" s="2209"/>
      <c r="K50" s="2776" t="s">
        <v>2314</v>
      </c>
      <c r="L50" s="2210"/>
      <c r="O50" s="2224" t="s">
        <v>2343</v>
      </c>
      <c r="P50" s="2225" t="s">
        <v>2368</v>
      </c>
      <c r="Q50" s="2226" t="str">
        <f ca="1">J61</f>
        <v>0</v>
      </c>
      <c r="R50" s="2225" t="s">
        <v>2344</v>
      </c>
    </row>
    <row r="51" spans="1:18" s="1914" customFormat="1" ht="18" customHeight="1" thickBot="1">
      <c r="A51" s="1950"/>
      <c r="D51" s="1948"/>
      <c r="E51" s="1948"/>
      <c r="F51" s="1939"/>
      <c r="H51" s="1947"/>
      <c r="I51" s="2765" t="s">
        <v>2309</v>
      </c>
      <c r="J51" s="2772">
        <f>SUMPRODUCT((I64:I66=J48)*(J63:L63=J49)*(J64:L66))</f>
        <v>0</v>
      </c>
      <c r="K51" s="2776" t="s">
        <v>2315</v>
      </c>
      <c r="L51" s="2210"/>
      <c r="O51" s="2227" t="s">
        <v>2345</v>
      </c>
      <c r="P51" s="2225" t="s">
        <v>2369</v>
      </c>
      <c r="Q51" s="2226">
        <f ca="1">C31</f>
        <v>0</v>
      </c>
      <c r="R51" s="2225" t="s">
        <v>2342</v>
      </c>
    </row>
    <row r="52" spans="1:18" s="1914" customFormat="1" ht="18" customHeight="1" thickBot="1">
      <c r="A52" s="1950"/>
      <c r="F52" s="1939"/>
      <c r="I52" s="2769" t="s">
        <v>2310</v>
      </c>
      <c r="J52" s="2773">
        <f>IF(J50="",J51,J50+J51-YEAR('数据-取费表'!B3))</f>
        <v>0</v>
      </c>
      <c r="K52" s="2765" t="s">
        <v>2316</v>
      </c>
      <c r="L52" s="2779">
        <f ca="1">C45</f>
        <v>0</v>
      </c>
      <c r="O52" s="2227" t="s">
        <v>2346</v>
      </c>
      <c r="P52" s="2225" t="s">
        <v>2347</v>
      </c>
      <c r="Q52" s="2228" t="e">
        <f ca="1">J59</f>
        <v>#VALUE!</v>
      </c>
      <c r="R52" s="2229"/>
    </row>
    <row r="53" spans="1:18" s="1914" customFormat="1" ht="18" customHeight="1" thickBot="1">
      <c r="A53" s="1950"/>
      <c r="F53" s="1939"/>
      <c r="I53" s="2770" t="s">
        <v>2383</v>
      </c>
      <c r="J53" s="2211"/>
      <c r="K53" s="2770" t="s">
        <v>2382</v>
      </c>
      <c r="L53" s="2211"/>
      <c r="O53" s="2227" t="s">
        <v>2348</v>
      </c>
      <c r="P53" s="2225" t="s">
        <v>2349</v>
      </c>
      <c r="Q53" s="2228">
        <f>J53</f>
        <v>0</v>
      </c>
      <c r="R53" s="2229"/>
    </row>
    <row r="54" spans="1:18" s="1914" customFormat="1" ht="29.25" thickBot="1">
      <c r="A54" s="1950"/>
      <c r="I54" s="2771" t="s">
        <v>2911</v>
      </c>
      <c r="J54" s="2824">
        <f ca="1">IF(M48="住宅",MAX(J52,L49-'数据-取费表'!B20),MIN(J52,L49-'数据-取费表'!B20))</f>
        <v>-1.5</v>
      </c>
      <c r="K54" s="3766"/>
      <c r="L54" s="3767"/>
      <c r="O54" s="2227" t="s">
        <v>2350</v>
      </c>
      <c r="P54" s="2225" t="s">
        <v>2351</v>
      </c>
      <c r="Q54" s="2226">
        <f ca="1">J54</f>
        <v>-1.5</v>
      </c>
      <c r="R54" s="2225" t="s">
        <v>2352</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2353</v>
      </c>
      <c r="P55" s="2225" t="s">
        <v>2370</v>
      </c>
      <c r="Q55" s="2226">
        <f ca="1">Q49+Q50</f>
        <v>0</v>
      </c>
      <c r="R55" s="2229" t="s">
        <v>2354</v>
      </c>
    </row>
    <row r="56" spans="1:18" s="1914" customFormat="1" ht="16.5" thickBot="1">
      <c r="A56" s="1950"/>
      <c r="B56" s="1951"/>
      <c r="C56" s="1951"/>
      <c r="I56" s="2782" t="s">
        <v>2317</v>
      </c>
      <c r="J56" s="2754" t="e">
        <f ca="1">ROUND(IF(J48="钢混",J58/J51,1-(1-2%)*(J51-J58)/J51),3)</f>
        <v>#VALUE!</v>
      </c>
      <c r="K56" s="2783" t="s">
        <v>2318</v>
      </c>
      <c r="L56" s="2212"/>
      <c r="O56" s="2230" t="s">
        <v>2373</v>
      </c>
      <c r="P56" s="1501"/>
      <c r="Q56" s="1509"/>
      <c r="R56" s="1501"/>
    </row>
    <row r="57" spans="1:18" s="1914" customFormat="1" ht="43.5" thickBot="1">
      <c r="A57" s="1950"/>
      <c r="B57" s="1951"/>
      <c r="C57" s="1951"/>
      <c r="I57" s="2784" t="s">
        <v>2319</v>
      </c>
      <c r="J57" s="2794" t="s">
        <v>1653</v>
      </c>
      <c r="K57" s="2765" t="s">
        <v>2324</v>
      </c>
      <c r="L57" s="1795">
        <f ca="1">IF(L49&lt;J52,"——",L49-J52)</f>
        <v>0</v>
      </c>
      <c r="O57" s="2221" t="s">
        <v>2337</v>
      </c>
      <c r="P57" s="2222" t="s">
        <v>2338</v>
      </c>
      <c r="Q57" s="2223" t="s">
        <v>2339</v>
      </c>
      <c r="R57" s="2222" t="s">
        <v>2340</v>
      </c>
    </row>
    <row r="58" spans="1:18" s="1914" customFormat="1" ht="29.25" thickBot="1">
      <c r="A58" s="1950"/>
      <c r="B58" s="1951"/>
      <c r="C58" s="1951"/>
      <c r="I58" s="2785" t="s">
        <v>2320</v>
      </c>
      <c r="J58" s="2786" t="str">
        <f ca="1">IF(OR(M48="住宅",J52&lt;L49,J57="是"),"——",J52-L49)</f>
        <v>——</v>
      </c>
      <c r="K58" s="2765" t="s">
        <v>2325</v>
      </c>
      <c r="L58" s="1795">
        <f ca="1">IF(L49&lt;J52,"——",IF(L56="比较法",L50,IF(L56="基准地价",L51,L52)))</f>
        <v>0</v>
      </c>
      <c r="O58" s="2224" t="s">
        <v>2341</v>
      </c>
      <c r="P58" s="2225" t="s">
        <v>2367</v>
      </c>
      <c r="Q58" s="2226">
        <f ca="1">C41+J31</f>
        <v>0</v>
      </c>
      <c r="R58" s="2225" t="s">
        <v>2342</v>
      </c>
    </row>
    <row r="59" spans="1:18" s="1914" customFormat="1" ht="29.25" thickBot="1">
      <c r="A59" s="1950"/>
      <c r="B59" s="1951"/>
      <c r="C59" s="1951"/>
      <c r="I59" s="2785" t="s">
        <v>2321</v>
      </c>
      <c r="J59" s="2755" t="e">
        <f ca="1">IF(J56&lt;0.4,0.4,J56)</f>
        <v>#VALUE!</v>
      </c>
      <c r="K59" s="2765" t="s">
        <v>2326</v>
      </c>
      <c r="L59" s="1795">
        <f ca="1">IF(ISERROR(POWER(1+L53,L48-L49)*(POWER(1+L53,L49)-1)/(POWER(1+L53,L48)-1)),0,POWER(1+L53,L48-L49)*(POWER(1+L53,L49)-1)/(POWER(1+L53,L48)-1))</f>
        <v>0</v>
      </c>
      <c r="O59" s="2224" t="s">
        <v>2343</v>
      </c>
      <c r="P59" s="2225" t="s">
        <v>2374</v>
      </c>
      <c r="Q59" s="2226" t="e">
        <f ca="1">L61</f>
        <v>#DIV/0!</v>
      </c>
      <c r="R59" s="2229" t="s">
        <v>2376</v>
      </c>
    </row>
    <row r="60" spans="1:18" s="1914" customFormat="1" ht="29.25" thickBot="1">
      <c r="A60" s="1950"/>
      <c r="B60" s="1951"/>
      <c r="C60" s="1951"/>
      <c r="I60" s="2785" t="s">
        <v>2322</v>
      </c>
      <c r="J60" s="2786" t="str">
        <f ca="1">IF(OR(M48="住宅",J52&lt;L49,J57="是"),"——",ROUND(C30*J59,0))</f>
        <v>——</v>
      </c>
      <c r="K60" s="2765" t="s">
        <v>2327</v>
      </c>
      <c r="L60" s="1795">
        <f ca="1">IF(ISERROR(POWER(1+L53,L48-J52)*(POWER(1+L53,J52)-1)/(POWER(1+L53,L48)-1)),0,POWER(1+L53,L48-J52)*(POWER(1+L53,J52)-1)/(POWER(1+L53,L48)-1))</f>
        <v>0</v>
      </c>
      <c r="O60" s="2227" t="s">
        <v>2345</v>
      </c>
      <c r="P60" s="2225" t="s">
        <v>2375</v>
      </c>
      <c r="Q60" s="2226">
        <f>IF(L56="比较法",L50,IF(L56="基准地价",L51,0))</f>
        <v>0</v>
      </c>
      <c r="R60" s="2225" t="s">
        <v>2342</v>
      </c>
    </row>
    <row r="61" spans="1:18" s="1914" customFormat="1" ht="15.75" thickBot="1">
      <c r="A61" s="1950"/>
      <c r="B61" s="1951"/>
      <c r="C61" s="1951"/>
      <c r="I61" s="2787" t="s">
        <v>2323</v>
      </c>
      <c r="J61" s="2788" t="str">
        <f ca="1">IF(OR(M48="住宅",J52&lt;L49,J57="是"),"0",ROUND(J60/(1+J53)^J54,0))</f>
        <v>0</v>
      </c>
      <c r="K61" s="2789" t="s">
        <v>2328</v>
      </c>
      <c r="L61" s="2788" t="e">
        <f ca="1">IF(OR(M48="住宅",L49&lt;J52),0,ROUND(L58*(L59/L60-1),0))</f>
        <v>#DIV/0!</v>
      </c>
      <c r="O61" s="2227" t="s">
        <v>2346</v>
      </c>
      <c r="P61" s="2225" t="s">
        <v>2355</v>
      </c>
      <c r="Q61" s="2228">
        <f>L53</f>
        <v>0</v>
      </c>
      <c r="R61" s="2229"/>
    </row>
    <row r="62" spans="1:18" s="1914" customFormat="1" ht="20.25" thickBot="1">
      <c r="A62" s="1950"/>
      <c r="B62" s="1951"/>
      <c r="C62" s="1951"/>
      <c r="K62" s="1940"/>
      <c r="O62" s="2227" t="s">
        <v>2348</v>
      </c>
      <c r="P62" s="2225" t="s">
        <v>2356</v>
      </c>
      <c r="Q62" s="2226">
        <f ca="1">L59</f>
        <v>0</v>
      </c>
      <c r="R62" s="2229" t="s">
        <v>2357</v>
      </c>
    </row>
    <row r="63" spans="1:18" s="1914" customFormat="1" ht="20.25" thickBot="1">
      <c r="A63" s="1950"/>
      <c r="B63" s="1951"/>
      <c r="C63" s="1951"/>
      <c r="I63" s="2790" t="s">
        <v>2329</v>
      </c>
      <c r="J63" s="2791" t="s">
        <v>2330</v>
      </c>
      <c r="K63" s="2791" t="s">
        <v>2331</v>
      </c>
      <c r="L63" s="2791" t="s">
        <v>2312</v>
      </c>
      <c r="M63" s="2792" t="s">
        <v>2880</v>
      </c>
      <c r="O63" s="2227" t="s">
        <v>2350</v>
      </c>
      <c r="P63" s="2225" t="s">
        <v>2358</v>
      </c>
      <c r="Q63" s="2226">
        <f ca="1">L60</f>
        <v>0</v>
      </c>
      <c r="R63" s="2229" t="s">
        <v>2359</v>
      </c>
    </row>
    <row r="64" spans="1:18" s="1914" customFormat="1" ht="15.75" thickBot="1">
      <c r="A64" s="1950"/>
      <c r="B64" s="1951"/>
      <c r="C64" s="1951"/>
      <c r="I64" s="2790" t="s">
        <v>2332</v>
      </c>
      <c r="J64" s="2791">
        <v>70</v>
      </c>
      <c r="K64" s="2791">
        <v>50</v>
      </c>
      <c r="L64" s="2791">
        <v>80</v>
      </c>
      <c r="M64" s="2793">
        <v>0.02</v>
      </c>
      <c r="O64" s="2224" t="s">
        <v>2353</v>
      </c>
      <c r="P64" s="2225" t="s">
        <v>2370</v>
      </c>
      <c r="Q64" s="2226" t="e">
        <f ca="1">Q58+Q59</f>
        <v>#DIV/0!</v>
      </c>
      <c r="R64" s="2229" t="s">
        <v>2354</v>
      </c>
    </row>
    <row r="65" spans="1:18" s="1914" customFormat="1" ht="16.5" thickBot="1">
      <c r="A65" s="1950"/>
      <c r="B65" s="1951"/>
      <c r="C65" s="1951"/>
      <c r="I65" s="2790" t="s">
        <v>2333</v>
      </c>
      <c r="J65" s="2791">
        <v>50</v>
      </c>
      <c r="K65" s="2791">
        <v>35</v>
      </c>
      <c r="L65" s="2791">
        <v>60</v>
      </c>
      <c r="M65" s="817">
        <v>0</v>
      </c>
      <c r="O65" s="2230" t="s">
        <v>2377</v>
      </c>
      <c r="P65" s="1501"/>
      <c r="Q65" s="1509"/>
      <c r="R65" s="1501"/>
    </row>
    <row r="66" spans="1:18" s="1914" customFormat="1" ht="15.75" thickBot="1">
      <c r="A66" s="1950"/>
      <c r="B66" s="1951"/>
      <c r="C66" s="1951"/>
      <c r="I66" s="2790" t="s">
        <v>2334</v>
      </c>
      <c r="J66" s="2791">
        <v>40</v>
      </c>
      <c r="K66" s="2791">
        <v>30</v>
      </c>
      <c r="L66" s="2791">
        <v>50</v>
      </c>
      <c r="M66" s="2793">
        <v>0.02</v>
      </c>
      <c r="O66" s="2221" t="s">
        <v>2337</v>
      </c>
      <c r="P66" s="2222" t="s">
        <v>2338</v>
      </c>
      <c r="Q66" s="2223" t="s">
        <v>2339</v>
      </c>
      <c r="R66" s="2222" t="s">
        <v>2340</v>
      </c>
    </row>
    <row r="67" spans="1:18" s="1914" customFormat="1" ht="15.75" thickBot="1">
      <c r="A67" s="1950"/>
      <c r="B67" s="1951"/>
      <c r="C67" s="1951"/>
      <c r="K67" s="1940"/>
      <c r="O67" s="2224" t="s">
        <v>2341</v>
      </c>
      <c r="P67" s="2225" t="s">
        <v>2367</v>
      </c>
      <c r="Q67" s="2226">
        <f ca="1">C41+J31</f>
        <v>0</v>
      </c>
      <c r="R67" s="2225" t="s">
        <v>2342</v>
      </c>
    </row>
    <row r="68" spans="1:18" s="1914" customFormat="1" ht="20.25" thickBot="1">
      <c r="A68" s="1950"/>
      <c r="B68" s="1951"/>
      <c r="C68" s="1951"/>
      <c r="K68" s="1940"/>
      <c r="O68" s="2224" t="s">
        <v>2343</v>
      </c>
      <c r="P68" s="2225" t="s">
        <v>2374</v>
      </c>
      <c r="Q68" s="2226" t="e">
        <f ca="1">L61</f>
        <v>#DIV/0!</v>
      </c>
      <c r="R68" s="2229" t="s">
        <v>2376</v>
      </c>
    </row>
    <row r="69" spans="1:18" s="1914" customFormat="1" ht="21.75" thickBot="1">
      <c r="A69" s="1950"/>
      <c r="B69" s="1951"/>
      <c r="C69" s="1951"/>
      <c r="K69" s="1940"/>
      <c r="O69" s="2227" t="s">
        <v>2345</v>
      </c>
      <c r="P69" s="2225" t="s">
        <v>2375</v>
      </c>
      <c r="Q69" s="2231">
        <f ca="1">L52</f>
        <v>0</v>
      </c>
      <c r="R69" s="2232" t="s">
        <v>2378</v>
      </c>
    </row>
    <row r="70" spans="1:18" s="1914" customFormat="1" ht="20.25" thickBot="1">
      <c r="A70" s="1950"/>
      <c r="B70" s="1951"/>
      <c r="C70" s="1951"/>
      <c r="K70" s="1940"/>
      <c r="O70" s="2227" t="s">
        <v>2346</v>
      </c>
      <c r="P70" s="2233" t="s">
        <v>2360</v>
      </c>
      <c r="Q70" s="2226">
        <f ca="1">ROUND(Q71-Q72*Q73,0)</f>
        <v>0</v>
      </c>
      <c r="R70" s="2229"/>
    </row>
    <row r="71" spans="1:18" s="1914" customFormat="1" ht="15.75" thickBot="1">
      <c r="A71" s="1950"/>
      <c r="B71" s="1951"/>
      <c r="C71" s="1951"/>
      <c r="K71" s="1940"/>
      <c r="O71" s="2227" t="s">
        <v>2361</v>
      </c>
      <c r="P71" s="2233" t="s">
        <v>2362</v>
      </c>
      <c r="Q71" s="2226">
        <f ca="1">C42</f>
        <v>0</v>
      </c>
      <c r="R71" s="2225" t="s">
        <v>2342</v>
      </c>
    </row>
    <row r="72" spans="1:18" s="1914" customFormat="1" ht="15.75" thickBot="1">
      <c r="A72" s="1950"/>
      <c r="B72" s="1951"/>
      <c r="C72" s="1951"/>
      <c r="K72" s="1940"/>
      <c r="O72" s="2227" t="s">
        <v>2363</v>
      </c>
      <c r="P72" s="2233" t="s">
        <v>2364</v>
      </c>
      <c r="Q72" s="2226">
        <f ca="1">C15</f>
        <v>0</v>
      </c>
      <c r="R72" s="2225" t="s">
        <v>2342</v>
      </c>
    </row>
    <row r="73" spans="1:18" s="1914" customFormat="1" ht="15.75" thickBot="1">
      <c r="A73" s="1950"/>
      <c r="B73" s="1951"/>
      <c r="C73" s="1951"/>
      <c r="K73" s="1940"/>
      <c r="O73" s="2227" t="s">
        <v>2365</v>
      </c>
      <c r="P73" s="2233" t="s">
        <v>2366</v>
      </c>
      <c r="Q73" s="2228">
        <f ca="1">F43</f>
        <v>0</v>
      </c>
      <c r="R73" s="2229"/>
    </row>
    <row r="74" spans="1:18" s="1914" customFormat="1" ht="15.75" thickBot="1">
      <c r="A74" s="1950"/>
      <c r="B74" s="1951"/>
      <c r="C74" s="1951"/>
      <c r="K74" s="1940"/>
      <c r="O74" s="2227" t="s">
        <v>2348</v>
      </c>
      <c r="P74" s="2225" t="s">
        <v>2355</v>
      </c>
      <c r="Q74" s="2228">
        <f>L53</f>
        <v>0</v>
      </c>
      <c r="R74" s="2229"/>
    </row>
    <row r="75" spans="1:18" s="1914" customFormat="1" ht="20.25" thickBot="1">
      <c r="A75" s="1950"/>
      <c r="B75" s="1951"/>
      <c r="C75" s="1951"/>
      <c r="K75" s="1940"/>
      <c r="O75" s="2227" t="s">
        <v>2350</v>
      </c>
      <c r="P75" s="2225" t="s">
        <v>2356</v>
      </c>
      <c r="Q75" s="2226">
        <f ca="1">L59</f>
        <v>0</v>
      </c>
      <c r="R75" s="2229" t="s">
        <v>2357</v>
      </c>
    </row>
    <row r="76" spans="1:18" s="1914" customFormat="1" ht="20.25" thickBot="1">
      <c r="A76" s="1950"/>
      <c r="B76" s="1951"/>
      <c r="C76" s="1951"/>
      <c r="K76" s="1940"/>
      <c r="O76" s="2227" t="s">
        <v>2379</v>
      </c>
      <c r="P76" s="2225" t="s">
        <v>2358</v>
      </c>
      <c r="Q76" s="2226">
        <f ca="1">L60</f>
        <v>0</v>
      </c>
      <c r="R76" s="2229" t="s">
        <v>2359</v>
      </c>
    </row>
    <row r="77" spans="1:18" s="1914" customFormat="1" ht="15.75" thickBot="1">
      <c r="A77" s="1950"/>
      <c r="B77" s="1951"/>
      <c r="C77" s="1951"/>
      <c r="K77" s="1940"/>
      <c r="O77" s="2224" t="s">
        <v>2353</v>
      </c>
      <c r="P77" s="2225" t="s">
        <v>2370</v>
      </c>
      <c r="Q77" s="2226" t="e">
        <f ca="1">Q67+Q68</f>
        <v>#DIV/0!</v>
      </c>
      <c r="R77" s="2229" t="s">
        <v>2354</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375" style="3282" customWidth="1"/>
    <col min="2" max="2" width="8.875" style="3282"/>
    <col min="3" max="5" width="12.875" style="3282" customWidth="1"/>
    <col min="6" max="6" width="47.375" style="3282" customWidth="1"/>
    <col min="7" max="7" width="13" style="3439" customWidth="1"/>
    <col min="8" max="8" width="8.875" style="3276"/>
    <col min="9" max="9" width="8.875" style="3277"/>
    <col min="10" max="10" width="5.75" style="3440" customWidth="1"/>
    <col min="11" max="11" width="11.75" style="3440" customWidth="1"/>
    <col min="12" max="13" width="10.75" style="3440" customWidth="1"/>
    <col min="14" max="14" width="10" style="3440" customWidth="1"/>
    <col min="15" max="16" width="10.375" style="3440" bestFit="1" customWidth="1"/>
    <col min="17" max="17" width="10" style="3440" customWidth="1"/>
    <col min="18" max="18" width="10.125" style="3440" customWidth="1"/>
    <col min="19" max="19" width="10" style="3440" customWidth="1"/>
    <col min="20" max="20" width="26.125" style="3440" customWidth="1"/>
    <col min="21" max="21" width="8.875" style="3440"/>
    <col min="22" max="22" width="8.875" style="3277"/>
    <col min="23" max="256" width="8.875" style="3282"/>
    <col min="257" max="257" width="9.375" style="3282" customWidth="1"/>
    <col min="258" max="258" width="8.875" style="3282"/>
    <col min="259" max="261" width="12.875" style="3282" customWidth="1"/>
    <col min="262" max="262" width="47.375" style="3282" customWidth="1"/>
    <col min="263" max="263" width="13" style="3282" customWidth="1"/>
    <col min="264" max="265" width="8.875" style="3282"/>
    <col min="266" max="266" width="5.75" style="3282" customWidth="1"/>
    <col min="267" max="267" width="11.75" style="3282" customWidth="1"/>
    <col min="268" max="269" width="10.75" style="3282" customWidth="1"/>
    <col min="270" max="270" width="10" style="3282" customWidth="1"/>
    <col min="271" max="272" width="10.375" style="3282" bestFit="1" customWidth="1"/>
    <col min="273" max="273" width="10" style="3282" customWidth="1"/>
    <col min="274" max="274" width="10.125" style="3282" customWidth="1"/>
    <col min="275" max="275" width="10" style="3282" customWidth="1"/>
    <col min="276" max="276" width="26.125" style="3282" customWidth="1"/>
    <col min="277" max="512" width="8.875" style="3282"/>
    <col min="513" max="513" width="9.375" style="3282" customWidth="1"/>
    <col min="514" max="514" width="8.875" style="3282"/>
    <col min="515" max="517" width="12.875" style="3282" customWidth="1"/>
    <col min="518" max="518" width="47.375" style="3282" customWidth="1"/>
    <col min="519" max="519" width="13" style="3282" customWidth="1"/>
    <col min="520" max="521" width="8.875" style="3282"/>
    <col min="522" max="522" width="5.75" style="3282" customWidth="1"/>
    <col min="523" max="523" width="11.75" style="3282" customWidth="1"/>
    <col min="524" max="525" width="10.75" style="3282" customWidth="1"/>
    <col min="526" max="526" width="10" style="3282" customWidth="1"/>
    <col min="527" max="528" width="10.375" style="3282" bestFit="1" customWidth="1"/>
    <col min="529" max="529" width="10" style="3282" customWidth="1"/>
    <col min="530" max="530" width="10.125" style="3282" customWidth="1"/>
    <col min="531" max="531" width="10" style="3282" customWidth="1"/>
    <col min="532" max="532" width="26.125" style="3282" customWidth="1"/>
    <col min="533" max="768" width="8.875" style="3282"/>
    <col min="769" max="769" width="9.375" style="3282" customWidth="1"/>
    <col min="770" max="770" width="8.875" style="3282"/>
    <col min="771" max="773" width="12.875" style="3282" customWidth="1"/>
    <col min="774" max="774" width="47.375" style="3282" customWidth="1"/>
    <col min="775" max="775" width="13" style="3282" customWidth="1"/>
    <col min="776" max="777" width="8.875" style="3282"/>
    <col min="778" max="778" width="5.75" style="3282" customWidth="1"/>
    <col min="779" max="779" width="11.75" style="3282" customWidth="1"/>
    <col min="780" max="781" width="10.75" style="3282" customWidth="1"/>
    <col min="782" max="782" width="10" style="3282" customWidth="1"/>
    <col min="783" max="784" width="10.375" style="3282" bestFit="1" customWidth="1"/>
    <col min="785" max="785" width="10" style="3282" customWidth="1"/>
    <col min="786" max="786" width="10.125" style="3282" customWidth="1"/>
    <col min="787" max="787" width="10" style="3282" customWidth="1"/>
    <col min="788" max="788" width="26.125" style="3282" customWidth="1"/>
    <col min="789" max="1024" width="8.875" style="3282"/>
    <col min="1025" max="1025" width="9.375" style="3282" customWidth="1"/>
    <col min="1026" max="1026" width="8.875" style="3282"/>
    <col min="1027" max="1029" width="12.875" style="3282" customWidth="1"/>
    <col min="1030" max="1030" width="47.375" style="3282" customWidth="1"/>
    <col min="1031" max="1031" width="13" style="3282" customWidth="1"/>
    <col min="1032" max="1033" width="8.875" style="3282"/>
    <col min="1034" max="1034" width="5.75" style="3282" customWidth="1"/>
    <col min="1035" max="1035" width="11.75" style="3282" customWidth="1"/>
    <col min="1036" max="1037" width="10.75" style="3282" customWidth="1"/>
    <col min="1038" max="1038" width="10" style="3282" customWidth="1"/>
    <col min="1039" max="1040" width="10.375" style="3282" bestFit="1" customWidth="1"/>
    <col min="1041" max="1041" width="10" style="3282" customWidth="1"/>
    <col min="1042" max="1042" width="10.125" style="3282" customWidth="1"/>
    <col min="1043" max="1043" width="10" style="3282" customWidth="1"/>
    <col min="1044" max="1044" width="26.125" style="3282" customWidth="1"/>
    <col min="1045" max="1280" width="8.875" style="3282"/>
    <col min="1281" max="1281" width="9.375" style="3282" customWidth="1"/>
    <col min="1282" max="1282" width="8.875" style="3282"/>
    <col min="1283" max="1285" width="12.875" style="3282" customWidth="1"/>
    <col min="1286" max="1286" width="47.375" style="3282" customWidth="1"/>
    <col min="1287" max="1287" width="13" style="3282" customWidth="1"/>
    <col min="1288" max="1289" width="8.875" style="3282"/>
    <col min="1290" max="1290" width="5.75" style="3282" customWidth="1"/>
    <col min="1291" max="1291" width="11.75" style="3282" customWidth="1"/>
    <col min="1292" max="1293" width="10.75" style="3282" customWidth="1"/>
    <col min="1294" max="1294" width="10" style="3282" customWidth="1"/>
    <col min="1295" max="1296" width="10.375" style="3282" bestFit="1" customWidth="1"/>
    <col min="1297" max="1297" width="10" style="3282" customWidth="1"/>
    <col min="1298" max="1298" width="10.125" style="3282" customWidth="1"/>
    <col min="1299" max="1299" width="10" style="3282" customWidth="1"/>
    <col min="1300" max="1300" width="26.125" style="3282" customWidth="1"/>
    <col min="1301" max="1536" width="8.875" style="3282"/>
    <col min="1537" max="1537" width="9.375" style="3282" customWidth="1"/>
    <col min="1538" max="1538" width="8.875" style="3282"/>
    <col min="1539" max="1541" width="12.875" style="3282" customWidth="1"/>
    <col min="1542" max="1542" width="47.375" style="3282" customWidth="1"/>
    <col min="1543" max="1543" width="13" style="3282" customWidth="1"/>
    <col min="1544" max="1545" width="8.875" style="3282"/>
    <col min="1546" max="1546" width="5.75" style="3282" customWidth="1"/>
    <col min="1547" max="1547" width="11.75" style="3282" customWidth="1"/>
    <col min="1548" max="1549" width="10.75" style="3282" customWidth="1"/>
    <col min="1550" max="1550" width="10" style="3282" customWidth="1"/>
    <col min="1551" max="1552" width="10.375" style="3282" bestFit="1" customWidth="1"/>
    <col min="1553" max="1553" width="10" style="3282" customWidth="1"/>
    <col min="1554" max="1554" width="10.125" style="3282" customWidth="1"/>
    <col min="1555" max="1555" width="10" style="3282" customWidth="1"/>
    <col min="1556" max="1556" width="26.125" style="3282" customWidth="1"/>
    <col min="1557" max="1792" width="8.875" style="3282"/>
    <col min="1793" max="1793" width="9.375" style="3282" customWidth="1"/>
    <col min="1794" max="1794" width="8.875" style="3282"/>
    <col min="1795" max="1797" width="12.875" style="3282" customWidth="1"/>
    <col min="1798" max="1798" width="47.375" style="3282" customWidth="1"/>
    <col min="1799" max="1799" width="13" style="3282" customWidth="1"/>
    <col min="1800" max="1801" width="8.875" style="3282"/>
    <col min="1802" max="1802" width="5.75" style="3282" customWidth="1"/>
    <col min="1803" max="1803" width="11.75" style="3282" customWidth="1"/>
    <col min="1804" max="1805" width="10.75" style="3282" customWidth="1"/>
    <col min="1806" max="1806" width="10" style="3282" customWidth="1"/>
    <col min="1807" max="1808" width="10.375" style="3282" bestFit="1" customWidth="1"/>
    <col min="1809" max="1809" width="10" style="3282" customWidth="1"/>
    <col min="1810" max="1810" width="10.125" style="3282" customWidth="1"/>
    <col min="1811" max="1811" width="10" style="3282" customWidth="1"/>
    <col min="1812" max="1812" width="26.125" style="3282" customWidth="1"/>
    <col min="1813" max="2048" width="8.875" style="3282"/>
    <col min="2049" max="2049" width="9.375" style="3282" customWidth="1"/>
    <col min="2050" max="2050" width="8.875" style="3282"/>
    <col min="2051" max="2053" width="12.875" style="3282" customWidth="1"/>
    <col min="2054" max="2054" width="47.375" style="3282" customWidth="1"/>
    <col min="2055" max="2055" width="13" style="3282" customWidth="1"/>
    <col min="2056" max="2057" width="8.875" style="3282"/>
    <col min="2058" max="2058" width="5.75" style="3282" customWidth="1"/>
    <col min="2059" max="2059" width="11.75" style="3282" customWidth="1"/>
    <col min="2060" max="2061" width="10.75" style="3282" customWidth="1"/>
    <col min="2062" max="2062" width="10" style="3282" customWidth="1"/>
    <col min="2063" max="2064" width="10.375" style="3282" bestFit="1" customWidth="1"/>
    <col min="2065" max="2065" width="10" style="3282" customWidth="1"/>
    <col min="2066" max="2066" width="10.125" style="3282" customWidth="1"/>
    <col min="2067" max="2067" width="10" style="3282" customWidth="1"/>
    <col min="2068" max="2068" width="26.125" style="3282" customWidth="1"/>
    <col min="2069" max="2304" width="8.875" style="3282"/>
    <col min="2305" max="2305" width="9.375" style="3282" customWidth="1"/>
    <col min="2306" max="2306" width="8.875" style="3282"/>
    <col min="2307" max="2309" width="12.875" style="3282" customWidth="1"/>
    <col min="2310" max="2310" width="47.375" style="3282" customWidth="1"/>
    <col min="2311" max="2311" width="13" style="3282" customWidth="1"/>
    <col min="2312" max="2313" width="8.875" style="3282"/>
    <col min="2314" max="2314" width="5.75" style="3282" customWidth="1"/>
    <col min="2315" max="2315" width="11.75" style="3282" customWidth="1"/>
    <col min="2316" max="2317" width="10.75" style="3282" customWidth="1"/>
    <col min="2318" max="2318" width="10" style="3282" customWidth="1"/>
    <col min="2319" max="2320" width="10.375" style="3282" bestFit="1" customWidth="1"/>
    <col min="2321" max="2321" width="10" style="3282" customWidth="1"/>
    <col min="2322" max="2322" width="10.125" style="3282" customWidth="1"/>
    <col min="2323" max="2323" width="10" style="3282" customWidth="1"/>
    <col min="2324" max="2324" width="26.125" style="3282" customWidth="1"/>
    <col min="2325" max="2560" width="8.875" style="3282"/>
    <col min="2561" max="2561" width="9.375" style="3282" customWidth="1"/>
    <col min="2562" max="2562" width="8.875" style="3282"/>
    <col min="2563" max="2565" width="12.875" style="3282" customWidth="1"/>
    <col min="2566" max="2566" width="47.375" style="3282" customWidth="1"/>
    <col min="2567" max="2567" width="13" style="3282" customWidth="1"/>
    <col min="2568" max="2569" width="8.875" style="3282"/>
    <col min="2570" max="2570" width="5.75" style="3282" customWidth="1"/>
    <col min="2571" max="2571" width="11.75" style="3282" customWidth="1"/>
    <col min="2572" max="2573" width="10.75" style="3282" customWidth="1"/>
    <col min="2574" max="2574" width="10" style="3282" customWidth="1"/>
    <col min="2575" max="2576" width="10.375" style="3282" bestFit="1" customWidth="1"/>
    <col min="2577" max="2577" width="10" style="3282" customWidth="1"/>
    <col min="2578" max="2578" width="10.125" style="3282" customWidth="1"/>
    <col min="2579" max="2579" width="10" style="3282" customWidth="1"/>
    <col min="2580" max="2580" width="26.125" style="3282" customWidth="1"/>
    <col min="2581" max="2816" width="8.875" style="3282"/>
    <col min="2817" max="2817" width="9.375" style="3282" customWidth="1"/>
    <col min="2818" max="2818" width="8.875" style="3282"/>
    <col min="2819" max="2821" width="12.875" style="3282" customWidth="1"/>
    <col min="2822" max="2822" width="47.375" style="3282" customWidth="1"/>
    <col min="2823" max="2823" width="13" style="3282" customWidth="1"/>
    <col min="2824" max="2825" width="8.875" style="3282"/>
    <col min="2826" max="2826" width="5.75" style="3282" customWidth="1"/>
    <col min="2827" max="2827" width="11.75" style="3282" customWidth="1"/>
    <col min="2828" max="2829" width="10.75" style="3282" customWidth="1"/>
    <col min="2830" max="2830" width="10" style="3282" customWidth="1"/>
    <col min="2831" max="2832" width="10.375" style="3282" bestFit="1" customWidth="1"/>
    <col min="2833" max="2833" width="10" style="3282" customWidth="1"/>
    <col min="2834" max="2834" width="10.125" style="3282" customWidth="1"/>
    <col min="2835" max="2835" width="10" style="3282" customWidth="1"/>
    <col min="2836" max="2836" width="26.125" style="3282" customWidth="1"/>
    <col min="2837" max="3072" width="8.875" style="3282"/>
    <col min="3073" max="3073" width="9.375" style="3282" customWidth="1"/>
    <col min="3074" max="3074" width="8.875" style="3282"/>
    <col min="3075" max="3077" width="12.875" style="3282" customWidth="1"/>
    <col min="3078" max="3078" width="47.375" style="3282" customWidth="1"/>
    <col min="3079" max="3079" width="13" style="3282" customWidth="1"/>
    <col min="3080" max="3081" width="8.875" style="3282"/>
    <col min="3082" max="3082" width="5.75" style="3282" customWidth="1"/>
    <col min="3083" max="3083" width="11.75" style="3282" customWidth="1"/>
    <col min="3084" max="3085" width="10.75" style="3282" customWidth="1"/>
    <col min="3086" max="3086" width="10" style="3282" customWidth="1"/>
    <col min="3087" max="3088" width="10.375" style="3282" bestFit="1" customWidth="1"/>
    <col min="3089" max="3089" width="10" style="3282" customWidth="1"/>
    <col min="3090" max="3090" width="10.125" style="3282" customWidth="1"/>
    <col min="3091" max="3091" width="10" style="3282" customWidth="1"/>
    <col min="3092" max="3092" width="26.125" style="3282" customWidth="1"/>
    <col min="3093" max="3328" width="8.875" style="3282"/>
    <col min="3329" max="3329" width="9.375" style="3282" customWidth="1"/>
    <col min="3330" max="3330" width="8.875" style="3282"/>
    <col min="3331" max="3333" width="12.875" style="3282" customWidth="1"/>
    <col min="3334" max="3334" width="47.375" style="3282" customWidth="1"/>
    <col min="3335" max="3335" width="13" style="3282" customWidth="1"/>
    <col min="3336" max="3337" width="8.875" style="3282"/>
    <col min="3338" max="3338" width="5.75" style="3282" customWidth="1"/>
    <col min="3339" max="3339" width="11.75" style="3282" customWidth="1"/>
    <col min="3340" max="3341" width="10.75" style="3282" customWidth="1"/>
    <col min="3342" max="3342" width="10" style="3282" customWidth="1"/>
    <col min="3343" max="3344" width="10.375" style="3282" bestFit="1" customWidth="1"/>
    <col min="3345" max="3345" width="10" style="3282" customWidth="1"/>
    <col min="3346" max="3346" width="10.125" style="3282" customWidth="1"/>
    <col min="3347" max="3347" width="10" style="3282" customWidth="1"/>
    <col min="3348" max="3348" width="26.125" style="3282" customWidth="1"/>
    <col min="3349" max="3584" width="8.875" style="3282"/>
    <col min="3585" max="3585" width="9.375" style="3282" customWidth="1"/>
    <col min="3586" max="3586" width="8.875" style="3282"/>
    <col min="3587" max="3589" width="12.875" style="3282" customWidth="1"/>
    <col min="3590" max="3590" width="47.375" style="3282" customWidth="1"/>
    <col min="3591" max="3591" width="13" style="3282" customWidth="1"/>
    <col min="3592" max="3593" width="8.875" style="3282"/>
    <col min="3594" max="3594" width="5.75" style="3282" customWidth="1"/>
    <col min="3595" max="3595" width="11.75" style="3282" customWidth="1"/>
    <col min="3596" max="3597" width="10.75" style="3282" customWidth="1"/>
    <col min="3598" max="3598" width="10" style="3282" customWidth="1"/>
    <col min="3599" max="3600" width="10.375" style="3282" bestFit="1" customWidth="1"/>
    <col min="3601" max="3601" width="10" style="3282" customWidth="1"/>
    <col min="3602" max="3602" width="10.125" style="3282" customWidth="1"/>
    <col min="3603" max="3603" width="10" style="3282" customWidth="1"/>
    <col min="3604" max="3604" width="26.125" style="3282" customWidth="1"/>
    <col min="3605" max="3840" width="8.875" style="3282"/>
    <col min="3841" max="3841" width="9.375" style="3282" customWidth="1"/>
    <col min="3842" max="3842" width="8.875" style="3282"/>
    <col min="3843" max="3845" width="12.875" style="3282" customWidth="1"/>
    <col min="3846" max="3846" width="47.375" style="3282" customWidth="1"/>
    <col min="3847" max="3847" width="13" style="3282" customWidth="1"/>
    <col min="3848" max="3849" width="8.875" style="3282"/>
    <col min="3850" max="3850" width="5.75" style="3282" customWidth="1"/>
    <col min="3851" max="3851" width="11.75" style="3282" customWidth="1"/>
    <col min="3852" max="3853" width="10.75" style="3282" customWidth="1"/>
    <col min="3854" max="3854" width="10" style="3282" customWidth="1"/>
    <col min="3855" max="3856" width="10.375" style="3282" bestFit="1" customWidth="1"/>
    <col min="3857" max="3857" width="10" style="3282" customWidth="1"/>
    <col min="3858" max="3858" width="10.125" style="3282" customWidth="1"/>
    <col min="3859" max="3859" width="10" style="3282" customWidth="1"/>
    <col min="3860" max="3860" width="26.125" style="3282" customWidth="1"/>
    <col min="3861" max="4096" width="8.875" style="3282"/>
    <col min="4097" max="4097" width="9.375" style="3282" customWidth="1"/>
    <col min="4098" max="4098" width="8.875" style="3282"/>
    <col min="4099" max="4101" width="12.875" style="3282" customWidth="1"/>
    <col min="4102" max="4102" width="47.375" style="3282" customWidth="1"/>
    <col min="4103" max="4103" width="13" style="3282" customWidth="1"/>
    <col min="4104" max="4105" width="8.875" style="3282"/>
    <col min="4106" max="4106" width="5.75" style="3282" customWidth="1"/>
    <col min="4107" max="4107" width="11.75" style="3282" customWidth="1"/>
    <col min="4108" max="4109" width="10.75" style="3282" customWidth="1"/>
    <col min="4110" max="4110" width="10" style="3282" customWidth="1"/>
    <col min="4111" max="4112" width="10.375" style="3282" bestFit="1" customWidth="1"/>
    <col min="4113" max="4113" width="10" style="3282" customWidth="1"/>
    <col min="4114" max="4114" width="10.125" style="3282" customWidth="1"/>
    <col min="4115" max="4115" width="10" style="3282" customWidth="1"/>
    <col min="4116" max="4116" width="26.125" style="3282" customWidth="1"/>
    <col min="4117" max="4352" width="8.875" style="3282"/>
    <col min="4353" max="4353" width="9.375" style="3282" customWidth="1"/>
    <col min="4354" max="4354" width="8.875" style="3282"/>
    <col min="4355" max="4357" width="12.875" style="3282" customWidth="1"/>
    <col min="4358" max="4358" width="47.375" style="3282" customWidth="1"/>
    <col min="4359" max="4359" width="13" style="3282" customWidth="1"/>
    <col min="4360" max="4361" width="8.875" style="3282"/>
    <col min="4362" max="4362" width="5.75" style="3282" customWidth="1"/>
    <col min="4363" max="4363" width="11.75" style="3282" customWidth="1"/>
    <col min="4364" max="4365" width="10.75" style="3282" customWidth="1"/>
    <col min="4366" max="4366" width="10" style="3282" customWidth="1"/>
    <col min="4367" max="4368" width="10.375" style="3282" bestFit="1" customWidth="1"/>
    <col min="4369" max="4369" width="10" style="3282" customWidth="1"/>
    <col min="4370" max="4370" width="10.125" style="3282" customWidth="1"/>
    <col min="4371" max="4371" width="10" style="3282" customWidth="1"/>
    <col min="4372" max="4372" width="26.125" style="3282" customWidth="1"/>
    <col min="4373" max="4608" width="8.875" style="3282"/>
    <col min="4609" max="4609" width="9.375" style="3282" customWidth="1"/>
    <col min="4610" max="4610" width="8.875" style="3282"/>
    <col min="4611" max="4613" width="12.875" style="3282" customWidth="1"/>
    <col min="4614" max="4614" width="47.375" style="3282" customWidth="1"/>
    <col min="4615" max="4615" width="13" style="3282" customWidth="1"/>
    <col min="4616" max="4617" width="8.875" style="3282"/>
    <col min="4618" max="4618" width="5.75" style="3282" customWidth="1"/>
    <col min="4619" max="4619" width="11.75" style="3282" customWidth="1"/>
    <col min="4620" max="4621" width="10.75" style="3282" customWidth="1"/>
    <col min="4622" max="4622" width="10" style="3282" customWidth="1"/>
    <col min="4623" max="4624" width="10.375" style="3282" bestFit="1" customWidth="1"/>
    <col min="4625" max="4625" width="10" style="3282" customWidth="1"/>
    <col min="4626" max="4626" width="10.125" style="3282" customWidth="1"/>
    <col min="4627" max="4627" width="10" style="3282" customWidth="1"/>
    <col min="4628" max="4628" width="26.125" style="3282" customWidth="1"/>
    <col min="4629" max="4864" width="8.875" style="3282"/>
    <col min="4865" max="4865" width="9.375" style="3282" customWidth="1"/>
    <col min="4866" max="4866" width="8.875" style="3282"/>
    <col min="4867" max="4869" width="12.875" style="3282" customWidth="1"/>
    <col min="4870" max="4870" width="47.375" style="3282" customWidth="1"/>
    <col min="4871" max="4871" width="13" style="3282" customWidth="1"/>
    <col min="4872" max="4873" width="8.875" style="3282"/>
    <col min="4874" max="4874" width="5.75" style="3282" customWidth="1"/>
    <col min="4875" max="4875" width="11.75" style="3282" customWidth="1"/>
    <col min="4876" max="4877" width="10.75" style="3282" customWidth="1"/>
    <col min="4878" max="4878" width="10" style="3282" customWidth="1"/>
    <col min="4879" max="4880" width="10.375" style="3282" bestFit="1" customWidth="1"/>
    <col min="4881" max="4881" width="10" style="3282" customWidth="1"/>
    <col min="4882" max="4882" width="10.125" style="3282" customWidth="1"/>
    <col min="4883" max="4883" width="10" style="3282" customWidth="1"/>
    <col min="4884" max="4884" width="26.125" style="3282" customWidth="1"/>
    <col min="4885" max="5120" width="8.875" style="3282"/>
    <col min="5121" max="5121" width="9.375" style="3282" customWidth="1"/>
    <col min="5122" max="5122" width="8.875" style="3282"/>
    <col min="5123" max="5125" width="12.875" style="3282" customWidth="1"/>
    <col min="5126" max="5126" width="47.375" style="3282" customWidth="1"/>
    <col min="5127" max="5127" width="13" style="3282" customWidth="1"/>
    <col min="5128" max="5129" width="8.875" style="3282"/>
    <col min="5130" max="5130" width="5.75" style="3282" customWidth="1"/>
    <col min="5131" max="5131" width="11.75" style="3282" customWidth="1"/>
    <col min="5132" max="5133" width="10.75" style="3282" customWidth="1"/>
    <col min="5134" max="5134" width="10" style="3282" customWidth="1"/>
    <col min="5135" max="5136" width="10.375" style="3282" bestFit="1" customWidth="1"/>
    <col min="5137" max="5137" width="10" style="3282" customWidth="1"/>
    <col min="5138" max="5138" width="10.125" style="3282" customWidth="1"/>
    <col min="5139" max="5139" width="10" style="3282" customWidth="1"/>
    <col min="5140" max="5140" width="26.125" style="3282" customWidth="1"/>
    <col min="5141" max="5376" width="8.875" style="3282"/>
    <col min="5377" max="5377" width="9.375" style="3282" customWidth="1"/>
    <col min="5378" max="5378" width="8.875" style="3282"/>
    <col min="5379" max="5381" width="12.875" style="3282" customWidth="1"/>
    <col min="5382" max="5382" width="47.375" style="3282" customWidth="1"/>
    <col min="5383" max="5383" width="13" style="3282" customWidth="1"/>
    <col min="5384" max="5385" width="8.875" style="3282"/>
    <col min="5386" max="5386" width="5.75" style="3282" customWidth="1"/>
    <col min="5387" max="5387" width="11.75" style="3282" customWidth="1"/>
    <col min="5388" max="5389" width="10.75" style="3282" customWidth="1"/>
    <col min="5390" max="5390" width="10" style="3282" customWidth="1"/>
    <col min="5391" max="5392" width="10.375" style="3282" bestFit="1" customWidth="1"/>
    <col min="5393" max="5393" width="10" style="3282" customWidth="1"/>
    <col min="5394" max="5394" width="10.125" style="3282" customWidth="1"/>
    <col min="5395" max="5395" width="10" style="3282" customWidth="1"/>
    <col min="5396" max="5396" width="26.125" style="3282" customWidth="1"/>
    <col min="5397" max="5632" width="8.875" style="3282"/>
    <col min="5633" max="5633" width="9.375" style="3282" customWidth="1"/>
    <col min="5634" max="5634" width="8.875" style="3282"/>
    <col min="5635" max="5637" width="12.875" style="3282" customWidth="1"/>
    <col min="5638" max="5638" width="47.375" style="3282" customWidth="1"/>
    <col min="5639" max="5639" width="13" style="3282" customWidth="1"/>
    <col min="5640" max="5641" width="8.875" style="3282"/>
    <col min="5642" max="5642" width="5.75" style="3282" customWidth="1"/>
    <col min="5643" max="5643" width="11.75" style="3282" customWidth="1"/>
    <col min="5644" max="5645" width="10.75" style="3282" customWidth="1"/>
    <col min="5646" max="5646" width="10" style="3282" customWidth="1"/>
    <col min="5647" max="5648" width="10.375" style="3282" bestFit="1" customWidth="1"/>
    <col min="5649" max="5649" width="10" style="3282" customWidth="1"/>
    <col min="5650" max="5650" width="10.125" style="3282" customWidth="1"/>
    <col min="5651" max="5651" width="10" style="3282" customWidth="1"/>
    <col min="5652" max="5652" width="26.125" style="3282" customWidth="1"/>
    <col min="5653" max="5888" width="8.875" style="3282"/>
    <col min="5889" max="5889" width="9.375" style="3282" customWidth="1"/>
    <col min="5890" max="5890" width="8.875" style="3282"/>
    <col min="5891" max="5893" width="12.875" style="3282" customWidth="1"/>
    <col min="5894" max="5894" width="47.375" style="3282" customWidth="1"/>
    <col min="5895" max="5895" width="13" style="3282" customWidth="1"/>
    <col min="5896" max="5897" width="8.875" style="3282"/>
    <col min="5898" max="5898" width="5.75" style="3282" customWidth="1"/>
    <col min="5899" max="5899" width="11.75" style="3282" customWidth="1"/>
    <col min="5900" max="5901" width="10.75" style="3282" customWidth="1"/>
    <col min="5902" max="5902" width="10" style="3282" customWidth="1"/>
    <col min="5903" max="5904" width="10.375" style="3282" bestFit="1" customWidth="1"/>
    <col min="5905" max="5905" width="10" style="3282" customWidth="1"/>
    <col min="5906" max="5906" width="10.125" style="3282" customWidth="1"/>
    <col min="5907" max="5907" width="10" style="3282" customWidth="1"/>
    <col min="5908" max="5908" width="26.125" style="3282" customWidth="1"/>
    <col min="5909" max="6144" width="8.875" style="3282"/>
    <col min="6145" max="6145" width="9.375" style="3282" customWidth="1"/>
    <col min="6146" max="6146" width="8.875" style="3282"/>
    <col min="6147" max="6149" width="12.875" style="3282" customWidth="1"/>
    <col min="6150" max="6150" width="47.375" style="3282" customWidth="1"/>
    <col min="6151" max="6151" width="13" style="3282" customWidth="1"/>
    <col min="6152" max="6153" width="8.875" style="3282"/>
    <col min="6154" max="6154" width="5.75" style="3282" customWidth="1"/>
    <col min="6155" max="6155" width="11.75" style="3282" customWidth="1"/>
    <col min="6156" max="6157" width="10.75" style="3282" customWidth="1"/>
    <col min="6158" max="6158" width="10" style="3282" customWidth="1"/>
    <col min="6159" max="6160" width="10.375" style="3282" bestFit="1" customWidth="1"/>
    <col min="6161" max="6161" width="10" style="3282" customWidth="1"/>
    <col min="6162" max="6162" width="10.125" style="3282" customWidth="1"/>
    <col min="6163" max="6163" width="10" style="3282" customWidth="1"/>
    <col min="6164" max="6164" width="26.125" style="3282" customWidth="1"/>
    <col min="6165" max="6400" width="8.875" style="3282"/>
    <col min="6401" max="6401" width="9.375" style="3282" customWidth="1"/>
    <col min="6402" max="6402" width="8.875" style="3282"/>
    <col min="6403" max="6405" width="12.875" style="3282" customWidth="1"/>
    <col min="6406" max="6406" width="47.375" style="3282" customWidth="1"/>
    <col min="6407" max="6407" width="13" style="3282" customWidth="1"/>
    <col min="6408" max="6409" width="8.875" style="3282"/>
    <col min="6410" max="6410" width="5.75" style="3282" customWidth="1"/>
    <col min="6411" max="6411" width="11.75" style="3282" customWidth="1"/>
    <col min="6412" max="6413" width="10.75" style="3282" customWidth="1"/>
    <col min="6414" max="6414" width="10" style="3282" customWidth="1"/>
    <col min="6415" max="6416" width="10.375" style="3282" bestFit="1" customWidth="1"/>
    <col min="6417" max="6417" width="10" style="3282" customWidth="1"/>
    <col min="6418" max="6418" width="10.125" style="3282" customWidth="1"/>
    <col min="6419" max="6419" width="10" style="3282" customWidth="1"/>
    <col min="6420" max="6420" width="26.125" style="3282" customWidth="1"/>
    <col min="6421" max="6656" width="8.875" style="3282"/>
    <col min="6657" max="6657" width="9.375" style="3282" customWidth="1"/>
    <col min="6658" max="6658" width="8.875" style="3282"/>
    <col min="6659" max="6661" width="12.875" style="3282" customWidth="1"/>
    <col min="6662" max="6662" width="47.375" style="3282" customWidth="1"/>
    <col min="6663" max="6663" width="13" style="3282" customWidth="1"/>
    <col min="6664" max="6665" width="8.875" style="3282"/>
    <col min="6666" max="6666" width="5.75" style="3282" customWidth="1"/>
    <col min="6667" max="6667" width="11.75" style="3282" customWidth="1"/>
    <col min="6668" max="6669" width="10.75" style="3282" customWidth="1"/>
    <col min="6670" max="6670" width="10" style="3282" customWidth="1"/>
    <col min="6671" max="6672" width="10.375" style="3282" bestFit="1" customWidth="1"/>
    <col min="6673" max="6673" width="10" style="3282" customWidth="1"/>
    <col min="6674" max="6674" width="10.125" style="3282" customWidth="1"/>
    <col min="6675" max="6675" width="10" style="3282" customWidth="1"/>
    <col min="6676" max="6676" width="26.125" style="3282" customWidth="1"/>
    <col min="6677" max="6912" width="8.875" style="3282"/>
    <col min="6913" max="6913" width="9.375" style="3282" customWidth="1"/>
    <col min="6914" max="6914" width="8.875" style="3282"/>
    <col min="6915" max="6917" width="12.875" style="3282" customWidth="1"/>
    <col min="6918" max="6918" width="47.375" style="3282" customWidth="1"/>
    <col min="6919" max="6919" width="13" style="3282" customWidth="1"/>
    <col min="6920" max="6921" width="8.875" style="3282"/>
    <col min="6922" max="6922" width="5.75" style="3282" customWidth="1"/>
    <col min="6923" max="6923" width="11.75" style="3282" customWidth="1"/>
    <col min="6924" max="6925" width="10.75" style="3282" customWidth="1"/>
    <col min="6926" max="6926" width="10" style="3282" customWidth="1"/>
    <col min="6927" max="6928" width="10.375" style="3282" bestFit="1" customWidth="1"/>
    <col min="6929" max="6929" width="10" style="3282" customWidth="1"/>
    <col min="6930" max="6930" width="10.125" style="3282" customWidth="1"/>
    <col min="6931" max="6931" width="10" style="3282" customWidth="1"/>
    <col min="6932" max="6932" width="26.125" style="3282" customWidth="1"/>
    <col min="6933" max="7168" width="8.875" style="3282"/>
    <col min="7169" max="7169" width="9.375" style="3282" customWidth="1"/>
    <col min="7170" max="7170" width="8.875" style="3282"/>
    <col min="7171" max="7173" width="12.875" style="3282" customWidth="1"/>
    <col min="7174" max="7174" width="47.375" style="3282" customWidth="1"/>
    <col min="7175" max="7175" width="13" style="3282" customWidth="1"/>
    <col min="7176" max="7177" width="8.875" style="3282"/>
    <col min="7178" max="7178" width="5.75" style="3282" customWidth="1"/>
    <col min="7179" max="7179" width="11.75" style="3282" customWidth="1"/>
    <col min="7180" max="7181" width="10.75" style="3282" customWidth="1"/>
    <col min="7182" max="7182" width="10" style="3282" customWidth="1"/>
    <col min="7183" max="7184" width="10.375" style="3282" bestFit="1" customWidth="1"/>
    <col min="7185" max="7185" width="10" style="3282" customWidth="1"/>
    <col min="7186" max="7186" width="10.125" style="3282" customWidth="1"/>
    <col min="7187" max="7187" width="10" style="3282" customWidth="1"/>
    <col min="7188" max="7188" width="26.125" style="3282" customWidth="1"/>
    <col min="7189" max="7424" width="8.875" style="3282"/>
    <col min="7425" max="7425" width="9.375" style="3282" customWidth="1"/>
    <col min="7426" max="7426" width="8.875" style="3282"/>
    <col min="7427" max="7429" width="12.875" style="3282" customWidth="1"/>
    <col min="7430" max="7430" width="47.375" style="3282" customWidth="1"/>
    <col min="7431" max="7431" width="13" style="3282" customWidth="1"/>
    <col min="7432" max="7433" width="8.875" style="3282"/>
    <col min="7434" max="7434" width="5.75" style="3282" customWidth="1"/>
    <col min="7435" max="7435" width="11.75" style="3282" customWidth="1"/>
    <col min="7436" max="7437" width="10.75" style="3282" customWidth="1"/>
    <col min="7438" max="7438" width="10" style="3282" customWidth="1"/>
    <col min="7439" max="7440" width="10.375" style="3282" bestFit="1" customWidth="1"/>
    <col min="7441" max="7441" width="10" style="3282" customWidth="1"/>
    <col min="7442" max="7442" width="10.125" style="3282" customWidth="1"/>
    <col min="7443" max="7443" width="10" style="3282" customWidth="1"/>
    <col min="7444" max="7444" width="26.125" style="3282" customWidth="1"/>
    <col min="7445" max="7680" width="8.875" style="3282"/>
    <col min="7681" max="7681" width="9.375" style="3282" customWidth="1"/>
    <col min="7682" max="7682" width="8.875" style="3282"/>
    <col min="7683" max="7685" width="12.875" style="3282" customWidth="1"/>
    <col min="7686" max="7686" width="47.375" style="3282" customWidth="1"/>
    <col min="7687" max="7687" width="13" style="3282" customWidth="1"/>
    <col min="7688" max="7689" width="8.875" style="3282"/>
    <col min="7690" max="7690" width="5.75" style="3282" customWidth="1"/>
    <col min="7691" max="7691" width="11.75" style="3282" customWidth="1"/>
    <col min="7692" max="7693" width="10.75" style="3282" customWidth="1"/>
    <col min="7694" max="7694" width="10" style="3282" customWidth="1"/>
    <col min="7695" max="7696" width="10.375" style="3282" bestFit="1" customWidth="1"/>
    <col min="7697" max="7697" width="10" style="3282" customWidth="1"/>
    <col min="7698" max="7698" width="10.125" style="3282" customWidth="1"/>
    <col min="7699" max="7699" width="10" style="3282" customWidth="1"/>
    <col min="7700" max="7700" width="26.125" style="3282" customWidth="1"/>
    <col min="7701" max="7936" width="8.875" style="3282"/>
    <col min="7937" max="7937" width="9.375" style="3282" customWidth="1"/>
    <col min="7938" max="7938" width="8.875" style="3282"/>
    <col min="7939" max="7941" width="12.875" style="3282" customWidth="1"/>
    <col min="7942" max="7942" width="47.375" style="3282" customWidth="1"/>
    <col min="7943" max="7943" width="13" style="3282" customWidth="1"/>
    <col min="7944" max="7945" width="8.875" style="3282"/>
    <col min="7946" max="7946" width="5.75" style="3282" customWidth="1"/>
    <col min="7947" max="7947" width="11.75" style="3282" customWidth="1"/>
    <col min="7948" max="7949" width="10.75" style="3282" customWidth="1"/>
    <col min="7950" max="7950" width="10" style="3282" customWidth="1"/>
    <col min="7951" max="7952" width="10.375" style="3282" bestFit="1" customWidth="1"/>
    <col min="7953" max="7953" width="10" style="3282" customWidth="1"/>
    <col min="7954" max="7954" width="10.125" style="3282" customWidth="1"/>
    <col min="7955" max="7955" width="10" style="3282" customWidth="1"/>
    <col min="7956" max="7956" width="26.125" style="3282" customWidth="1"/>
    <col min="7957" max="8192" width="8.875" style="3282"/>
    <col min="8193" max="8193" width="9.375" style="3282" customWidth="1"/>
    <col min="8194" max="8194" width="8.875" style="3282"/>
    <col min="8195" max="8197" width="12.875" style="3282" customWidth="1"/>
    <col min="8198" max="8198" width="47.375" style="3282" customWidth="1"/>
    <col min="8199" max="8199" width="13" style="3282" customWidth="1"/>
    <col min="8200" max="8201" width="8.875" style="3282"/>
    <col min="8202" max="8202" width="5.75" style="3282" customWidth="1"/>
    <col min="8203" max="8203" width="11.75" style="3282" customWidth="1"/>
    <col min="8204" max="8205" width="10.75" style="3282" customWidth="1"/>
    <col min="8206" max="8206" width="10" style="3282" customWidth="1"/>
    <col min="8207" max="8208" width="10.375" style="3282" bestFit="1" customWidth="1"/>
    <col min="8209" max="8209" width="10" style="3282" customWidth="1"/>
    <col min="8210" max="8210" width="10.125" style="3282" customWidth="1"/>
    <col min="8211" max="8211" width="10" style="3282" customWidth="1"/>
    <col min="8212" max="8212" width="26.125" style="3282" customWidth="1"/>
    <col min="8213" max="8448" width="8.875" style="3282"/>
    <col min="8449" max="8449" width="9.375" style="3282" customWidth="1"/>
    <col min="8450" max="8450" width="8.875" style="3282"/>
    <col min="8451" max="8453" width="12.875" style="3282" customWidth="1"/>
    <col min="8454" max="8454" width="47.375" style="3282" customWidth="1"/>
    <col min="8455" max="8455" width="13" style="3282" customWidth="1"/>
    <col min="8456" max="8457" width="8.875" style="3282"/>
    <col min="8458" max="8458" width="5.75" style="3282" customWidth="1"/>
    <col min="8459" max="8459" width="11.75" style="3282" customWidth="1"/>
    <col min="8460" max="8461" width="10.75" style="3282" customWidth="1"/>
    <col min="8462" max="8462" width="10" style="3282" customWidth="1"/>
    <col min="8463" max="8464" width="10.375" style="3282" bestFit="1" customWidth="1"/>
    <col min="8465" max="8465" width="10" style="3282" customWidth="1"/>
    <col min="8466" max="8466" width="10.125" style="3282" customWidth="1"/>
    <col min="8467" max="8467" width="10" style="3282" customWidth="1"/>
    <col min="8468" max="8468" width="26.125" style="3282" customWidth="1"/>
    <col min="8469" max="8704" width="8.875" style="3282"/>
    <col min="8705" max="8705" width="9.375" style="3282" customWidth="1"/>
    <col min="8706" max="8706" width="8.875" style="3282"/>
    <col min="8707" max="8709" width="12.875" style="3282" customWidth="1"/>
    <col min="8710" max="8710" width="47.375" style="3282" customWidth="1"/>
    <col min="8711" max="8711" width="13" style="3282" customWidth="1"/>
    <col min="8712" max="8713" width="8.875" style="3282"/>
    <col min="8714" max="8714" width="5.75" style="3282" customWidth="1"/>
    <col min="8715" max="8715" width="11.75" style="3282" customWidth="1"/>
    <col min="8716" max="8717" width="10.75" style="3282" customWidth="1"/>
    <col min="8718" max="8718" width="10" style="3282" customWidth="1"/>
    <col min="8719" max="8720" width="10.375" style="3282" bestFit="1" customWidth="1"/>
    <col min="8721" max="8721" width="10" style="3282" customWidth="1"/>
    <col min="8722" max="8722" width="10.125" style="3282" customWidth="1"/>
    <col min="8723" max="8723" width="10" style="3282" customWidth="1"/>
    <col min="8724" max="8724" width="26.125" style="3282" customWidth="1"/>
    <col min="8725" max="8960" width="8.875" style="3282"/>
    <col min="8961" max="8961" width="9.375" style="3282" customWidth="1"/>
    <col min="8962" max="8962" width="8.875" style="3282"/>
    <col min="8963" max="8965" width="12.875" style="3282" customWidth="1"/>
    <col min="8966" max="8966" width="47.375" style="3282" customWidth="1"/>
    <col min="8967" max="8967" width="13" style="3282" customWidth="1"/>
    <col min="8968" max="8969" width="8.875" style="3282"/>
    <col min="8970" max="8970" width="5.75" style="3282" customWidth="1"/>
    <col min="8971" max="8971" width="11.75" style="3282" customWidth="1"/>
    <col min="8972" max="8973" width="10.75" style="3282" customWidth="1"/>
    <col min="8974" max="8974" width="10" style="3282" customWidth="1"/>
    <col min="8975" max="8976" width="10.375" style="3282" bestFit="1" customWidth="1"/>
    <col min="8977" max="8977" width="10" style="3282" customWidth="1"/>
    <col min="8978" max="8978" width="10.125" style="3282" customWidth="1"/>
    <col min="8979" max="8979" width="10" style="3282" customWidth="1"/>
    <col min="8980" max="8980" width="26.125" style="3282" customWidth="1"/>
    <col min="8981" max="9216" width="8.875" style="3282"/>
    <col min="9217" max="9217" width="9.375" style="3282" customWidth="1"/>
    <col min="9218" max="9218" width="8.875" style="3282"/>
    <col min="9219" max="9221" width="12.875" style="3282" customWidth="1"/>
    <col min="9222" max="9222" width="47.375" style="3282" customWidth="1"/>
    <col min="9223" max="9223" width="13" style="3282" customWidth="1"/>
    <col min="9224" max="9225" width="8.875" style="3282"/>
    <col min="9226" max="9226" width="5.75" style="3282" customWidth="1"/>
    <col min="9227" max="9227" width="11.75" style="3282" customWidth="1"/>
    <col min="9228" max="9229" width="10.75" style="3282" customWidth="1"/>
    <col min="9230" max="9230" width="10" style="3282" customWidth="1"/>
    <col min="9231" max="9232" width="10.375" style="3282" bestFit="1" customWidth="1"/>
    <col min="9233" max="9233" width="10" style="3282" customWidth="1"/>
    <col min="9234" max="9234" width="10.125" style="3282" customWidth="1"/>
    <col min="9235" max="9235" width="10" style="3282" customWidth="1"/>
    <col min="9236" max="9236" width="26.125" style="3282" customWidth="1"/>
    <col min="9237" max="9472" width="8.875" style="3282"/>
    <col min="9473" max="9473" width="9.375" style="3282" customWidth="1"/>
    <col min="9474" max="9474" width="8.875" style="3282"/>
    <col min="9475" max="9477" width="12.875" style="3282" customWidth="1"/>
    <col min="9478" max="9478" width="47.375" style="3282" customWidth="1"/>
    <col min="9479" max="9479" width="13" style="3282" customWidth="1"/>
    <col min="9480" max="9481" width="8.875" style="3282"/>
    <col min="9482" max="9482" width="5.75" style="3282" customWidth="1"/>
    <col min="9483" max="9483" width="11.75" style="3282" customWidth="1"/>
    <col min="9484" max="9485" width="10.75" style="3282" customWidth="1"/>
    <col min="9486" max="9486" width="10" style="3282" customWidth="1"/>
    <col min="9487" max="9488" width="10.375" style="3282" bestFit="1" customWidth="1"/>
    <col min="9489" max="9489" width="10" style="3282" customWidth="1"/>
    <col min="9490" max="9490" width="10.125" style="3282" customWidth="1"/>
    <col min="9491" max="9491" width="10" style="3282" customWidth="1"/>
    <col min="9492" max="9492" width="26.125" style="3282" customWidth="1"/>
    <col min="9493" max="9728" width="8.875" style="3282"/>
    <col min="9729" max="9729" width="9.375" style="3282" customWidth="1"/>
    <col min="9730" max="9730" width="8.875" style="3282"/>
    <col min="9731" max="9733" width="12.875" style="3282" customWidth="1"/>
    <col min="9734" max="9734" width="47.375" style="3282" customWidth="1"/>
    <col min="9735" max="9735" width="13" style="3282" customWidth="1"/>
    <col min="9736" max="9737" width="8.875" style="3282"/>
    <col min="9738" max="9738" width="5.75" style="3282" customWidth="1"/>
    <col min="9739" max="9739" width="11.75" style="3282" customWidth="1"/>
    <col min="9740" max="9741" width="10.75" style="3282" customWidth="1"/>
    <col min="9742" max="9742" width="10" style="3282" customWidth="1"/>
    <col min="9743" max="9744" width="10.375" style="3282" bestFit="1" customWidth="1"/>
    <col min="9745" max="9745" width="10" style="3282" customWidth="1"/>
    <col min="9746" max="9746" width="10.125" style="3282" customWidth="1"/>
    <col min="9747" max="9747" width="10" style="3282" customWidth="1"/>
    <col min="9748" max="9748" width="26.125" style="3282" customWidth="1"/>
    <col min="9749" max="9984" width="8.875" style="3282"/>
    <col min="9985" max="9985" width="9.375" style="3282" customWidth="1"/>
    <col min="9986" max="9986" width="8.875" style="3282"/>
    <col min="9987" max="9989" width="12.875" style="3282" customWidth="1"/>
    <col min="9990" max="9990" width="47.375" style="3282" customWidth="1"/>
    <col min="9991" max="9991" width="13" style="3282" customWidth="1"/>
    <col min="9992" max="9993" width="8.875" style="3282"/>
    <col min="9994" max="9994" width="5.75" style="3282" customWidth="1"/>
    <col min="9995" max="9995" width="11.75" style="3282" customWidth="1"/>
    <col min="9996" max="9997" width="10.75" style="3282" customWidth="1"/>
    <col min="9998" max="9998" width="10" style="3282" customWidth="1"/>
    <col min="9999" max="10000" width="10.375" style="3282" bestFit="1" customWidth="1"/>
    <col min="10001" max="10001" width="10" style="3282" customWidth="1"/>
    <col min="10002" max="10002" width="10.125" style="3282" customWidth="1"/>
    <col min="10003" max="10003" width="10" style="3282" customWidth="1"/>
    <col min="10004" max="10004" width="26.125" style="3282" customWidth="1"/>
    <col min="10005" max="10240" width="8.875" style="3282"/>
    <col min="10241" max="10241" width="9.375" style="3282" customWidth="1"/>
    <col min="10242" max="10242" width="8.875" style="3282"/>
    <col min="10243" max="10245" width="12.875" style="3282" customWidth="1"/>
    <col min="10246" max="10246" width="47.375" style="3282" customWidth="1"/>
    <col min="10247" max="10247" width="13" style="3282" customWidth="1"/>
    <col min="10248" max="10249" width="8.875" style="3282"/>
    <col min="10250" max="10250" width="5.75" style="3282" customWidth="1"/>
    <col min="10251" max="10251" width="11.75" style="3282" customWidth="1"/>
    <col min="10252" max="10253" width="10.75" style="3282" customWidth="1"/>
    <col min="10254" max="10254" width="10" style="3282" customWidth="1"/>
    <col min="10255" max="10256" width="10.375" style="3282" bestFit="1" customWidth="1"/>
    <col min="10257" max="10257" width="10" style="3282" customWidth="1"/>
    <col min="10258" max="10258" width="10.125" style="3282" customWidth="1"/>
    <col min="10259" max="10259" width="10" style="3282" customWidth="1"/>
    <col min="10260" max="10260" width="26.125" style="3282" customWidth="1"/>
    <col min="10261" max="10496" width="8.875" style="3282"/>
    <col min="10497" max="10497" width="9.375" style="3282" customWidth="1"/>
    <col min="10498" max="10498" width="8.875" style="3282"/>
    <col min="10499" max="10501" width="12.875" style="3282" customWidth="1"/>
    <col min="10502" max="10502" width="47.375" style="3282" customWidth="1"/>
    <col min="10503" max="10503" width="13" style="3282" customWidth="1"/>
    <col min="10504" max="10505" width="8.875" style="3282"/>
    <col min="10506" max="10506" width="5.75" style="3282" customWidth="1"/>
    <col min="10507" max="10507" width="11.75" style="3282" customWidth="1"/>
    <col min="10508" max="10509" width="10.75" style="3282" customWidth="1"/>
    <col min="10510" max="10510" width="10" style="3282" customWidth="1"/>
    <col min="10511" max="10512" width="10.375" style="3282" bestFit="1" customWidth="1"/>
    <col min="10513" max="10513" width="10" style="3282" customWidth="1"/>
    <col min="10514" max="10514" width="10.125" style="3282" customWidth="1"/>
    <col min="10515" max="10515" width="10" style="3282" customWidth="1"/>
    <col min="10516" max="10516" width="26.125" style="3282" customWidth="1"/>
    <col min="10517" max="10752" width="8.875" style="3282"/>
    <col min="10753" max="10753" width="9.375" style="3282" customWidth="1"/>
    <col min="10754" max="10754" width="8.875" style="3282"/>
    <col min="10755" max="10757" width="12.875" style="3282" customWidth="1"/>
    <col min="10758" max="10758" width="47.375" style="3282" customWidth="1"/>
    <col min="10759" max="10759" width="13" style="3282" customWidth="1"/>
    <col min="10760" max="10761" width="8.875" style="3282"/>
    <col min="10762" max="10762" width="5.75" style="3282" customWidth="1"/>
    <col min="10763" max="10763" width="11.75" style="3282" customWidth="1"/>
    <col min="10764" max="10765" width="10.75" style="3282" customWidth="1"/>
    <col min="10766" max="10766" width="10" style="3282" customWidth="1"/>
    <col min="10767" max="10768" width="10.375" style="3282" bestFit="1" customWidth="1"/>
    <col min="10769" max="10769" width="10" style="3282" customWidth="1"/>
    <col min="10770" max="10770" width="10.125" style="3282" customWidth="1"/>
    <col min="10771" max="10771" width="10" style="3282" customWidth="1"/>
    <col min="10772" max="10772" width="26.125" style="3282" customWidth="1"/>
    <col min="10773" max="11008" width="8.875" style="3282"/>
    <col min="11009" max="11009" width="9.375" style="3282" customWidth="1"/>
    <col min="11010" max="11010" width="8.875" style="3282"/>
    <col min="11011" max="11013" width="12.875" style="3282" customWidth="1"/>
    <col min="11014" max="11014" width="47.375" style="3282" customWidth="1"/>
    <col min="11015" max="11015" width="13" style="3282" customWidth="1"/>
    <col min="11016" max="11017" width="8.875" style="3282"/>
    <col min="11018" max="11018" width="5.75" style="3282" customWidth="1"/>
    <col min="11019" max="11019" width="11.75" style="3282" customWidth="1"/>
    <col min="11020" max="11021" width="10.75" style="3282" customWidth="1"/>
    <col min="11022" max="11022" width="10" style="3282" customWidth="1"/>
    <col min="11023" max="11024" width="10.375" style="3282" bestFit="1" customWidth="1"/>
    <col min="11025" max="11025" width="10" style="3282" customWidth="1"/>
    <col min="11026" max="11026" width="10.125" style="3282" customWidth="1"/>
    <col min="11027" max="11027" width="10" style="3282" customWidth="1"/>
    <col min="11028" max="11028" width="26.125" style="3282" customWidth="1"/>
    <col min="11029" max="11264" width="8.875" style="3282"/>
    <col min="11265" max="11265" width="9.375" style="3282" customWidth="1"/>
    <col min="11266" max="11266" width="8.875" style="3282"/>
    <col min="11267" max="11269" width="12.875" style="3282" customWidth="1"/>
    <col min="11270" max="11270" width="47.375" style="3282" customWidth="1"/>
    <col min="11271" max="11271" width="13" style="3282" customWidth="1"/>
    <col min="11272" max="11273" width="8.875" style="3282"/>
    <col min="11274" max="11274" width="5.75" style="3282" customWidth="1"/>
    <col min="11275" max="11275" width="11.75" style="3282" customWidth="1"/>
    <col min="11276" max="11277" width="10.75" style="3282" customWidth="1"/>
    <col min="11278" max="11278" width="10" style="3282" customWidth="1"/>
    <col min="11279" max="11280" width="10.375" style="3282" bestFit="1" customWidth="1"/>
    <col min="11281" max="11281" width="10" style="3282" customWidth="1"/>
    <col min="11282" max="11282" width="10.125" style="3282" customWidth="1"/>
    <col min="11283" max="11283" width="10" style="3282" customWidth="1"/>
    <col min="11284" max="11284" width="26.125" style="3282" customWidth="1"/>
    <col min="11285" max="11520" width="8.875" style="3282"/>
    <col min="11521" max="11521" width="9.375" style="3282" customWidth="1"/>
    <col min="11522" max="11522" width="8.875" style="3282"/>
    <col min="11523" max="11525" width="12.875" style="3282" customWidth="1"/>
    <col min="11526" max="11526" width="47.375" style="3282" customWidth="1"/>
    <col min="11527" max="11527" width="13" style="3282" customWidth="1"/>
    <col min="11528" max="11529" width="8.875" style="3282"/>
    <col min="11530" max="11530" width="5.75" style="3282" customWidth="1"/>
    <col min="11531" max="11531" width="11.75" style="3282" customWidth="1"/>
    <col min="11532" max="11533" width="10.75" style="3282" customWidth="1"/>
    <col min="11534" max="11534" width="10" style="3282" customWidth="1"/>
    <col min="11535" max="11536" width="10.375" style="3282" bestFit="1" customWidth="1"/>
    <col min="11537" max="11537" width="10" style="3282" customWidth="1"/>
    <col min="11538" max="11538" width="10.125" style="3282" customWidth="1"/>
    <col min="11539" max="11539" width="10" style="3282" customWidth="1"/>
    <col min="11540" max="11540" width="26.125" style="3282" customWidth="1"/>
    <col min="11541" max="11776" width="8.875" style="3282"/>
    <col min="11777" max="11777" width="9.375" style="3282" customWidth="1"/>
    <col min="11778" max="11778" width="8.875" style="3282"/>
    <col min="11779" max="11781" width="12.875" style="3282" customWidth="1"/>
    <col min="11782" max="11782" width="47.375" style="3282" customWidth="1"/>
    <col min="11783" max="11783" width="13" style="3282" customWidth="1"/>
    <col min="11784" max="11785" width="8.875" style="3282"/>
    <col min="11786" max="11786" width="5.75" style="3282" customWidth="1"/>
    <col min="11787" max="11787" width="11.75" style="3282" customWidth="1"/>
    <col min="11788" max="11789" width="10.75" style="3282" customWidth="1"/>
    <col min="11790" max="11790" width="10" style="3282" customWidth="1"/>
    <col min="11791" max="11792" width="10.375" style="3282" bestFit="1" customWidth="1"/>
    <col min="11793" max="11793" width="10" style="3282" customWidth="1"/>
    <col min="11794" max="11794" width="10.125" style="3282" customWidth="1"/>
    <col min="11795" max="11795" width="10" style="3282" customWidth="1"/>
    <col min="11796" max="11796" width="26.125" style="3282" customWidth="1"/>
    <col min="11797" max="12032" width="8.875" style="3282"/>
    <col min="12033" max="12033" width="9.375" style="3282" customWidth="1"/>
    <col min="12034" max="12034" width="8.875" style="3282"/>
    <col min="12035" max="12037" width="12.875" style="3282" customWidth="1"/>
    <col min="12038" max="12038" width="47.375" style="3282" customWidth="1"/>
    <col min="12039" max="12039" width="13" style="3282" customWidth="1"/>
    <col min="12040" max="12041" width="8.875" style="3282"/>
    <col min="12042" max="12042" width="5.75" style="3282" customWidth="1"/>
    <col min="12043" max="12043" width="11.75" style="3282" customWidth="1"/>
    <col min="12044" max="12045" width="10.75" style="3282" customWidth="1"/>
    <col min="12046" max="12046" width="10" style="3282" customWidth="1"/>
    <col min="12047" max="12048" width="10.375" style="3282" bestFit="1" customWidth="1"/>
    <col min="12049" max="12049" width="10" style="3282" customWidth="1"/>
    <col min="12050" max="12050" width="10.125" style="3282" customWidth="1"/>
    <col min="12051" max="12051" width="10" style="3282" customWidth="1"/>
    <col min="12052" max="12052" width="26.125" style="3282" customWidth="1"/>
    <col min="12053" max="12288" width="8.875" style="3282"/>
    <col min="12289" max="12289" width="9.375" style="3282" customWidth="1"/>
    <col min="12290" max="12290" width="8.875" style="3282"/>
    <col min="12291" max="12293" width="12.875" style="3282" customWidth="1"/>
    <col min="12294" max="12294" width="47.375" style="3282" customWidth="1"/>
    <col min="12295" max="12295" width="13" style="3282" customWidth="1"/>
    <col min="12296" max="12297" width="8.875" style="3282"/>
    <col min="12298" max="12298" width="5.75" style="3282" customWidth="1"/>
    <col min="12299" max="12299" width="11.75" style="3282" customWidth="1"/>
    <col min="12300" max="12301" width="10.75" style="3282" customWidth="1"/>
    <col min="12302" max="12302" width="10" style="3282" customWidth="1"/>
    <col min="12303" max="12304" width="10.375" style="3282" bestFit="1" customWidth="1"/>
    <col min="12305" max="12305" width="10" style="3282" customWidth="1"/>
    <col min="12306" max="12306" width="10.125" style="3282" customWidth="1"/>
    <col min="12307" max="12307" width="10" style="3282" customWidth="1"/>
    <col min="12308" max="12308" width="26.125" style="3282" customWidth="1"/>
    <col min="12309" max="12544" width="8.875" style="3282"/>
    <col min="12545" max="12545" width="9.375" style="3282" customWidth="1"/>
    <col min="12546" max="12546" width="8.875" style="3282"/>
    <col min="12547" max="12549" width="12.875" style="3282" customWidth="1"/>
    <col min="12550" max="12550" width="47.375" style="3282" customWidth="1"/>
    <col min="12551" max="12551" width="13" style="3282" customWidth="1"/>
    <col min="12552" max="12553" width="8.875" style="3282"/>
    <col min="12554" max="12554" width="5.75" style="3282" customWidth="1"/>
    <col min="12555" max="12555" width="11.75" style="3282" customWidth="1"/>
    <col min="12556" max="12557" width="10.75" style="3282" customWidth="1"/>
    <col min="12558" max="12558" width="10" style="3282" customWidth="1"/>
    <col min="12559" max="12560" width="10.375" style="3282" bestFit="1" customWidth="1"/>
    <col min="12561" max="12561" width="10" style="3282" customWidth="1"/>
    <col min="12562" max="12562" width="10.125" style="3282" customWidth="1"/>
    <col min="12563" max="12563" width="10" style="3282" customWidth="1"/>
    <col min="12564" max="12564" width="26.125" style="3282" customWidth="1"/>
    <col min="12565" max="12800" width="8.875" style="3282"/>
    <col min="12801" max="12801" width="9.375" style="3282" customWidth="1"/>
    <col min="12802" max="12802" width="8.875" style="3282"/>
    <col min="12803" max="12805" width="12.875" style="3282" customWidth="1"/>
    <col min="12806" max="12806" width="47.375" style="3282" customWidth="1"/>
    <col min="12807" max="12807" width="13" style="3282" customWidth="1"/>
    <col min="12808" max="12809" width="8.875" style="3282"/>
    <col min="12810" max="12810" width="5.75" style="3282" customWidth="1"/>
    <col min="12811" max="12811" width="11.75" style="3282" customWidth="1"/>
    <col min="12812" max="12813" width="10.75" style="3282" customWidth="1"/>
    <col min="12814" max="12814" width="10" style="3282" customWidth="1"/>
    <col min="12815" max="12816" width="10.375" style="3282" bestFit="1" customWidth="1"/>
    <col min="12817" max="12817" width="10" style="3282" customWidth="1"/>
    <col min="12818" max="12818" width="10.125" style="3282" customWidth="1"/>
    <col min="12819" max="12819" width="10" style="3282" customWidth="1"/>
    <col min="12820" max="12820" width="26.125" style="3282" customWidth="1"/>
    <col min="12821" max="13056" width="8.875" style="3282"/>
    <col min="13057" max="13057" width="9.375" style="3282" customWidth="1"/>
    <col min="13058" max="13058" width="8.875" style="3282"/>
    <col min="13059" max="13061" width="12.875" style="3282" customWidth="1"/>
    <col min="13062" max="13062" width="47.375" style="3282" customWidth="1"/>
    <col min="13063" max="13063" width="13" style="3282" customWidth="1"/>
    <col min="13064" max="13065" width="8.875" style="3282"/>
    <col min="13066" max="13066" width="5.75" style="3282" customWidth="1"/>
    <col min="13067" max="13067" width="11.75" style="3282" customWidth="1"/>
    <col min="13068" max="13069" width="10.75" style="3282" customWidth="1"/>
    <col min="13070" max="13070" width="10" style="3282" customWidth="1"/>
    <col min="13071" max="13072" width="10.375" style="3282" bestFit="1" customWidth="1"/>
    <col min="13073" max="13073" width="10" style="3282" customWidth="1"/>
    <col min="13074" max="13074" width="10.125" style="3282" customWidth="1"/>
    <col min="13075" max="13075" width="10" style="3282" customWidth="1"/>
    <col min="13076" max="13076" width="26.125" style="3282" customWidth="1"/>
    <col min="13077" max="13312" width="8.875" style="3282"/>
    <col min="13313" max="13313" width="9.375" style="3282" customWidth="1"/>
    <col min="13314" max="13314" width="8.875" style="3282"/>
    <col min="13315" max="13317" width="12.875" style="3282" customWidth="1"/>
    <col min="13318" max="13318" width="47.375" style="3282" customWidth="1"/>
    <col min="13319" max="13319" width="13" style="3282" customWidth="1"/>
    <col min="13320" max="13321" width="8.875" style="3282"/>
    <col min="13322" max="13322" width="5.75" style="3282" customWidth="1"/>
    <col min="13323" max="13323" width="11.75" style="3282" customWidth="1"/>
    <col min="13324" max="13325" width="10.75" style="3282" customWidth="1"/>
    <col min="13326" max="13326" width="10" style="3282" customWidth="1"/>
    <col min="13327" max="13328" width="10.375" style="3282" bestFit="1" customWidth="1"/>
    <col min="13329" max="13329" width="10" style="3282" customWidth="1"/>
    <col min="13330" max="13330" width="10.125" style="3282" customWidth="1"/>
    <col min="13331" max="13331" width="10" style="3282" customWidth="1"/>
    <col min="13332" max="13332" width="26.125" style="3282" customWidth="1"/>
    <col min="13333" max="13568" width="8.875" style="3282"/>
    <col min="13569" max="13569" width="9.375" style="3282" customWidth="1"/>
    <col min="13570" max="13570" width="8.875" style="3282"/>
    <col min="13571" max="13573" width="12.875" style="3282" customWidth="1"/>
    <col min="13574" max="13574" width="47.375" style="3282" customWidth="1"/>
    <col min="13575" max="13575" width="13" style="3282" customWidth="1"/>
    <col min="13576" max="13577" width="8.875" style="3282"/>
    <col min="13578" max="13578" width="5.75" style="3282" customWidth="1"/>
    <col min="13579" max="13579" width="11.75" style="3282" customWidth="1"/>
    <col min="13580" max="13581" width="10.75" style="3282" customWidth="1"/>
    <col min="13582" max="13582" width="10" style="3282" customWidth="1"/>
    <col min="13583" max="13584" width="10.375" style="3282" bestFit="1" customWidth="1"/>
    <col min="13585" max="13585" width="10" style="3282" customWidth="1"/>
    <col min="13586" max="13586" width="10.125" style="3282" customWidth="1"/>
    <col min="13587" max="13587" width="10" style="3282" customWidth="1"/>
    <col min="13588" max="13588" width="26.125" style="3282" customWidth="1"/>
    <col min="13589" max="13824" width="8.875" style="3282"/>
    <col min="13825" max="13825" width="9.375" style="3282" customWidth="1"/>
    <col min="13826" max="13826" width="8.875" style="3282"/>
    <col min="13827" max="13829" width="12.875" style="3282" customWidth="1"/>
    <col min="13830" max="13830" width="47.375" style="3282" customWidth="1"/>
    <col min="13831" max="13831" width="13" style="3282" customWidth="1"/>
    <col min="13832" max="13833" width="8.875" style="3282"/>
    <col min="13834" max="13834" width="5.75" style="3282" customWidth="1"/>
    <col min="13835" max="13835" width="11.75" style="3282" customWidth="1"/>
    <col min="13836" max="13837" width="10.75" style="3282" customWidth="1"/>
    <col min="13838" max="13838" width="10" style="3282" customWidth="1"/>
    <col min="13839" max="13840" width="10.375" style="3282" bestFit="1" customWidth="1"/>
    <col min="13841" max="13841" width="10" style="3282" customWidth="1"/>
    <col min="13842" max="13842" width="10.125" style="3282" customWidth="1"/>
    <col min="13843" max="13843" width="10" style="3282" customWidth="1"/>
    <col min="13844" max="13844" width="26.125" style="3282" customWidth="1"/>
    <col min="13845" max="14080" width="8.875" style="3282"/>
    <col min="14081" max="14081" width="9.375" style="3282" customWidth="1"/>
    <col min="14082" max="14082" width="8.875" style="3282"/>
    <col min="14083" max="14085" width="12.875" style="3282" customWidth="1"/>
    <col min="14086" max="14086" width="47.375" style="3282" customWidth="1"/>
    <col min="14087" max="14087" width="13" style="3282" customWidth="1"/>
    <col min="14088" max="14089" width="8.875" style="3282"/>
    <col min="14090" max="14090" width="5.75" style="3282" customWidth="1"/>
    <col min="14091" max="14091" width="11.75" style="3282" customWidth="1"/>
    <col min="14092" max="14093" width="10.75" style="3282" customWidth="1"/>
    <col min="14094" max="14094" width="10" style="3282" customWidth="1"/>
    <col min="14095" max="14096" width="10.375" style="3282" bestFit="1" customWidth="1"/>
    <col min="14097" max="14097" width="10" style="3282" customWidth="1"/>
    <col min="14098" max="14098" width="10.125" style="3282" customWidth="1"/>
    <col min="14099" max="14099" width="10" style="3282" customWidth="1"/>
    <col min="14100" max="14100" width="26.125" style="3282" customWidth="1"/>
    <col min="14101" max="14336" width="8.875" style="3282"/>
    <col min="14337" max="14337" width="9.375" style="3282" customWidth="1"/>
    <col min="14338" max="14338" width="8.875" style="3282"/>
    <col min="14339" max="14341" width="12.875" style="3282" customWidth="1"/>
    <col min="14342" max="14342" width="47.375" style="3282" customWidth="1"/>
    <col min="14343" max="14343" width="13" style="3282" customWidth="1"/>
    <col min="14344" max="14345" width="8.875" style="3282"/>
    <col min="14346" max="14346" width="5.75" style="3282" customWidth="1"/>
    <col min="14347" max="14347" width="11.75" style="3282" customWidth="1"/>
    <col min="14348" max="14349" width="10.75" style="3282" customWidth="1"/>
    <col min="14350" max="14350" width="10" style="3282" customWidth="1"/>
    <col min="14351" max="14352" width="10.375" style="3282" bestFit="1" customWidth="1"/>
    <col min="14353" max="14353" width="10" style="3282" customWidth="1"/>
    <col min="14354" max="14354" width="10.125" style="3282" customWidth="1"/>
    <col min="14355" max="14355" width="10" style="3282" customWidth="1"/>
    <col min="14356" max="14356" width="26.125" style="3282" customWidth="1"/>
    <col min="14357" max="14592" width="8.875" style="3282"/>
    <col min="14593" max="14593" width="9.375" style="3282" customWidth="1"/>
    <col min="14594" max="14594" width="8.875" style="3282"/>
    <col min="14595" max="14597" width="12.875" style="3282" customWidth="1"/>
    <col min="14598" max="14598" width="47.375" style="3282" customWidth="1"/>
    <col min="14599" max="14599" width="13" style="3282" customWidth="1"/>
    <col min="14600" max="14601" width="8.875" style="3282"/>
    <col min="14602" max="14602" width="5.75" style="3282" customWidth="1"/>
    <col min="14603" max="14603" width="11.75" style="3282" customWidth="1"/>
    <col min="14604" max="14605" width="10.75" style="3282" customWidth="1"/>
    <col min="14606" max="14606" width="10" style="3282" customWidth="1"/>
    <col min="14607" max="14608" width="10.375" style="3282" bestFit="1" customWidth="1"/>
    <col min="14609" max="14609" width="10" style="3282" customWidth="1"/>
    <col min="14610" max="14610" width="10.125" style="3282" customWidth="1"/>
    <col min="14611" max="14611" width="10" style="3282" customWidth="1"/>
    <col min="14612" max="14612" width="26.125" style="3282" customWidth="1"/>
    <col min="14613" max="14848" width="8.875" style="3282"/>
    <col min="14849" max="14849" width="9.375" style="3282" customWidth="1"/>
    <col min="14850" max="14850" width="8.875" style="3282"/>
    <col min="14851" max="14853" width="12.875" style="3282" customWidth="1"/>
    <col min="14854" max="14854" width="47.375" style="3282" customWidth="1"/>
    <col min="14855" max="14855" width="13" style="3282" customWidth="1"/>
    <col min="14856" max="14857" width="8.875" style="3282"/>
    <col min="14858" max="14858" width="5.75" style="3282" customWidth="1"/>
    <col min="14859" max="14859" width="11.75" style="3282" customWidth="1"/>
    <col min="14860" max="14861" width="10.75" style="3282" customWidth="1"/>
    <col min="14862" max="14862" width="10" style="3282" customWidth="1"/>
    <col min="14863" max="14864" width="10.375" style="3282" bestFit="1" customWidth="1"/>
    <col min="14865" max="14865" width="10" style="3282" customWidth="1"/>
    <col min="14866" max="14866" width="10.125" style="3282" customWidth="1"/>
    <col min="14867" max="14867" width="10" style="3282" customWidth="1"/>
    <col min="14868" max="14868" width="26.125" style="3282" customWidth="1"/>
    <col min="14869" max="15104" width="8.875" style="3282"/>
    <col min="15105" max="15105" width="9.375" style="3282" customWidth="1"/>
    <col min="15106" max="15106" width="8.875" style="3282"/>
    <col min="15107" max="15109" width="12.875" style="3282" customWidth="1"/>
    <col min="15110" max="15110" width="47.375" style="3282" customWidth="1"/>
    <col min="15111" max="15111" width="13" style="3282" customWidth="1"/>
    <col min="15112" max="15113" width="8.875" style="3282"/>
    <col min="15114" max="15114" width="5.75" style="3282" customWidth="1"/>
    <col min="15115" max="15115" width="11.75" style="3282" customWidth="1"/>
    <col min="15116" max="15117" width="10.75" style="3282" customWidth="1"/>
    <col min="15118" max="15118" width="10" style="3282" customWidth="1"/>
    <col min="15119" max="15120" width="10.375" style="3282" bestFit="1" customWidth="1"/>
    <col min="15121" max="15121" width="10" style="3282" customWidth="1"/>
    <col min="15122" max="15122" width="10.125" style="3282" customWidth="1"/>
    <col min="15123" max="15123" width="10" style="3282" customWidth="1"/>
    <col min="15124" max="15124" width="26.125" style="3282" customWidth="1"/>
    <col min="15125" max="15360" width="8.875" style="3282"/>
    <col min="15361" max="15361" width="9.375" style="3282" customWidth="1"/>
    <col min="15362" max="15362" width="8.875" style="3282"/>
    <col min="15363" max="15365" width="12.875" style="3282" customWidth="1"/>
    <col min="15366" max="15366" width="47.375" style="3282" customWidth="1"/>
    <col min="15367" max="15367" width="13" style="3282" customWidth="1"/>
    <col min="15368" max="15369" width="8.875" style="3282"/>
    <col min="15370" max="15370" width="5.75" style="3282" customWidth="1"/>
    <col min="15371" max="15371" width="11.75" style="3282" customWidth="1"/>
    <col min="15372" max="15373" width="10.75" style="3282" customWidth="1"/>
    <col min="15374" max="15374" width="10" style="3282" customWidth="1"/>
    <col min="15375" max="15376" width="10.375" style="3282" bestFit="1" customWidth="1"/>
    <col min="15377" max="15377" width="10" style="3282" customWidth="1"/>
    <col min="15378" max="15378" width="10.125" style="3282" customWidth="1"/>
    <col min="15379" max="15379" width="10" style="3282" customWidth="1"/>
    <col min="15380" max="15380" width="26.125" style="3282" customWidth="1"/>
    <col min="15381" max="15616" width="8.875" style="3282"/>
    <col min="15617" max="15617" width="9.375" style="3282" customWidth="1"/>
    <col min="15618" max="15618" width="8.875" style="3282"/>
    <col min="15619" max="15621" width="12.875" style="3282" customWidth="1"/>
    <col min="15622" max="15622" width="47.375" style="3282" customWidth="1"/>
    <col min="15623" max="15623" width="13" style="3282" customWidth="1"/>
    <col min="15624" max="15625" width="8.875" style="3282"/>
    <col min="15626" max="15626" width="5.75" style="3282" customWidth="1"/>
    <col min="15627" max="15627" width="11.75" style="3282" customWidth="1"/>
    <col min="15628" max="15629" width="10.75" style="3282" customWidth="1"/>
    <col min="15630" max="15630" width="10" style="3282" customWidth="1"/>
    <col min="15631" max="15632" width="10.375" style="3282" bestFit="1" customWidth="1"/>
    <col min="15633" max="15633" width="10" style="3282" customWidth="1"/>
    <col min="15634" max="15634" width="10.125" style="3282" customWidth="1"/>
    <col min="15635" max="15635" width="10" style="3282" customWidth="1"/>
    <col min="15636" max="15636" width="26.125" style="3282" customWidth="1"/>
    <col min="15637" max="15872" width="8.875" style="3282"/>
    <col min="15873" max="15873" width="9.375" style="3282" customWidth="1"/>
    <col min="15874" max="15874" width="8.875" style="3282"/>
    <col min="15875" max="15877" width="12.875" style="3282" customWidth="1"/>
    <col min="15878" max="15878" width="47.375" style="3282" customWidth="1"/>
    <col min="15879" max="15879" width="13" style="3282" customWidth="1"/>
    <col min="15880" max="15881" width="8.875" style="3282"/>
    <col min="15882" max="15882" width="5.75" style="3282" customWidth="1"/>
    <col min="15883" max="15883" width="11.75" style="3282" customWidth="1"/>
    <col min="15884" max="15885" width="10.75" style="3282" customWidth="1"/>
    <col min="15886" max="15886" width="10" style="3282" customWidth="1"/>
    <col min="15887" max="15888" width="10.375" style="3282" bestFit="1" customWidth="1"/>
    <col min="15889" max="15889" width="10" style="3282" customWidth="1"/>
    <col min="15890" max="15890" width="10.125" style="3282" customWidth="1"/>
    <col min="15891" max="15891" width="10" style="3282" customWidth="1"/>
    <col min="15892" max="15892" width="26.125" style="3282" customWidth="1"/>
    <col min="15893" max="16128" width="8.875" style="3282"/>
    <col min="16129" max="16129" width="9.375" style="3282" customWidth="1"/>
    <col min="16130" max="16130" width="8.875" style="3282"/>
    <col min="16131" max="16133" width="12.875" style="3282" customWidth="1"/>
    <col min="16134" max="16134" width="47.375" style="3282" customWidth="1"/>
    <col min="16135" max="16135" width="13" style="3282" customWidth="1"/>
    <col min="16136" max="16137" width="8.875" style="3282"/>
    <col min="16138" max="16138" width="5.75" style="3282" customWidth="1"/>
    <col min="16139" max="16139" width="11.75" style="3282" customWidth="1"/>
    <col min="16140" max="16141" width="10.75" style="3282" customWidth="1"/>
    <col min="16142" max="16142" width="10" style="3282" customWidth="1"/>
    <col min="16143" max="16144" width="10.375" style="3282" bestFit="1" customWidth="1"/>
    <col min="16145" max="16145" width="10" style="3282" customWidth="1"/>
    <col min="16146" max="16146" width="10.125" style="3282" customWidth="1"/>
    <col min="16147" max="16147" width="10" style="3282" customWidth="1"/>
    <col min="16148" max="16148" width="26.125" style="3282" customWidth="1"/>
    <col min="16149" max="16384" width="8.875" style="3282"/>
  </cols>
  <sheetData>
    <row r="1" spans="1:22" ht="21" customHeight="1">
      <c r="A1" s="3270" t="s">
        <v>3001</v>
      </c>
      <c r="B1" s="3271"/>
      <c r="C1" s="3272"/>
      <c r="D1" s="3272"/>
      <c r="E1" s="3273"/>
      <c r="F1" s="3274"/>
      <c r="G1" s="3275"/>
      <c r="J1" s="3278" t="s">
        <v>3002</v>
      </c>
      <c r="K1" s="3279"/>
      <c r="L1" s="3279"/>
      <c r="M1" s="3279"/>
      <c r="N1" s="3279"/>
      <c r="O1" s="3279"/>
      <c r="P1" s="3279"/>
      <c r="Q1" s="3279"/>
      <c r="R1" s="3280"/>
      <c r="S1" s="3281"/>
      <c r="T1" s="3281"/>
      <c r="U1" s="3281"/>
    </row>
    <row r="2" spans="1:22" s="3291" customFormat="1" ht="13.15" customHeight="1">
      <c r="A2" s="3283" t="s">
        <v>3003</v>
      </c>
      <c r="B2" s="3284" t="e">
        <f>C40</f>
        <v>#DIV/0!</v>
      </c>
      <c r="C2" s="3272" t="s">
        <v>3004</v>
      </c>
      <c r="D2" s="3272"/>
      <c r="E2" s="3273"/>
      <c r="F2" s="3274"/>
      <c r="G2" s="3285"/>
      <c r="H2" s="3286"/>
      <c r="I2" s="3287"/>
      <c r="J2" s="3768" t="s">
        <v>3005</v>
      </c>
      <c r="K2" s="3769"/>
      <c r="L2" s="3288" t="s">
        <v>3006</v>
      </c>
      <c r="M2" s="3288" t="s">
        <v>3007</v>
      </c>
      <c r="N2" s="3288" t="s">
        <v>3008</v>
      </c>
      <c r="O2" s="3288" t="s">
        <v>3009</v>
      </c>
      <c r="P2" s="3288" t="s">
        <v>3010</v>
      </c>
      <c r="Q2" s="3289" t="s">
        <v>3011</v>
      </c>
      <c r="R2" s="3290" t="s">
        <v>3012</v>
      </c>
      <c r="S2" s="3281"/>
      <c r="T2" s="3281"/>
      <c r="U2" s="3281"/>
      <c r="V2" s="3287"/>
    </row>
    <row r="3" spans="1:22" s="3291" customFormat="1" ht="13.15" customHeight="1">
      <c r="A3" s="3292" t="s">
        <v>3013</v>
      </c>
      <c r="B3" s="3293" t="e">
        <f>ROUND(B2*10000/B4,0)</f>
        <v>#DIV/0!</v>
      </c>
      <c r="C3" s="3272" t="s">
        <v>3014</v>
      </c>
      <c r="D3" s="3272"/>
      <c r="E3" s="3273"/>
      <c r="F3" s="3274"/>
      <c r="G3" s="3285"/>
      <c r="H3" s="3286"/>
      <c r="I3" s="3287"/>
      <c r="J3" s="3770" t="s">
        <v>3015</v>
      </c>
      <c r="K3" s="3771"/>
      <c r="L3" s="3294"/>
      <c r="M3" s="3294"/>
      <c r="N3" s="3294"/>
      <c r="O3" s="3294"/>
      <c r="P3" s="3294"/>
      <c r="Q3" s="3295"/>
      <c r="R3" s="3296">
        <f>SUM(L3:Q3)</f>
        <v>0</v>
      </c>
      <c r="S3" s="3281"/>
      <c r="T3" s="3281"/>
      <c r="U3" s="3281"/>
      <c r="V3" s="3287"/>
    </row>
    <row r="4" spans="1:22" s="3291" customFormat="1" ht="13.15" customHeight="1">
      <c r="A4" s="3297" t="s">
        <v>3016</v>
      </c>
      <c r="B4" s="3298"/>
      <c r="C4" s="3272"/>
      <c r="D4" s="3272"/>
      <c r="E4" s="3273"/>
      <c r="F4" s="3274"/>
      <c r="G4" s="3285"/>
      <c r="H4" s="3286"/>
      <c r="I4" s="3287"/>
      <c r="J4" s="3770" t="s">
        <v>3017</v>
      </c>
      <c r="K4" s="3771"/>
      <c r="L4" s="3299"/>
      <c r="M4" s="3299"/>
      <c r="N4" s="3299"/>
      <c r="O4" s="3299"/>
      <c r="P4" s="3299"/>
      <c r="Q4" s="3300"/>
      <c r="R4" s="3301">
        <f>SUM(L4:Q4)</f>
        <v>0</v>
      </c>
      <c r="S4" s="3281"/>
      <c r="T4" s="3281"/>
      <c r="U4" s="3281"/>
      <c r="V4" s="3287"/>
    </row>
    <row r="5" spans="1:22" s="3291" customFormat="1" ht="13.15" customHeight="1" thickBot="1">
      <c r="A5" s="3302" t="s">
        <v>3018</v>
      </c>
      <c r="B5" s="3303"/>
      <c r="C5" s="3272"/>
      <c r="D5" s="3304"/>
      <c r="E5" s="3274"/>
      <c r="F5" s="3274"/>
      <c r="G5" s="3285"/>
      <c r="H5" s="3286"/>
      <c r="I5" s="3287"/>
      <c r="J5" s="3305" t="s">
        <v>3019</v>
      </c>
      <c r="K5" s="3306"/>
      <c r="L5" s="3306"/>
      <c r="M5" s="3307"/>
      <c r="N5" s="3307"/>
      <c r="O5" s="3307"/>
      <c r="P5" s="3307"/>
      <c r="Q5" s="3307"/>
      <c r="R5" s="3290">
        <f>SUM(R14,R19,R24,R25,R27,R28)</f>
        <v>0</v>
      </c>
      <c r="S5" s="3281"/>
      <c r="T5" s="3281" t="s">
        <v>3020</v>
      </c>
      <c r="U5" s="3281" t="e">
        <f>ROUND(R5*10000/365/R3,1)</f>
        <v>#DIV/0!</v>
      </c>
      <c r="V5" s="3287"/>
    </row>
    <row r="6" spans="1:22" s="3291" customFormat="1" ht="13.15" customHeight="1" thickBot="1">
      <c r="A6" s="3772" t="s">
        <v>3021</v>
      </c>
      <c r="B6" s="3773"/>
      <c r="C6" s="3774"/>
      <c r="D6" s="3308"/>
      <c r="E6" s="3309"/>
      <c r="F6" s="3310"/>
      <c r="G6" s="3311"/>
      <c r="H6" s="3286"/>
      <c r="I6" s="3287"/>
      <c r="J6" s="3775">
        <v>1</v>
      </c>
      <c r="K6" s="3776" t="s">
        <v>3022</v>
      </c>
      <c r="L6" s="3312" t="s">
        <v>3023</v>
      </c>
      <c r="M6" s="3313" t="s">
        <v>3024</v>
      </c>
      <c r="N6" s="3313" t="s">
        <v>3025</v>
      </c>
      <c r="O6" s="3313" t="s">
        <v>3026</v>
      </c>
      <c r="P6" s="3313" t="s">
        <v>3027</v>
      </c>
      <c r="Q6" s="3313" t="s">
        <v>3028</v>
      </c>
      <c r="R6" s="3296" t="s">
        <v>3029</v>
      </c>
      <c r="S6" s="3281"/>
      <c r="T6" s="3281" t="s">
        <v>3030</v>
      </c>
      <c r="U6" s="3281"/>
      <c r="V6" s="3287"/>
    </row>
    <row r="7" spans="1:22" s="3291" customFormat="1" ht="13.15" customHeight="1">
      <c r="A7" s="3314" t="s">
        <v>3031</v>
      </c>
      <c r="B7" s="3315"/>
      <c r="C7" s="3316"/>
      <c r="D7" s="3317">
        <f>SUM(D9,D10,D11,D17,0)</f>
        <v>0</v>
      </c>
      <c r="E7" s="3318" t="e">
        <f>E9+E10+E11+E17</f>
        <v>#DIV/0!</v>
      </c>
      <c r="F7" s="3319"/>
      <c r="G7" s="3320"/>
      <c r="H7" s="3286"/>
      <c r="I7" s="3287"/>
      <c r="J7" s="3775"/>
      <c r="K7" s="3777"/>
      <c r="L7" s="3321" t="s">
        <v>3032</v>
      </c>
      <c r="M7" s="3322"/>
      <c r="N7" s="3298"/>
      <c r="O7" s="3323"/>
      <c r="P7" s="3323"/>
      <c r="Q7" s="3324">
        <v>365</v>
      </c>
      <c r="R7" s="3325">
        <f>ROUND(M7*N7*O7*P7*Q7/10000,0)</f>
        <v>0</v>
      </c>
      <c r="S7" s="3281"/>
      <c r="T7" s="3281" t="s">
        <v>3033</v>
      </c>
      <c r="U7" s="3281"/>
      <c r="V7" s="3287"/>
    </row>
    <row r="8" spans="1:22" s="3291" customFormat="1" ht="13.15" customHeight="1">
      <c r="A8" s="3326" t="s">
        <v>3034</v>
      </c>
      <c r="B8" s="3779" t="s">
        <v>3035</v>
      </c>
      <c r="C8" s="3780"/>
      <c r="D8" s="3327" t="s">
        <v>3036</v>
      </c>
      <c r="E8" s="3328" t="s">
        <v>3037</v>
      </c>
      <c r="F8" s="3329" t="s">
        <v>3038</v>
      </c>
      <c r="G8" s="3330"/>
      <c r="H8" s="3286"/>
      <c r="I8" s="3287"/>
      <c r="J8" s="3775"/>
      <c r="K8" s="3777"/>
      <c r="L8" s="3321" t="s">
        <v>3039</v>
      </c>
      <c r="M8" s="3322"/>
      <c r="N8" s="3298"/>
      <c r="O8" s="3323"/>
      <c r="P8" s="3323"/>
      <c r="Q8" s="3324">
        <v>365</v>
      </c>
      <c r="R8" s="3325">
        <f t="shared" ref="R8:R13" si="0">ROUND(M8*N8*O8*P8*Q8/10000,0)</f>
        <v>0</v>
      </c>
      <c r="S8" s="3281"/>
      <c r="T8" s="3281" t="s">
        <v>3040</v>
      </c>
      <c r="U8" s="3281"/>
      <c r="V8" s="3287"/>
    </row>
    <row r="9" spans="1:22" s="3291" customFormat="1" ht="13.15" customHeight="1">
      <c r="A9" s="3326">
        <v>1</v>
      </c>
      <c r="B9" s="3779" t="s">
        <v>3041</v>
      </c>
      <c r="C9" s="3780"/>
      <c r="D9" s="3327">
        <f>ROUND(D6*E9,0)</f>
        <v>0</v>
      </c>
      <c r="E9" s="3331"/>
      <c r="F9" s="3332" t="s">
        <v>3042</v>
      </c>
      <c r="G9" s="3311"/>
      <c r="H9" s="3286"/>
      <c r="I9" s="3287"/>
      <c r="J9" s="3775"/>
      <c r="K9" s="3777"/>
      <c r="L9" s="3321" t="s">
        <v>3043</v>
      </c>
      <c r="M9" s="3322"/>
      <c r="N9" s="3298"/>
      <c r="O9" s="3323"/>
      <c r="P9" s="3323"/>
      <c r="Q9" s="3324">
        <v>365</v>
      </c>
      <c r="R9" s="3325">
        <f t="shared" si="0"/>
        <v>0</v>
      </c>
      <c r="S9" s="3281"/>
      <c r="T9" s="3281"/>
      <c r="U9" s="3281"/>
      <c r="V9" s="3287"/>
    </row>
    <row r="10" spans="1:22" s="3291" customFormat="1" ht="13.15" customHeight="1">
      <c r="A10" s="3326">
        <v>2</v>
      </c>
      <c r="B10" s="3779" t="s">
        <v>3044</v>
      </c>
      <c r="C10" s="3780"/>
      <c r="D10" s="3327">
        <f>ROUND(D6*E10,0)</f>
        <v>0</v>
      </c>
      <c r="E10" s="3331"/>
      <c r="F10" s="3332" t="s">
        <v>3045</v>
      </c>
      <c r="G10" s="3311"/>
      <c r="H10" s="3286"/>
      <c r="I10" s="3287"/>
      <c r="J10" s="3775"/>
      <c r="K10" s="3777"/>
      <c r="L10" s="3321" t="s">
        <v>3046</v>
      </c>
      <c r="M10" s="3322"/>
      <c r="N10" s="3298"/>
      <c r="O10" s="3323"/>
      <c r="P10" s="3323"/>
      <c r="Q10" s="3324">
        <v>365</v>
      </c>
      <c r="R10" s="3325">
        <f t="shared" si="0"/>
        <v>0</v>
      </c>
      <c r="S10" s="3281"/>
      <c r="T10" s="3281"/>
      <c r="U10" s="3281"/>
      <c r="V10" s="3287"/>
    </row>
    <row r="11" spans="1:22" s="3291" customFormat="1" ht="13.15" customHeight="1">
      <c r="A11" s="3326">
        <v>3</v>
      </c>
      <c r="B11" s="3779" t="s">
        <v>3047</v>
      </c>
      <c r="C11" s="3780"/>
      <c r="D11" s="3327">
        <f>D12+D14+D15+D16</f>
        <v>0</v>
      </c>
      <c r="E11" s="3333" t="e">
        <f>D11/D6</f>
        <v>#DIV/0!</v>
      </c>
      <c r="F11" s="3329"/>
      <c r="G11" s="3330"/>
      <c r="H11" s="3286"/>
      <c r="I11" s="3287"/>
      <c r="J11" s="3775"/>
      <c r="K11" s="3777"/>
      <c r="L11" s="3321" t="s">
        <v>3048</v>
      </c>
      <c r="M11" s="3322"/>
      <c r="N11" s="3298"/>
      <c r="O11" s="3323"/>
      <c r="P11" s="3323"/>
      <c r="Q11" s="3324">
        <v>365</v>
      </c>
      <c r="R11" s="3325">
        <f t="shared" si="0"/>
        <v>0</v>
      </c>
      <c r="S11" s="3281"/>
      <c r="T11" s="3281"/>
      <c r="U11" s="3281"/>
      <c r="V11" s="3287"/>
    </row>
    <row r="12" spans="1:22" s="3291" customFormat="1" ht="13.15" customHeight="1">
      <c r="A12" s="3334" t="s">
        <v>3049</v>
      </c>
      <c r="B12" s="3781" t="s">
        <v>3050</v>
      </c>
      <c r="C12" s="3782"/>
      <c r="D12" s="3335">
        <f>ROUND(D13*1.2%*(1-30%),0)</f>
        <v>0</v>
      </c>
      <c r="E12" s="3336">
        <v>1.2E-2</v>
      </c>
      <c r="F12" s="3329" t="s">
        <v>3051</v>
      </c>
      <c r="G12" s="3330"/>
      <c r="H12" s="3286"/>
      <c r="I12" s="3287"/>
      <c r="J12" s="3775"/>
      <c r="K12" s="3777"/>
      <c r="L12" s="3321" t="s">
        <v>3052</v>
      </c>
      <c r="M12" s="3322"/>
      <c r="N12" s="3298"/>
      <c r="O12" s="3323"/>
      <c r="P12" s="3323"/>
      <c r="Q12" s="3324">
        <v>365</v>
      </c>
      <c r="R12" s="3325">
        <f t="shared" si="0"/>
        <v>0</v>
      </c>
      <c r="S12" s="3281"/>
      <c r="T12" s="3281"/>
      <c r="U12" s="3281"/>
      <c r="V12" s="3287"/>
    </row>
    <row r="13" spans="1:22" s="3291" customFormat="1" ht="13.15" customHeight="1">
      <c r="A13" s="3334"/>
      <c r="B13" s="3337"/>
      <c r="C13" s="3338" t="s">
        <v>3053</v>
      </c>
      <c r="D13" s="3339"/>
      <c r="E13" s="3340"/>
      <c r="F13" s="3329"/>
      <c r="G13" s="3330"/>
      <c r="H13" s="3286"/>
      <c r="I13" s="3287"/>
      <c r="J13" s="3775"/>
      <c r="K13" s="3777"/>
      <c r="L13" s="3321" t="s">
        <v>3054</v>
      </c>
      <c r="M13" s="3322"/>
      <c r="N13" s="3298"/>
      <c r="O13" s="3323"/>
      <c r="P13" s="3323"/>
      <c r="Q13" s="3324">
        <v>365</v>
      </c>
      <c r="R13" s="3325">
        <f t="shared" si="0"/>
        <v>0</v>
      </c>
      <c r="S13" s="3281"/>
      <c r="T13" s="3281"/>
      <c r="U13" s="3281"/>
      <c r="V13" s="3287"/>
    </row>
    <row r="14" spans="1:22" s="3291" customFormat="1" ht="13.15" customHeight="1">
      <c r="A14" s="3334" t="s">
        <v>3055</v>
      </c>
      <c r="B14" s="3781" t="s">
        <v>3056</v>
      </c>
      <c r="C14" s="3782"/>
      <c r="D14" s="3335">
        <f>ROUND(E14*B5/10000,0)</f>
        <v>0</v>
      </c>
      <c r="E14" s="3324"/>
      <c r="F14" s="3329" t="s">
        <v>3057</v>
      </c>
      <c r="G14" s="3330"/>
      <c r="H14" s="3286"/>
      <c r="I14" s="3287"/>
      <c r="J14" s="3775"/>
      <c r="K14" s="3778"/>
      <c r="L14" s="3341" t="s">
        <v>3058</v>
      </c>
      <c r="M14" s="3342">
        <f>SUM(M7:M13)</f>
        <v>0</v>
      </c>
      <c r="N14" s="3342" t="e">
        <f>ROUND((N7*M7+N8*M8+N9*M9+N10*M10+N11*M11+N12*M12+N13*M13)/M14,0)</f>
        <v>#DIV/0!</v>
      </c>
      <c r="O14" s="3343"/>
      <c r="P14" s="3343"/>
      <c r="Q14" s="3344"/>
      <c r="R14" s="3290">
        <f>SUM(R7:R13)</f>
        <v>0</v>
      </c>
      <c r="S14" s="3281"/>
      <c r="T14" s="3281"/>
      <c r="U14" s="3281"/>
      <c r="V14" s="3287"/>
    </row>
    <row r="15" spans="1:22" s="3291" customFormat="1" ht="13.15" customHeight="1">
      <c r="A15" s="3334" t="s">
        <v>3059</v>
      </c>
      <c r="B15" s="3781" t="s">
        <v>3060</v>
      </c>
      <c r="C15" s="3782"/>
      <c r="D15" s="3335">
        <f>ROUND(D6*E15,0)</f>
        <v>0</v>
      </c>
      <c r="E15" s="3336">
        <v>5.5E-2</v>
      </c>
      <c r="F15" s="3329" t="s">
        <v>3061</v>
      </c>
      <c r="G15" s="3311"/>
      <c r="H15" s="3286"/>
      <c r="I15" s="3287"/>
      <c r="J15" s="3775">
        <v>2</v>
      </c>
      <c r="K15" s="3776" t="s">
        <v>3062</v>
      </c>
      <c r="L15" s="3321" t="s">
        <v>3063</v>
      </c>
      <c r="M15" s="3322" t="s">
        <v>3064</v>
      </c>
      <c r="N15" s="3322" t="s">
        <v>3065</v>
      </c>
      <c r="O15" s="3323" t="s">
        <v>3066</v>
      </c>
      <c r="P15" s="3323" t="s">
        <v>3028</v>
      </c>
      <c r="Q15" s="3298" t="s">
        <v>3067</v>
      </c>
      <c r="R15" s="3345" t="s">
        <v>3029</v>
      </c>
      <c r="S15" s="3281"/>
      <c r="T15" s="3281"/>
      <c r="U15" s="3281"/>
      <c r="V15" s="3287"/>
    </row>
    <row r="16" spans="1:22" s="3291" customFormat="1" ht="13.15" customHeight="1">
      <c r="A16" s="3334" t="s">
        <v>3068</v>
      </c>
      <c r="B16" s="3781" t="s">
        <v>3069</v>
      </c>
      <c r="C16" s="3782"/>
      <c r="D16" s="3346">
        <f>D6*E16</f>
        <v>0</v>
      </c>
      <c r="E16" s="3347"/>
      <c r="F16" s="3332" t="s">
        <v>3070</v>
      </c>
      <c r="G16" s="3311"/>
      <c r="H16" s="3286"/>
      <c r="I16" s="3287"/>
      <c r="J16" s="3775"/>
      <c r="K16" s="3777"/>
      <c r="L16" s="3321" t="s">
        <v>3071</v>
      </c>
      <c r="M16" s="3322"/>
      <c r="N16" s="3322"/>
      <c r="O16" s="3323"/>
      <c r="P16" s="3324">
        <v>365</v>
      </c>
      <c r="Q16" s="3298"/>
      <c r="R16" s="3345">
        <f>ROUND(M16*N16*O16*P16/10000,0)</f>
        <v>0</v>
      </c>
      <c r="S16" s="3281"/>
      <c r="T16" s="3281"/>
      <c r="U16" s="3281"/>
      <c r="V16" s="3287"/>
    </row>
    <row r="17" spans="1:22" s="3291" customFormat="1" ht="13.15" customHeight="1" thickBot="1">
      <c r="A17" s="3348">
        <v>4</v>
      </c>
      <c r="B17" s="3783" t="s">
        <v>3072</v>
      </c>
      <c r="C17" s="3784"/>
      <c r="D17" s="3349">
        <f>ROUND(D6*E17,0)</f>
        <v>0</v>
      </c>
      <c r="E17" s="3350"/>
      <c r="F17" s="3351" t="s">
        <v>3073</v>
      </c>
      <c r="G17" s="3311"/>
      <c r="H17" s="3286"/>
      <c r="I17" s="3287"/>
      <c r="J17" s="3775"/>
      <c r="K17" s="3777"/>
      <c r="L17" s="3321" t="s">
        <v>3074</v>
      </c>
      <c r="M17" s="3322"/>
      <c r="N17" s="3322"/>
      <c r="O17" s="3323"/>
      <c r="P17" s="3324">
        <v>365</v>
      </c>
      <c r="Q17" s="3298"/>
      <c r="R17" s="3345">
        <f>ROUND(M17*N17*O17*P17/10000,0)</f>
        <v>0</v>
      </c>
      <c r="S17" s="3281"/>
      <c r="T17" s="3281"/>
      <c r="U17" s="3281"/>
      <c r="V17" s="3287"/>
    </row>
    <row r="18" spans="1:22" s="3291" customFormat="1" ht="13.15" customHeight="1" thickBot="1">
      <c r="A18" s="3314" t="s">
        <v>3075</v>
      </c>
      <c r="B18" s="3315"/>
      <c r="C18" s="3315"/>
      <c r="D18" s="3352">
        <f>ROUND(D6*E18,0)</f>
        <v>0</v>
      </c>
      <c r="E18" s="3353"/>
      <c r="F18" s="3354" t="s">
        <v>3076</v>
      </c>
      <c r="G18" s="3311"/>
      <c r="H18" s="3286"/>
      <c r="I18" s="3287"/>
      <c r="J18" s="3775"/>
      <c r="K18" s="3777"/>
      <c r="L18" s="3321" t="s">
        <v>3077</v>
      </c>
      <c r="M18" s="3322"/>
      <c r="N18" s="3322"/>
      <c r="O18" s="3323"/>
      <c r="P18" s="3324">
        <v>365</v>
      </c>
      <c r="Q18" s="3298"/>
      <c r="R18" s="3345">
        <f>ROUND(M18*N18*O18*P18/10000,0)</f>
        <v>0</v>
      </c>
      <c r="S18" s="3281"/>
      <c r="T18" s="3281"/>
      <c r="U18" s="3281"/>
      <c r="V18" s="3287"/>
    </row>
    <row r="19" spans="1:22" s="3291" customFormat="1" ht="13.15" customHeight="1" thickBot="1">
      <c r="A19" s="3355" t="s">
        <v>3078</v>
      </c>
      <c r="B19" s="3309"/>
      <c r="C19" s="3309"/>
      <c r="D19" s="3309"/>
      <c r="E19" s="3309"/>
      <c r="F19" s="3310"/>
      <c r="G19" s="3330"/>
      <c r="H19" s="3286"/>
      <c r="I19" s="3287"/>
      <c r="J19" s="3775"/>
      <c r="K19" s="3778"/>
      <c r="L19" s="3341" t="s">
        <v>3058</v>
      </c>
      <c r="M19" s="3342"/>
      <c r="N19" s="3342">
        <f>SUM(N16:N18)</f>
        <v>0</v>
      </c>
      <c r="O19" s="3343"/>
      <c r="P19" s="3356" t="s">
        <v>3079</v>
      </c>
      <c r="Q19" s="3323"/>
      <c r="R19" s="3357">
        <f>ROUND(IF(P19="按比例",R14*Q19,SUM(R16:R18)),0)</f>
        <v>0</v>
      </c>
      <c r="S19" s="3281"/>
      <c r="T19" s="3281"/>
      <c r="U19" s="3281"/>
      <c r="V19" s="3287"/>
    </row>
    <row r="20" spans="1:22" s="3291" customFormat="1" ht="13.15" customHeight="1">
      <c r="A20" s="3314"/>
      <c r="B20" s="3315"/>
      <c r="C20" s="3315"/>
      <c r="D20" s="3315"/>
      <c r="E20" s="3315"/>
      <c r="F20" s="3358"/>
      <c r="G20" s="3330"/>
      <c r="H20" s="3286"/>
      <c r="I20" s="3287"/>
      <c r="J20" s="3775">
        <v>3</v>
      </c>
      <c r="K20" s="3776" t="s">
        <v>3080</v>
      </c>
      <c r="L20" s="3321" t="s">
        <v>3081</v>
      </c>
      <c r="M20" s="3322" t="s">
        <v>3082</v>
      </c>
      <c r="N20" s="3359" t="s">
        <v>3083</v>
      </c>
      <c r="O20" s="3323" t="s">
        <v>3084</v>
      </c>
      <c r="P20" s="3324" t="s">
        <v>3085</v>
      </c>
      <c r="Q20" s="3298" t="s">
        <v>3086</v>
      </c>
      <c r="R20" s="3345" t="s">
        <v>3087</v>
      </c>
      <c r="S20" s="3360"/>
      <c r="T20" s="3360"/>
      <c r="U20" s="3360"/>
      <c r="V20" s="3287"/>
    </row>
    <row r="21" spans="1:22" s="3291" customFormat="1" ht="13.15" customHeight="1">
      <c r="A21" s="3314"/>
      <c r="B21" s="3315"/>
      <c r="C21" s="3361" t="s">
        <v>3088</v>
      </c>
      <c r="D21" s="3362" t="s">
        <v>3089</v>
      </c>
      <c r="E21" s="3363" t="s">
        <v>3090</v>
      </c>
      <c r="F21" s="3358"/>
      <c r="G21" s="3330"/>
      <c r="H21" s="3286"/>
      <c r="I21" s="3287"/>
      <c r="J21" s="3775"/>
      <c r="K21" s="3777"/>
      <c r="L21" s="3321" t="s">
        <v>3091</v>
      </c>
      <c r="M21" s="3322"/>
      <c r="N21" s="3322"/>
      <c r="O21" s="3323"/>
      <c r="P21" s="3324">
        <v>365</v>
      </c>
      <c r="Q21" s="3298"/>
      <c r="R21" s="3364">
        <f>ROUND(M21*N21*O21*P21/10000,0)</f>
        <v>0</v>
      </c>
      <c r="S21" s="3360"/>
      <c r="T21" s="3360"/>
      <c r="U21" s="3360"/>
      <c r="V21" s="3287"/>
    </row>
    <row r="22" spans="1:22" s="3291" customFormat="1" ht="13.15" customHeight="1">
      <c r="A22" s="3314"/>
      <c r="B22" s="3315"/>
      <c r="C22" s="3365" t="s">
        <v>3092</v>
      </c>
      <c r="D22" s="3366" t="s">
        <v>3093</v>
      </c>
      <c r="E22" s="3367" t="s">
        <v>3094</v>
      </c>
      <c r="F22" s="3358"/>
      <c r="G22" s="3368"/>
      <c r="H22" s="3286"/>
      <c r="I22" s="3287"/>
      <c r="J22" s="3775"/>
      <c r="K22" s="3777"/>
      <c r="L22" s="3321" t="s">
        <v>3095</v>
      </c>
      <c r="M22" s="3322"/>
      <c r="N22" s="3322"/>
      <c r="O22" s="3323"/>
      <c r="P22" s="3324">
        <v>365</v>
      </c>
      <c r="Q22" s="3298"/>
      <c r="R22" s="3364">
        <f>ROUND(M22*N22*O22*P22/10000,0)</f>
        <v>0</v>
      </c>
      <c r="S22" s="3360"/>
      <c r="T22" s="3360"/>
      <c r="U22" s="3360"/>
      <c r="V22" s="3287"/>
    </row>
    <row r="23" spans="1:22" s="3291" customFormat="1" ht="13.15" customHeight="1">
      <c r="A23" s="3369">
        <v>1</v>
      </c>
      <c r="B23" s="3370" t="s">
        <v>3096</v>
      </c>
      <c r="C23" s="3371">
        <f>D6</f>
        <v>0</v>
      </c>
      <c r="D23" s="3372">
        <f>C23*(1+D24)</f>
        <v>0</v>
      </c>
      <c r="E23" s="3373">
        <f>D23*(1+E24)</f>
        <v>0</v>
      </c>
      <c r="F23" s="3374"/>
      <c r="G23" s="3375"/>
      <c r="H23" s="3286"/>
      <c r="I23" s="3287"/>
      <c r="J23" s="3775"/>
      <c r="K23" s="3777"/>
      <c r="L23" s="3321" t="s">
        <v>3097</v>
      </c>
      <c r="M23" s="3322"/>
      <c r="N23" s="3322"/>
      <c r="O23" s="3323"/>
      <c r="P23" s="3324">
        <v>365</v>
      </c>
      <c r="Q23" s="3298"/>
      <c r="R23" s="3364">
        <f>ROUND(M23*N23*O23*P23/10000,0)</f>
        <v>0</v>
      </c>
      <c r="S23" s="3281"/>
      <c r="T23" s="3281"/>
      <c r="U23" s="3281"/>
      <c r="V23" s="3287"/>
    </row>
    <row r="24" spans="1:22" s="3291" customFormat="1" ht="13.15" customHeight="1">
      <c r="A24" s="3376"/>
      <c r="B24" s="3377" t="s">
        <v>3098</v>
      </c>
      <c r="C24" s="3378"/>
      <c r="D24" s="3379"/>
      <c r="E24" s="3380"/>
      <c r="F24" s="3381"/>
      <c r="G24" s="3375"/>
      <c r="H24" s="3286"/>
      <c r="I24" s="3287"/>
      <c r="J24" s="3775"/>
      <c r="K24" s="3778"/>
      <c r="L24" s="3341" t="s">
        <v>3058</v>
      </c>
      <c r="M24" s="3342">
        <f>SUM(M21:M23)</f>
        <v>0</v>
      </c>
      <c r="N24" s="3342"/>
      <c r="O24" s="3343"/>
      <c r="P24" s="3356" t="s">
        <v>3079</v>
      </c>
      <c r="Q24" s="3323"/>
      <c r="R24" s="3357">
        <f>ROUND(IF(P24="按比例",R14*Q24,SUM(R21:R23)),0)</f>
        <v>0</v>
      </c>
      <c r="S24" s="3281"/>
      <c r="T24" s="3281"/>
      <c r="U24" s="3281"/>
      <c r="V24" s="3287"/>
    </row>
    <row r="25" spans="1:22" s="3388" customFormat="1" ht="13.15" customHeight="1">
      <c r="A25" s="3376"/>
      <c r="B25" s="3377"/>
      <c r="C25" s="3378"/>
      <c r="D25" s="3379"/>
      <c r="E25" s="3380"/>
      <c r="F25" s="3381"/>
      <c r="G25" s="3368"/>
      <c r="H25" s="3286"/>
      <c r="I25" s="3287"/>
      <c r="J25" s="3382">
        <v>4</v>
      </c>
      <c r="K25" s="3383" t="s">
        <v>3099</v>
      </c>
      <c r="L25" s="3384"/>
      <c r="M25" s="3384"/>
      <c r="N25" s="3384"/>
      <c r="O25" s="3384"/>
      <c r="P25" s="3385"/>
      <c r="Q25" s="3386"/>
      <c r="R25" s="3357">
        <f>ROUND(R14*Q25,0)</f>
        <v>0</v>
      </c>
      <c r="S25" s="3281"/>
      <c r="T25" s="3281"/>
      <c r="U25" s="3281"/>
      <c r="V25" s="3387"/>
    </row>
    <row r="26" spans="1:22" s="3388" customFormat="1" ht="13.15" customHeight="1">
      <c r="A26" s="3369">
        <v>2</v>
      </c>
      <c r="B26" s="3370" t="s">
        <v>3100</v>
      </c>
      <c r="C26" s="3371">
        <f>D7</f>
        <v>0</v>
      </c>
      <c r="D26" s="3372">
        <f>D23*D27</f>
        <v>0</v>
      </c>
      <c r="E26" s="3373">
        <f>E23*E27</f>
        <v>0</v>
      </c>
      <c r="F26" s="3374"/>
      <c r="G26" s="3375"/>
      <c r="H26" s="3286"/>
      <c r="I26" s="3287"/>
      <c r="J26" s="3785">
        <v>5</v>
      </c>
      <c r="K26" s="3389" t="s">
        <v>3101</v>
      </c>
      <c r="L26" s="3390"/>
      <c r="M26" s="3391"/>
      <c r="N26" s="3392" t="s">
        <v>3102</v>
      </c>
      <c r="O26" s="3392" t="s">
        <v>3103</v>
      </c>
      <c r="P26" s="3393" t="s">
        <v>3104</v>
      </c>
      <c r="Q26" s="3393" t="s">
        <v>3105</v>
      </c>
      <c r="R26" s="3296" t="s">
        <v>3029</v>
      </c>
      <c r="S26" s="3394"/>
      <c r="T26" s="3394"/>
      <c r="U26" s="3394"/>
      <c r="V26" s="3387"/>
    </row>
    <row r="27" spans="1:22" s="3291" customFormat="1" ht="13.15" customHeight="1">
      <c r="A27" s="3376"/>
      <c r="B27" s="3377" t="s">
        <v>3106</v>
      </c>
      <c r="C27" s="3395" t="e">
        <f>E7</f>
        <v>#DIV/0!</v>
      </c>
      <c r="D27" s="3379"/>
      <c r="E27" s="3380"/>
      <c r="F27" s="3381"/>
      <c r="G27" s="3375"/>
      <c r="H27" s="3396"/>
      <c r="I27" s="3387"/>
      <c r="J27" s="3786"/>
      <c r="K27" s="3397"/>
      <c r="L27" s="3398"/>
      <c r="M27" s="3399"/>
      <c r="N27" s="3400"/>
      <c r="O27" s="3400"/>
      <c r="P27" s="3400"/>
      <c r="Q27" s="3401"/>
      <c r="R27" s="3357">
        <f>ROUND(O27*N27*P27*(1-Q27)/10000,0)</f>
        <v>0</v>
      </c>
      <c r="S27" s="3281"/>
      <c r="T27" s="3281"/>
      <c r="U27" s="3281"/>
      <c r="V27" s="3287"/>
    </row>
    <row r="28" spans="1:22" s="3388" customFormat="1" ht="13.15" customHeight="1" thickBot="1">
      <c r="A28" s="3376"/>
      <c r="B28" s="3377"/>
      <c r="C28" s="3395"/>
      <c r="D28" s="3379"/>
      <c r="E28" s="3380" t="s">
        <v>3107</v>
      </c>
      <c r="F28" s="3381"/>
      <c r="G28" s="3368"/>
      <c r="H28" s="3396"/>
      <c r="I28" s="3387"/>
      <c r="J28" s="3402">
        <v>6</v>
      </c>
      <c r="K28" s="3403" t="s">
        <v>3108</v>
      </c>
      <c r="L28" s="3404" t="s">
        <v>3109</v>
      </c>
      <c r="M28" s="3405"/>
      <c r="N28" s="3404" t="s">
        <v>3110</v>
      </c>
      <c r="O28" s="3406"/>
      <c r="P28" s="3404" t="s">
        <v>3111</v>
      </c>
      <c r="Q28" s="3407">
        <v>1.4999999999999999E-2</v>
      </c>
      <c r="R28" s="3408"/>
      <c r="S28" s="3360"/>
      <c r="T28" s="3360"/>
      <c r="U28" s="3360"/>
      <c r="V28" s="3387"/>
    </row>
    <row r="29" spans="1:22" s="3388" customFormat="1" ht="13.15" customHeight="1">
      <c r="A29" s="3369">
        <v>3</v>
      </c>
      <c r="B29" s="3370" t="s">
        <v>3112</v>
      </c>
      <c r="C29" s="3371">
        <f>C23*C30</f>
        <v>0</v>
      </c>
      <c r="D29" s="3372">
        <f>D23*C30</f>
        <v>0</v>
      </c>
      <c r="E29" s="3373">
        <f>E23*C30</f>
        <v>0</v>
      </c>
      <c r="F29" s="3374"/>
      <c r="G29" s="3375"/>
      <c r="H29" s="3286"/>
      <c r="I29" s="3287"/>
      <c r="J29" s="3360"/>
      <c r="K29" s="3360"/>
      <c r="L29" s="3360"/>
      <c r="M29" s="3360"/>
      <c r="N29" s="3360"/>
      <c r="O29" s="3360"/>
      <c r="P29" s="3360"/>
      <c r="Q29" s="3360"/>
      <c r="R29" s="3360"/>
      <c r="S29" s="3360"/>
      <c r="T29" s="3360"/>
      <c r="U29" s="3360"/>
      <c r="V29" s="3387"/>
    </row>
    <row r="30" spans="1:22" s="3291" customFormat="1" ht="13.15" customHeight="1" thickBot="1">
      <c r="A30" s="3376"/>
      <c r="B30" s="3377" t="s">
        <v>3106</v>
      </c>
      <c r="C30" s="3395">
        <f>E18</f>
        <v>0</v>
      </c>
      <c r="D30" s="3409"/>
      <c r="E30" s="3340"/>
      <c r="F30" s="3381"/>
      <c r="G30" s="3375"/>
      <c r="H30" s="3396"/>
      <c r="I30" s="3387"/>
      <c r="J30" s="3360"/>
      <c r="K30" s="3360"/>
      <c r="L30" s="3360"/>
      <c r="M30" s="3360"/>
      <c r="N30" s="3360"/>
      <c r="O30" s="3360"/>
      <c r="P30" s="3360"/>
      <c r="Q30" s="3360"/>
      <c r="R30" s="3360"/>
      <c r="S30" s="3360"/>
      <c r="T30" s="3360"/>
      <c r="U30" s="3281"/>
      <c r="V30" s="3287"/>
    </row>
    <row r="31" spans="1:22" s="3388" customFormat="1" ht="13.15" customHeight="1">
      <c r="A31" s="3376"/>
      <c r="B31" s="3377"/>
      <c r="C31" s="3410"/>
      <c r="D31" s="3409"/>
      <c r="E31" s="3340"/>
      <c r="F31" s="3381"/>
      <c r="G31" s="3368"/>
      <c r="H31" s="3396"/>
      <c r="I31" s="3387"/>
      <c r="J31" s="3278" t="s">
        <v>3113</v>
      </c>
      <c r="K31" s="3279"/>
      <c r="L31" s="3279"/>
      <c r="M31" s="3279"/>
      <c r="N31" s="3279"/>
      <c r="O31" s="3279"/>
      <c r="P31" s="3279"/>
      <c r="Q31" s="3279"/>
      <c r="R31" s="3280"/>
      <c r="S31" s="3360"/>
      <c r="T31" s="3281"/>
      <c r="U31" s="3281"/>
      <c r="V31" s="3387"/>
    </row>
    <row r="32" spans="1:22" s="3388" customFormat="1" ht="13.15" customHeight="1">
      <c r="A32" s="3369">
        <v>4</v>
      </c>
      <c r="B32" s="3370" t="s">
        <v>3114</v>
      </c>
      <c r="C32" s="3371">
        <f>C23-C26-C29</f>
        <v>0</v>
      </c>
      <c r="D32" s="3372">
        <f>D23-D26-D29</f>
        <v>0</v>
      </c>
      <c r="E32" s="3373">
        <f>E23-E26-E29</f>
        <v>0</v>
      </c>
      <c r="F32" s="3374"/>
      <c r="G32" s="3368"/>
      <c r="H32" s="3286"/>
      <c r="I32" s="3287"/>
      <c r="J32" s="3768" t="s">
        <v>3005</v>
      </c>
      <c r="K32" s="3769"/>
      <c r="L32" s="3288" t="s">
        <v>3006</v>
      </c>
      <c r="M32" s="3288" t="s">
        <v>3007</v>
      </c>
      <c r="N32" s="3288" t="s">
        <v>3008</v>
      </c>
      <c r="O32" s="3288" t="s">
        <v>3009</v>
      </c>
      <c r="P32" s="3288" t="s">
        <v>3010</v>
      </c>
      <c r="Q32" s="3289" t="s">
        <v>3011</v>
      </c>
      <c r="R32" s="3411" t="s">
        <v>3012</v>
      </c>
      <c r="S32" s="3360"/>
      <c r="T32" s="3281"/>
      <c r="U32" s="3281"/>
      <c r="V32" s="3387"/>
    </row>
    <row r="33" spans="1:23" s="3291" customFormat="1" ht="13.15" customHeight="1">
      <c r="A33" s="3369"/>
      <c r="B33" s="3370"/>
      <c r="C33" s="3371"/>
      <c r="D33" s="3412"/>
      <c r="E33" s="3413"/>
      <c r="F33" s="3374"/>
      <c r="G33" s="3368"/>
      <c r="H33" s="3396"/>
      <c r="I33" s="3387"/>
      <c r="J33" s="3770" t="s">
        <v>3015</v>
      </c>
      <c r="K33" s="3771"/>
      <c r="L33" s="3294"/>
      <c r="M33" s="3294"/>
      <c r="N33" s="3294"/>
      <c r="O33" s="3294"/>
      <c r="P33" s="3294"/>
      <c r="Q33" s="3295"/>
      <c r="R33" s="3414">
        <f>SUM(L33:Q33)</f>
        <v>0</v>
      </c>
      <c r="S33" s="3360"/>
      <c r="T33" s="3281"/>
      <c r="U33" s="3281"/>
      <c r="V33" s="3287"/>
    </row>
    <row r="34" spans="1:23" s="3291" customFormat="1" ht="13.15" customHeight="1">
      <c r="A34" s="3369">
        <v>5</v>
      </c>
      <c r="B34" s="3370" t="s">
        <v>3115</v>
      </c>
      <c r="C34" s="3415"/>
      <c r="D34" s="3416"/>
      <c r="E34" s="3417"/>
      <c r="F34" s="3374"/>
      <c r="G34" s="3368"/>
      <c r="H34" s="3396"/>
      <c r="I34" s="3387"/>
      <c r="J34" s="3770" t="s">
        <v>3017</v>
      </c>
      <c r="K34" s="3771"/>
      <c r="L34" s="3299"/>
      <c r="M34" s="3299"/>
      <c r="N34" s="3299"/>
      <c r="O34" s="3299"/>
      <c r="P34" s="3299"/>
      <c r="Q34" s="3300"/>
      <c r="R34" s="3418">
        <f>SUM(L34:Q34)</f>
        <v>0</v>
      </c>
      <c r="S34" s="3360"/>
      <c r="T34" s="3281"/>
      <c r="U34" s="3281" t="e">
        <f>ROUND(R35*10000/365/R33,1)</f>
        <v>#DIV/0!</v>
      </c>
      <c r="V34" s="3287"/>
    </row>
    <row r="35" spans="1:23" s="3291" customFormat="1" ht="13.15" customHeight="1">
      <c r="A35" s="3369">
        <v>6</v>
      </c>
      <c r="B35" s="3370" t="s">
        <v>3116</v>
      </c>
      <c r="C35" s="3419"/>
      <c r="D35" s="3420"/>
      <c r="E35" s="3421"/>
      <c r="F35" s="3374"/>
      <c r="G35" s="3422"/>
      <c r="H35" s="3286"/>
      <c r="I35" s="3387"/>
      <c r="J35" s="3305" t="s">
        <v>3019</v>
      </c>
      <c r="K35" s="3306"/>
      <c r="L35" s="3306"/>
      <c r="M35" s="3307"/>
      <c r="N35" s="3307"/>
      <c r="O35" s="3307"/>
      <c r="P35" s="3307"/>
      <c r="Q35" s="3307"/>
      <c r="R35" s="3423">
        <f>R40+R41+R43</f>
        <v>0</v>
      </c>
      <c r="S35" s="3360"/>
      <c r="T35" s="3281" t="s">
        <v>3020</v>
      </c>
      <c r="U35" s="3281"/>
      <c r="V35" s="3287"/>
    </row>
    <row r="36" spans="1:23" s="3291" customFormat="1" ht="13.15" customHeight="1" thickBot="1">
      <c r="A36" s="3369">
        <v>7</v>
      </c>
      <c r="B36" s="3424" t="s">
        <v>3117</v>
      </c>
      <c r="C36" s="3425"/>
      <c r="D36" s="3426"/>
      <c r="E36" s="3427"/>
      <c r="F36" s="3428">
        <f>C36+D36+E36</f>
        <v>0</v>
      </c>
      <c r="G36" s="3368"/>
      <c r="H36" s="3286"/>
      <c r="I36" s="3287"/>
      <c r="J36" s="3775">
        <v>1</v>
      </c>
      <c r="K36" s="3776" t="s">
        <v>3118</v>
      </c>
      <c r="L36" s="3312"/>
      <c r="M36" s="3313"/>
      <c r="N36" s="3313"/>
      <c r="O36" s="3313"/>
      <c r="P36" s="3313"/>
      <c r="Q36" s="3313"/>
      <c r="R36" s="3296" t="s">
        <v>3029</v>
      </c>
      <c r="S36" s="3360"/>
      <c r="T36" s="3281" t="s">
        <v>3030</v>
      </c>
      <c r="U36" s="3281"/>
      <c r="V36" s="3287"/>
    </row>
    <row r="37" spans="1:23" s="3291" customFormat="1" ht="13.15" customHeight="1">
      <c r="A37" s="3369"/>
      <c r="B37" s="3370"/>
      <c r="C37" s="3370"/>
      <c r="D37" s="3370"/>
      <c r="E37" s="3370"/>
      <c r="F37" s="3374"/>
      <c r="G37" s="3368"/>
      <c r="H37" s="3286"/>
      <c r="I37" s="3287"/>
      <c r="J37" s="3775"/>
      <c r="K37" s="3777"/>
      <c r="L37" s="3321"/>
      <c r="M37" s="3322"/>
      <c r="N37" s="3298"/>
      <c r="O37" s="3323"/>
      <c r="P37" s="3323"/>
      <c r="Q37" s="3324"/>
      <c r="R37" s="3325"/>
      <c r="S37" s="3360"/>
      <c r="T37" s="3281" t="s">
        <v>3033</v>
      </c>
      <c r="U37" s="3281"/>
      <c r="V37" s="3287"/>
    </row>
    <row r="38" spans="1:23" s="3291" customFormat="1" ht="13.15" customHeight="1">
      <c r="A38" s="3369">
        <v>8</v>
      </c>
      <c r="B38" s="3370"/>
      <c r="C38" s="3327" t="e">
        <f>ROUND(C32*(1-((1+C35)/(1+C34))^C36)/(C34-C35),0)</f>
        <v>#DIV/0!</v>
      </c>
      <c r="D38" s="3327">
        <f>IF(D23=0,0,ROUND(D32*(1-((1+D35)/(1+D34))^D36)/(D34-D35),0))</f>
        <v>0</v>
      </c>
      <c r="E38" s="3327">
        <f>IF(E23=0,0,ROUND(E32*(1-((1+E35)/(1+E34))^E36)/(E34-E35),0))</f>
        <v>0</v>
      </c>
      <c r="F38" s="3374"/>
      <c r="G38" s="3368"/>
      <c r="H38" s="3286"/>
      <c r="I38" s="3287"/>
      <c r="J38" s="3775"/>
      <c r="K38" s="3777"/>
      <c r="L38" s="3321"/>
      <c r="M38" s="3322"/>
      <c r="N38" s="3298"/>
      <c r="O38" s="3323"/>
      <c r="P38" s="3323"/>
      <c r="Q38" s="3324"/>
      <c r="R38" s="3325"/>
      <c r="S38" s="3360"/>
      <c r="T38" s="3281" t="s">
        <v>3040</v>
      </c>
      <c r="U38" s="3281"/>
      <c r="V38" s="3287"/>
    </row>
    <row r="39" spans="1:23" s="3291" customFormat="1" ht="13.15" customHeight="1">
      <c r="A39" s="3369">
        <v>9</v>
      </c>
      <c r="B39" s="3370" t="s">
        <v>3119</v>
      </c>
      <c r="C39" s="3335" t="e">
        <f>C38</f>
        <v>#DIV/0!</v>
      </c>
      <c r="D39" s="3370">
        <f>D38/(1+D34)^C36</f>
        <v>0</v>
      </c>
      <c r="E39" s="3370">
        <f>E38/(1+E34)^(C36+D36)</f>
        <v>0</v>
      </c>
      <c r="F39" s="3374"/>
      <c r="G39" s="3429"/>
      <c r="H39" s="3286"/>
      <c r="I39" s="3287"/>
      <c r="J39" s="3775"/>
      <c r="K39" s="3777"/>
      <c r="L39" s="3321"/>
      <c r="M39" s="3322"/>
      <c r="N39" s="3298"/>
      <c r="O39" s="3323"/>
      <c r="P39" s="3323"/>
      <c r="Q39" s="3324"/>
      <c r="R39" s="3325"/>
      <c r="S39" s="3360"/>
      <c r="T39" s="3281"/>
      <c r="U39" s="3281"/>
      <c r="V39" s="3287"/>
    </row>
    <row r="40" spans="1:23" s="3291" customFormat="1" ht="13.15" customHeight="1">
      <c r="A40" s="3430">
        <v>10</v>
      </c>
      <c r="B40" s="3370" t="s">
        <v>3120</v>
      </c>
      <c r="C40" s="3431" t="e">
        <f>C39+D39+E39</f>
        <v>#DIV/0!</v>
      </c>
      <c r="D40" s="3432"/>
      <c r="E40" s="3432"/>
      <c r="F40" s="3433"/>
      <c r="G40" s="3368"/>
      <c r="H40" s="3286"/>
      <c r="I40" s="3287"/>
      <c r="J40" s="3775"/>
      <c r="K40" s="3778"/>
      <c r="L40" s="3341" t="s">
        <v>3058</v>
      </c>
      <c r="M40" s="3342"/>
      <c r="N40" s="3342"/>
      <c r="O40" s="3343"/>
      <c r="P40" s="3343"/>
      <c r="Q40" s="3344"/>
      <c r="R40" s="3290">
        <f>SUM(R37:R39)</f>
        <v>0</v>
      </c>
      <c r="S40" s="3360"/>
      <c r="T40" s="3281"/>
      <c r="U40" s="3281"/>
      <c r="V40" s="3287"/>
    </row>
    <row r="41" spans="1:23" s="3291" customFormat="1" ht="13.15" customHeight="1" thickBot="1">
      <c r="A41" s="3434">
        <v>11</v>
      </c>
      <c r="B41" s="3435" t="s">
        <v>3121</v>
      </c>
      <c r="C41" s="3435" t="e">
        <f>ROUND(C40*10000/B4,0)</f>
        <v>#DIV/0!</v>
      </c>
      <c r="D41" s="3436"/>
      <c r="E41" s="3436"/>
      <c r="F41" s="3437"/>
      <c r="G41" s="3438"/>
      <c r="H41" s="3286"/>
      <c r="I41" s="3287"/>
      <c r="J41" s="3382">
        <v>2</v>
      </c>
      <c r="K41" s="3383" t="s">
        <v>3099</v>
      </c>
      <c r="L41" s="3384"/>
      <c r="M41" s="3384"/>
      <c r="N41" s="3384"/>
      <c r="O41" s="3384"/>
      <c r="P41" s="3385"/>
      <c r="Q41" s="3386"/>
      <c r="R41" s="3357">
        <f>ROUND(R40*Q41,0)</f>
        <v>0</v>
      </c>
      <c r="S41" s="3360"/>
      <c r="T41" s="3281"/>
      <c r="U41" s="3394"/>
      <c r="V41" s="3287"/>
    </row>
    <row r="42" spans="1:23" s="3291" customFormat="1" ht="13.15" customHeight="1">
      <c r="G42" s="3438"/>
      <c r="H42" s="3286"/>
      <c r="I42" s="3287"/>
      <c r="J42" s="3785">
        <v>3</v>
      </c>
      <c r="K42" s="3389" t="s">
        <v>3101</v>
      </c>
      <c r="L42" s="3390"/>
      <c r="M42" s="3391"/>
      <c r="N42" s="3392" t="s">
        <v>3102</v>
      </c>
      <c r="O42" s="3392" t="s">
        <v>3103</v>
      </c>
      <c r="P42" s="3393" t="s">
        <v>3104</v>
      </c>
      <c r="Q42" s="3393" t="s">
        <v>3105</v>
      </c>
      <c r="R42" s="3296" t="s">
        <v>3029</v>
      </c>
      <c r="S42" s="3394"/>
      <c r="T42" s="3394"/>
      <c r="U42" s="3281"/>
      <c r="V42" s="3287"/>
    </row>
    <row r="43" spans="1:23" ht="13.15" customHeight="1">
      <c r="A43" s="3291"/>
      <c r="B43" s="3291"/>
      <c r="C43" s="3291"/>
      <c r="D43" s="3291"/>
      <c r="E43" s="3291"/>
      <c r="F43" s="3291"/>
      <c r="I43" s="3276"/>
      <c r="J43" s="3786"/>
      <c r="K43" s="3397"/>
      <c r="L43" s="3398"/>
      <c r="M43" s="3399"/>
      <c r="N43" s="3322"/>
      <c r="O43" s="3322"/>
      <c r="P43" s="3322"/>
      <c r="Q43" s="3386"/>
      <c r="R43" s="3357">
        <f>ROUND(O43*N43*P43*(1-Q43)/10000,0)</f>
        <v>0</v>
      </c>
      <c r="S43" s="3360"/>
      <c r="T43" s="3281"/>
      <c r="V43" s="3440"/>
      <c r="W43" s="3441"/>
    </row>
    <row r="44" spans="1:23" ht="13.15" customHeight="1" thickBot="1">
      <c r="J44" s="3402">
        <v>6</v>
      </c>
      <c r="K44" s="3403" t="s">
        <v>3108</v>
      </c>
      <c r="L44" s="3442" t="s">
        <v>3109</v>
      </c>
      <c r="M44" s="3405"/>
      <c r="N44" s="3442" t="s">
        <v>3110</v>
      </c>
      <c r="O44" s="3405"/>
      <c r="P44" s="3442" t="s">
        <v>3111</v>
      </c>
      <c r="Q44" s="3407">
        <v>1.4999999999999999E-2</v>
      </c>
      <c r="R44" s="340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375" customWidth="1"/>
    <col min="2" max="2" width="12.875" customWidth="1"/>
    <col min="3" max="3" width="8.75" customWidth="1"/>
  </cols>
  <sheetData>
    <row r="1" spans="1:9" ht="14.25">
      <c r="A1" s="3803" t="s">
        <v>2425</v>
      </c>
      <c r="B1" s="3804"/>
      <c r="C1" s="3805"/>
      <c r="D1" s="3806">
        <f>SUM(I10,I15,I20,I21,I23)</f>
        <v>0</v>
      </c>
      <c r="E1" s="3806"/>
      <c r="F1" s="3806"/>
      <c r="G1" s="3806"/>
      <c r="H1" s="3806"/>
      <c r="I1" s="3807"/>
    </row>
    <row r="2" spans="1:9">
      <c r="A2" s="3793" t="s">
        <v>2426</v>
      </c>
      <c r="B2" s="3794" t="s">
        <v>2427</v>
      </c>
      <c r="C2" s="3794"/>
      <c r="D2" s="2329" t="s">
        <v>2428</v>
      </c>
      <c r="E2" s="2329" t="s">
        <v>2429</v>
      </c>
      <c r="F2" s="2329" t="s">
        <v>2430</v>
      </c>
      <c r="G2" s="2329" t="s">
        <v>2431</v>
      </c>
      <c r="H2" s="2329" t="s">
        <v>2432</v>
      </c>
      <c r="I2" s="2330" t="s">
        <v>2433</v>
      </c>
    </row>
    <row r="3" spans="1:9">
      <c r="A3" s="3793"/>
      <c r="B3" s="3794" t="s">
        <v>2434</v>
      </c>
      <c r="C3" s="3794"/>
      <c r="D3" s="2331"/>
      <c r="E3" s="2329"/>
      <c r="F3" s="2332"/>
      <c r="G3" s="2332"/>
      <c r="H3" s="2333"/>
      <c r="I3" s="2334">
        <f>ROUND(D3*E3*F3*G3*H3/10000,0)</f>
        <v>0</v>
      </c>
    </row>
    <row r="4" spans="1:9">
      <c r="A4" s="3793"/>
      <c r="B4" s="3794" t="s">
        <v>2435</v>
      </c>
      <c r="C4" s="3794"/>
      <c r="D4" s="2331"/>
      <c r="E4" s="2329"/>
      <c r="F4" s="2332"/>
      <c r="G4" s="2332"/>
      <c r="H4" s="2333"/>
      <c r="I4" s="2334">
        <f t="shared" ref="I4:I9" si="0">ROUND(D4*E4*F4*G4*H4/10000,0)</f>
        <v>0</v>
      </c>
    </row>
    <row r="5" spans="1:9">
      <c r="A5" s="3793"/>
      <c r="B5" s="3794" t="s">
        <v>2436</v>
      </c>
      <c r="C5" s="3794"/>
      <c r="D5" s="2331"/>
      <c r="E5" s="2329"/>
      <c r="F5" s="2332"/>
      <c r="G5" s="2332"/>
      <c r="H5" s="2333"/>
      <c r="I5" s="2334">
        <f t="shared" si="0"/>
        <v>0</v>
      </c>
    </row>
    <row r="6" spans="1:9">
      <c r="A6" s="3793"/>
      <c r="B6" s="3794" t="s">
        <v>2437</v>
      </c>
      <c r="C6" s="3794"/>
      <c r="D6" s="2331"/>
      <c r="E6" s="2329"/>
      <c r="F6" s="2332"/>
      <c r="G6" s="2332"/>
      <c r="H6" s="2333"/>
      <c r="I6" s="2334">
        <f t="shared" si="0"/>
        <v>0</v>
      </c>
    </row>
    <row r="7" spans="1:9">
      <c r="A7" s="3793"/>
      <c r="B7" s="3794" t="s">
        <v>2438</v>
      </c>
      <c r="C7" s="3794"/>
      <c r="D7" s="2331"/>
      <c r="E7" s="2329"/>
      <c r="F7" s="2332"/>
      <c r="G7" s="2332"/>
      <c r="H7" s="2333"/>
      <c r="I7" s="2334">
        <f t="shared" si="0"/>
        <v>0</v>
      </c>
    </row>
    <row r="8" spans="1:9">
      <c r="A8" s="3793"/>
      <c r="B8" s="3794" t="s">
        <v>2439</v>
      </c>
      <c r="C8" s="3794"/>
      <c r="D8" s="2331"/>
      <c r="E8" s="2329"/>
      <c r="F8" s="2332"/>
      <c r="G8" s="2332"/>
      <c r="H8" s="2333"/>
      <c r="I8" s="2334">
        <f t="shared" si="0"/>
        <v>0</v>
      </c>
    </row>
    <row r="9" spans="1:9">
      <c r="A9" s="3793"/>
      <c r="B9" s="3794" t="s">
        <v>2440</v>
      </c>
      <c r="C9" s="3794"/>
      <c r="D9" s="2331"/>
      <c r="E9" s="2329"/>
      <c r="F9" s="2332"/>
      <c r="G9" s="2332"/>
      <c r="H9" s="2333"/>
      <c r="I9" s="2334">
        <f t="shared" si="0"/>
        <v>0</v>
      </c>
    </row>
    <row r="10" spans="1:9">
      <c r="A10" s="3793"/>
      <c r="B10" s="3795" t="s">
        <v>2441</v>
      </c>
      <c r="C10" s="3795"/>
      <c r="D10" s="2335">
        <v>527</v>
      </c>
      <c r="E10" s="2335" t="e">
        <f>ROUND(D1*10000/D10/H9,0)</f>
        <v>#DIV/0!</v>
      </c>
      <c r="F10" s="2336"/>
      <c r="G10" s="2336"/>
      <c r="H10" s="2337"/>
      <c r="I10" s="2338">
        <f>SUM(I3:I9)</f>
        <v>0</v>
      </c>
    </row>
    <row r="11" spans="1:9" ht="14.25">
      <c r="A11" s="3793" t="s">
        <v>2442</v>
      </c>
      <c r="B11" s="3794" t="s">
        <v>2443</v>
      </c>
      <c r="C11" s="3794"/>
      <c r="D11" s="2331" t="s">
        <v>2444</v>
      </c>
      <c r="E11" s="2331" t="s">
        <v>2445</v>
      </c>
      <c r="F11" s="2332" t="s">
        <v>2446</v>
      </c>
      <c r="G11" s="2332" t="s">
        <v>2447</v>
      </c>
      <c r="H11" s="2339" t="s">
        <v>2448</v>
      </c>
      <c r="I11" s="2330" t="s">
        <v>2449</v>
      </c>
    </row>
    <row r="12" spans="1:9">
      <c r="A12" s="3793"/>
      <c r="B12" s="3794" t="s">
        <v>2450</v>
      </c>
      <c r="C12" s="3794"/>
      <c r="D12" s="2331"/>
      <c r="E12" s="2331"/>
      <c r="F12" s="2332"/>
      <c r="G12" s="2333"/>
      <c r="H12" s="2340"/>
      <c r="I12" s="2330">
        <f>ROUND(D12*E12*F12*G12/10000,0)</f>
        <v>0</v>
      </c>
    </row>
    <row r="13" spans="1:9">
      <c r="A13" s="3793"/>
      <c r="B13" s="3794" t="s">
        <v>2451</v>
      </c>
      <c r="C13" s="3794"/>
      <c r="D13" s="2331"/>
      <c r="E13" s="2331"/>
      <c r="F13" s="2332"/>
      <c r="G13" s="2333"/>
      <c r="H13" s="2340"/>
      <c r="I13" s="2330">
        <f>ROUND(D13*E13*F13*G13/10000,0)</f>
        <v>0</v>
      </c>
    </row>
    <row r="14" spans="1:9">
      <c r="A14" s="3793"/>
      <c r="B14" s="3794" t="s">
        <v>2452</v>
      </c>
      <c r="C14" s="3794"/>
      <c r="D14" s="2331"/>
      <c r="E14" s="2331"/>
      <c r="F14" s="2332"/>
      <c r="G14" s="2333"/>
      <c r="H14" s="2340"/>
      <c r="I14" s="2330">
        <f>ROUND(D14*E14*F14*G14/10000,0)</f>
        <v>0</v>
      </c>
    </row>
    <row r="15" spans="1:9">
      <c r="A15" s="3793"/>
      <c r="B15" s="3795" t="s">
        <v>2441</v>
      </c>
      <c r="C15" s="3795"/>
      <c r="D15" s="2335"/>
      <c r="E15" s="2335">
        <f>SUM(E12:E14)</f>
        <v>0</v>
      </c>
      <c r="F15" s="2336"/>
      <c r="G15" s="2333"/>
      <c r="H15" s="2340"/>
      <c r="I15" s="2341">
        <f>SUM(I12:I14)</f>
        <v>0</v>
      </c>
    </row>
    <row r="16" spans="1:9" ht="24">
      <c r="A16" s="3793" t="s">
        <v>2453</v>
      </c>
      <c r="B16" s="3794" t="s">
        <v>2454</v>
      </c>
      <c r="C16" s="3794"/>
      <c r="D16" s="2331" t="s">
        <v>2455</v>
      </c>
      <c r="E16" s="2342" t="s">
        <v>2456</v>
      </c>
      <c r="F16" s="2332" t="s">
        <v>2457</v>
      </c>
      <c r="G16" s="2333" t="s">
        <v>2447</v>
      </c>
      <c r="H16" s="2339" t="s">
        <v>2448</v>
      </c>
      <c r="I16" s="2330" t="s">
        <v>2449</v>
      </c>
    </row>
    <row r="17" spans="1:9" ht="14.25">
      <c r="A17" s="3793"/>
      <c r="B17" s="3794" t="s">
        <v>2458</v>
      </c>
      <c r="C17" s="3794"/>
      <c r="D17" s="2331"/>
      <c r="E17" s="2331"/>
      <c r="F17" s="2332"/>
      <c r="G17" s="2333"/>
      <c r="H17" s="2343"/>
      <c r="I17" s="2344">
        <f>ROUND(D17*E17*F17*G17/10000,0)</f>
        <v>0</v>
      </c>
    </row>
    <row r="18" spans="1:9" ht="14.25">
      <c r="A18" s="3793"/>
      <c r="B18" s="3794" t="s">
        <v>2459</v>
      </c>
      <c r="C18" s="3794"/>
      <c r="D18" s="2331"/>
      <c r="E18" s="2331"/>
      <c r="F18" s="2332"/>
      <c r="G18" s="2333"/>
      <c r="H18" s="2343"/>
      <c r="I18" s="2344">
        <f>ROUND(D18*E18*F18*G18/10000,0)</f>
        <v>0</v>
      </c>
    </row>
    <row r="19" spans="1:9" ht="14.25">
      <c r="A19" s="3793"/>
      <c r="B19" s="3794" t="s">
        <v>2460</v>
      </c>
      <c r="C19" s="3794"/>
      <c r="D19" s="2331"/>
      <c r="E19" s="2331"/>
      <c r="F19" s="2332"/>
      <c r="G19" s="2333"/>
      <c r="H19" s="2343"/>
      <c r="I19" s="2344">
        <f>ROUND(D19*E19*F19*G19/10000,0)</f>
        <v>0</v>
      </c>
    </row>
    <row r="20" spans="1:9">
      <c r="A20" s="3793"/>
      <c r="B20" s="3795" t="s">
        <v>2441</v>
      </c>
      <c r="C20" s="3795"/>
      <c r="D20" s="2335">
        <f>SUM(D17:D19)</f>
        <v>0</v>
      </c>
      <c r="E20" s="2335"/>
      <c r="F20" s="2336"/>
      <c r="G20" s="2333"/>
      <c r="H20" s="2340"/>
      <c r="I20" s="2341">
        <f>SUM(I17:I19)</f>
        <v>0</v>
      </c>
    </row>
    <row r="21" spans="1:9">
      <c r="A21" s="3793" t="s">
        <v>2461</v>
      </c>
      <c r="B21" s="3796"/>
      <c r="C21" s="3796"/>
      <c r="D21" s="3796"/>
      <c r="E21" s="3796"/>
      <c r="F21" s="3796"/>
      <c r="G21" s="3796"/>
      <c r="H21" s="2345">
        <v>0.1</v>
      </c>
      <c r="I21" s="2338">
        <f>ROUND(I10*H21,0)</f>
        <v>0</v>
      </c>
    </row>
    <row r="22" spans="1:9" ht="14.25">
      <c r="A22" s="3797" t="s">
        <v>2462</v>
      </c>
      <c r="B22" s="3798"/>
      <c r="C22" s="3799"/>
      <c r="D22" s="2346" t="s">
        <v>2463</v>
      </c>
      <c r="E22" s="2346" t="s">
        <v>2464</v>
      </c>
      <c r="F22" s="2347" t="s">
        <v>2465</v>
      </c>
      <c r="G22" s="2347" t="s">
        <v>2466</v>
      </c>
      <c r="H22" s="2339" t="s">
        <v>2467</v>
      </c>
      <c r="I22" s="2330" t="s">
        <v>2468</v>
      </c>
    </row>
    <row r="23" spans="1:9" ht="14.25" thickBot="1">
      <c r="A23" s="3800"/>
      <c r="B23" s="3801"/>
      <c r="C23" s="3802"/>
      <c r="D23" s="2348"/>
      <c r="E23" s="2348"/>
      <c r="F23" s="2348"/>
      <c r="G23" s="2349"/>
      <c r="H23" s="2350"/>
      <c r="I23" s="2351">
        <f>ROUND(E23*D23*F23*(1-G23)/10000,0)</f>
        <v>0</v>
      </c>
    </row>
    <row r="26" spans="1:9">
      <c r="A26" s="2352" t="s">
        <v>2469</v>
      </c>
      <c r="B26" s="2352"/>
      <c r="C26" s="2352"/>
      <c r="D26" s="2352"/>
      <c r="E26" s="3790">
        <f>C27-C30-C31-C32</f>
        <v>0</v>
      </c>
      <c r="F26" s="3790"/>
      <c r="G26" s="3790"/>
      <c r="H26" s="2722" t="s">
        <v>2792</v>
      </c>
    </row>
    <row r="27" spans="1:9">
      <c r="A27" s="2353">
        <v>1</v>
      </c>
      <c r="B27" s="2354" t="s">
        <v>2470</v>
      </c>
      <c r="C27" s="2354"/>
      <c r="D27" s="2354"/>
      <c r="E27" s="3791"/>
      <c r="F27" s="3791"/>
      <c r="G27" s="3791"/>
    </row>
    <row r="28" spans="1:9">
      <c r="A28" s="2355" t="s">
        <v>2471</v>
      </c>
      <c r="B28" s="2354" t="s">
        <v>2472</v>
      </c>
      <c r="C28" s="2354"/>
      <c r="D28" s="2354"/>
      <c r="E28" s="3791"/>
      <c r="F28" s="3791"/>
      <c r="G28" s="3791"/>
    </row>
    <row r="29" spans="1:9">
      <c r="A29" s="2355" t="s">
        <v>2473</v>
      </c>
      <c r="B29" s="2354" t="s">
        <v>2414</v>
      </c>
      <c r="C29" s="2354"/>
      <c r="D29" s="2354"/>
      <c r="E29" s="2354" t="s">
        <v>2474</v>
      </c>
      <c r="F29" s="2354"/>
      <c r="G29" s="2354"/>
    </row>
    <row r="30" spans="1:9">
      <c r="A30" s="2353">
        <v>2</v>
      </c>
      <c r="B30" s="2354" t="s">
        <v>2475</v>
      </c>
      <c r="C30" s="2354">
        <f>C27*D30</f>
        <v>0</v>
      </c>
      <c r="D30" s="2356">
        <v>0.2</v>
      </c>
      <c r="E30" s="2354" t="s">
        <v>2476</v>
      </c>
      <c r="F30" s="2354"/>
      <c r="G30" s="2354"/>
    </row>
    <row r="31" spans="1:9">
      <c r="A31" s="2353">
        <v>3</v>
      </c>
      <c r="B31" s="2354" t="s">
        <v>2477</v>
      </c>
      <c r="C31" s="2354">
        <f>C25*D31</f>
        <v>0</v>
      </c>
      <c r="D31" s="2356">
        <v>0.15</v>
      </c>
      <c r="E31" s="2354" t="s">
        <v>2478</v>
      </c>
      <c r="F31" s="2354"/>
      <c r="G31" s="2354"/>
    </row>
    <row r="32" spans="1:9">
      <c r="A32" s="2353">
        <v>4</v>
      </c>
      <c r="B32" s="2354" t="s">
        <v>2479</v>
      </c>
      <c r="C32" s="2354">
        <f>C27*D32</f>
        <v>0</v>
      </c>
      <c r="D32" s="2356">
        <v>0.05</v>
      </c>
      <c r="E32" s="3792"/>
      <c r="F32" s="3792"/>
      <c r="G32" s="3792"/>
    </row>
    <row r="33" spans="1:7" hidden="1">
      <c r="A33" s="3787" t="s">
        <v>2480</v>
      </c>
      <c r="B33" s="3788"/>
      <c r="C33" s="3788"/>
      <c r="D33" s="3789"/>
      <c r="E33" s="3790"/>
      <c r="F33" s="3790"/>
      <c r="G33" s="3790"/>
    </row>
    <row r="34" spans="1:7" hidden="1">
      <c r="A34" s="2357">
        <v>1</v>
      </c>
      <c r="B34" s="2354" t="s">
        <v>2481</v>
      </c>
      <c r="C34" s="2354"/>
      <c r="D34" s="2354"/>
      <c r="E34" s="3791"/>
      <c r="F34" s="3791"/>
      <c r="G34" s="3791"/>
    </row>
    <row r="35" spans="1:7" hidden="1">
      <c r="A35" s="2357">
        <v>2</v>
      </c>
      <c r="B35" s="2354" t="s">
        <v>2482</v>
      </c>
      <c r="C35" s="2354"/>
      <c r="D35" s="2354"/>
      <c r="E35" s="3791"/>
      <c r="F35" s="3791"/>
      <c r="G35" s="3791"/>
    </row>
    <row r="36" spans="1:7" hidden="1">
      <c r="A36" s="2357">
        <v>3</v>
      </c>
      <c r="B36" s="2354" t="s">
        <v>2483</v>
      </c>
      <c r="C36" s="2354"/>
      <c r="D36" s="2354"/>
      <c r="E36" s="3791"/>
      <c r="F36" s="3791"/>
      <c r="G36" s="3791"/>
    </row>
    <row r="37" spans="1:7" hidden="1">
      <c r="A37" s="2357">
        <v>4</v>
      </c>
      <c r="B37" s="2354" t="s">
        <v>2484</v>
      </c>
      <c r="C37" s="2354"/>
      <c r="D37" s="2354"/>
      <c r="E37" s="3791"/>
      <c r="F37" s="3791"/>
      <c r="G37" s="3791"/>
    </row>
    <row r="38" spans="1:7" hidden="1">
      <c r="A38" s="3787" t="s">
        <v>2485</v>
      </c>
      <c r="B38" s="3788"/>
      <c r="C38" s="3788"/>
      <c r="D38" s="3789"/>
      <c r="E38" s="3790"/>
      <c r="F38" s="3790"/>
      <c r="G38" s="37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484" t="e">
        <f>F63</f>
        <v>#DIV/0!</v>
      </c>
      <c r="C2" s="3187"/>
      <c r="D2" s="3187"/>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c r="A3" s="1306" t="s">
        <v>1660</v>
      </c>
      <c r="B3" s="486" t="e">
        <f>ROUND(B2*10000/'数据-汇总表'!E3,0)</f>
        <v>#DIV/0!</v>
      </c>
      <c r="C3" s="3186"/>
      <c r="D3" s="3186"/>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t="e">
        <f>IF(B43="单位面积地价",C45,ROUND(B2*10000/'数据-汇总表'!D3,0))</f>
        <v>#DIV/0!</v>
      </c>
      <c r="C4" s="3186"/>
      <c r="D4" s="3186"/>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3178"/>
      <c r="AC5" s="1916"/>
    </row>
    <row r="6" spans="1:29" ht="15">
      <c r="A6" s="488" t="s">
        <v>499</v>
      </c>
      <c r="B6" s="489"/>
      <c r="C6" s="3709" t="s">
        <v>500</v>
      </c>
      <c r="D6" s="3710"/>
      <c r="E6" s="3814" t="s">
        <v>501</v>
      </c>
      <c r="F6" s="3815"/>
      <c r="G6" s="3709" t="s">
        <v>502</v>
      </c>
      <c r="H6" s="3710"/>
      <c r="I6" s="3709" t="s">
        <v>503</v>
      </c>
      <c r="J6" s="3710"/>
      <c r="K6" s="490" t="s">
        <v>504</v>
      </c>
      <c r="L6" s="1986"/>
      <c r="M6" s="1987"/>
      <c r="N6" s="1987"/>
      <c r="O6" s="1987"/>
      <c r="P6" s="3711" t="s">
        <v>505</v>
      </c>
      <c r="Q6" s="3712"/>
      <c r="R6" s="3697" t="s">
        <v>501</v>
      </c>
      <c r="S6" s="3698"/>
      <c r="T6" s="3697" t="s">
        <v>502</v>
      </c>
      <c r="U6" s="3698"/>
      <c r="V6" s="3717" t="s">
        <v>503</v>
      </c>
      <c r="W6" s="3717"/>
      <c r="X6" s="1476"/>
      <c r="Y6" s="3697" t="s">
        <v>505</v>
      </c>
      <c r="Z6" s="3698"/>
      <c r="AA6" s="3692" t="s">
        <v>501</v>
      </c>
      <c r="AB6" s="3693" t="s">
        <v>502</v>
      </c>
      <c r="AC6" s="3692" t="s">
        <v>503</v>
      </c>
    </row>
    <row r="7" spans="1:29" ht="15">
      <c r="A7" s="491"/>
      <c r="B7" s="492"/>
      <c r="C7" s="3720" t="s">
        <v>2867</v>
      </c>
      <c r="D7" s="3721"/>
      <c r="E7" s="3816" t="s">
        <v>2868</v>
      </c>
      <c r="F7" s="3817"/>
      <c r="G7" s="3720" t="s">
        <v>2869</v>
      </c>
      <c r="H7" s="3721"/>
      <c r="I7" s="3720" t="s">
        <v>2870</v>
      </c>
      <c r="J7" s="3721"/>
      <c r="K7" s="490"/>
      <c r="L7" s="1986"/>
      <c r="M7" s="1987"/>
      <c r="N7" s="1987"/>
      <c r="O7" s="1987"/>
      <c r="P7" s="3713"/>
      <c r="Q7" s="3714"/>
      <c r="R7" s="3699"/>
      <c r="S7" s="3700"/>
      <c r="T7" s="3699"/>
      <c r="U7" s="3700"/>
      <c r="V7" s="3717"/>
      <c r="W7" s="3717"/>
      <c r="X7" s="1476"/>
      <c r="Y7" s="3699"/>
      <c r="Z7" s="3700"/>
      <c r="AA7" s="3693"/>
      <c r="AB7" s="3693"/>
      <c r="AC7" s="3693"/>
    </row>
    <row r="8" spans="1:29" ht="15.75" thickBot="1">
      <c r="A8" s="493"/>
      <c r="B8" s="494"/>
      <c r="C8" s="3718" t="s">
        <v>2871</v>
      </c>
      <c r="D8" s="3719"/>
      <c r="E8" s="3818" t="s">
        <v>2871</v>
      </c>
      <c r="F8" s="3819"/>
      <c r="G8" s="3718" t="s">
        <v>2871</v>
      </c>
      <c r="H8" s="3719"/>
      <c r="I8" s="3718" t="s">
        <v>2871</v>
      </c>
      <c r="J8" s="3719"/>
      <c r="K8" s="490" t="s">
        <v>506</v>
      </c>
      <c r="L8" s="1986"/>
      <c r="M8" s="1987"/>
      <c r="N8" s="1987"/>
      <c r="O8" s="1987"/>
      <c r="P8" s="3715"/>
      <c r="Q8" s="3716"/>
      <c r="R8" s="3699"/>
      <c r="S8" s="3700"/>
      <c r="T8" s="3701"/>
      <c r="U8" s="3702"/>
      <c r="V8" s="3717"/>
      <c r="W8" s="3717"/>
      <c r="X8" s="1476"/>
      <c r="Y8" s="3701"/>
      <c r="Z8" s="3702"/>
      <c r="AA8" s="3694"/>
      <c r="AB8" s="3694"/>
      <c r="AC8" s="3694"/>
    </row>
    <row r="9" spans="1:29" s="1185" customFormat="1" ht="15.75" thickBot="1">
      <c r="A9" s="2597"/>
      <c r="B9" s="2604" t="s">
        <v>507</v>
      </c>
      <c r="C9" s="495">
        <f>'数据-取费表'!B2</f>
        <v>44623</v>
      </c>
      <c r="D9" s="496">
        <v>100</v>
      </c>
      <c r="E9" s="497"/>
      <c r="F9" s="498">
        <f>SUMIF(67:67,YEAR(E9)&amp;"-"&amp;INT((MONTH(E9)+2)/3),68:68)</f>
        <v>0</v>
      </c>
      <c r="G9" s="499"/>
      <c r="H9" s="496">
        <f>SUMIF(67:67,YEAR(G9)&amp;"-"&amp;INT((MONTH(G9)+2)/3),68:68)</f>
        <v>0</v>
      </c>
      <c r="I9" s="499"/>
      <c r="J9" s="496">
        <f>SUMIF(67:67,YEAR(I9)&amp;"-"&amp;INT((MONTH(I9)+2)/3),68:68)</f>
        <v>0</v>
      </c>
      <c r="K9" s="500"/>
      <c r="L9" s="1988"/>
      <c r="M9" s="1989"/>
      <c r="N9" s="1989"/>
      <c r="O9" s="1989"/>
      <c r="P9" s="3695" t="s">
        <v>508</v>
      </c>
      <c r="Q9" s="3704"/>
      <c r="R9" s="1477" t="s">
        <v>8</v>
      </c>
      <c r="S9" s="1478">
        <f t="shared" ref="S9:S17" si="0">F9</f>
        <v>0</v>
      </c>
      <c r="T9" s="1477" t="s">
        <v>8</v>
      </c>
      <c r="U9" s="1478">
        <f t="shared" ref="U9:U17" si="1">H9</f>
        <v>0</v>
      </c>
      <c r="V9" s="1477" t="s">
        <v>8</v>
      </c>
      <c r="W9" s="1478">
        <f t="shared" ref="W9:W17" si="2">J9</f>
        <v>0</v>
      </c>
      <c r="X9" s="1479"/>
      <c r="Y9" s="3695" t="s">
        <v>508</v>
      </c>
      <c r="Z9" s="3696"/>
      <c r="AA9" s="1480" t="e">
        <f>D9/F9</f>
        <v>#DIV/0!</v>
      </c>
      <c r="AB9" s="1480" t="e">
        <f>D9/H9</f>
        <v>#DIV/0!</v>
      </c>
      <c r="AC9" s="1480" t="e">
        <f>D9/J9</f>
        <v>#DIV/0!</v>
      </c>
    </row>
    <row r="10" spans="1:29" s="1185" customFormat="1" ht="15.75" thickBot="1">
      <c r="A10" s="2598"/>
      <c r="B10" s="2605"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8"/>
      <c r="M10" s="1989"/>
      <c r="N10" s="1989"/>
      <c r="O10" s="1989"/>
      <c r="P10" s="3695" t="s">
        <v>511</v>
      </c>
      <c r="Q10" s="3696"/>
      <c r="R10" s="1477" t="s">
        <v>8</v>
      </c>
      <c r="S10" s="1478">
        <f t="shared" si="0"/>
        <v>0</v>
      </c>
      <c r="T10" s="1477" t="s">
        <v>8</v>
      </c>
      <c r="U10" s="1478">
        <f t="shared" si="1"/>
        <v>0</v>
      </c>
      <c r="V10" s="1477" t="s">
        <v>8</v>
      </c>
      <c r="W10" s="1478">
        <f t="shared" si="2"/>
        <v>0</v>
      </c>
      <c r="X10" s="1479"/>
      <c r="Y10" s="3695" t="s">
        <v>511</v>
      </c>
      <c r="Z10" s="3696"/>
      <c r="AA10" s="1480" t="e">
        <f t="shared" ref="AA10:AA42" si="3">D10/F10</f>
        <v>#DIV/0!</v>
      </c>
      <c r="AB10" s="1480" t="e">
        <f t="shared" ref="AB10:AB42" si="4">D10/H10</f>
        <v>#DIV/0!</v>
      </c>
      <c r="AC10" s="1480" t="e">
        <f t="shared" ref="AC10:AC42" si="5">D10/J10</f>
        <v>#DIV/0!</v>
      </c>
    </row>
    <row r="11" spans="1:29" s="1185" customFormat="1" ht="15">
      <c r="A11" s="2599"/>
      <c r="B11" s="2606" t="s">
        <v>2709</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703" t="s">
        <v>513</v>
      </c>
      <c r="Q11" s="1116" t="str">
        <f t="shared" ref="Q11:Q17" si="6">B11</f>
        <v>用途</v>
      </c>
      <c r="R11" s="1477" t="s">
        <v>8</v>
      </c>
      <c r="S11" s="1478">
        <f t="shared" si="0"/>
        <v>100</v>
      </c>
      <c r="T11" s="1477" t="s">
        <v>8</v>
      </c>
      <c r="U11" s="1478">
        <f t="shared" si="1"/>
        <v>100</v>
      </c>
      <c r="V11" s="1477" t="s">
        <v>8</v>
      </c>
      <c r="W11" s="1478">
        <f t="shared" si="2"/>
        <v>100</v>
      </c>
      <c r="X11" s="1479"/>
      <c r="Y11" s="3644" t="s">
        <v>514</v>
      </c>
      <c r="Z11" s="1115" t="str">
        <f t="shared" ref="Z11:Z17" si="7">Q11</f>
        <v>用途</v>
      </c>
      <c r="AA11" s="1480">
        <f t="shared" si="3"/>
        <v>1</v>
      </c>
      <c r="AB11" s="1480">
        <f t="shared" si="4"/>
        <v>1</v>
      </c>
      <c r="AC11" s="1480">
        <f t="shared" si="5"/>
        <v>1</v>
      </c>
    </row>
    <row r="12" spans="1:29" s="1266" customFormat="1" ht="27">
      <c r="A12" s="2600"/>
      <c r="B12" s="2605" t="s">
        <v>2710</v>
      </c>
      <c r="C12" s="504"/>
      <c r="D12" s="253">
        <v>100</v>
      </c>
      <c r="E12" s="504"/>
      <c r="F12" s="253" t="e">
        <f>ROUND(100/'数据-取费表'!G16,0)</f>
        <v>#DIV/0!</v>
      </c>
      <c r="G12" s="504"/>
      <c r="H12" s="253" t="e">
        <f>ROUND(100/'数据-取费表'!G16,0)</f>
        <v>#DIV/0!</v>
      </c>
      <c r="I12" s="504"/>
      <c r="J12" s="253" t="e">
        <f>ROUND(100/'数据-取费表'!G16,0)</f>
        <v>#DIV/0!</v>
      </c>
      <c r="K12" s="507"/>
      <c r="L12" s="1991"/>
      <c r="M12" s="2030"/>
      <c r="N12" s="2030"/>
      <c r="O12" s="1992"/>
      <c r="P12" s="3703"/>
      <c r="Q12" s="1116" t="str">
        <f t="shared" si="6"/>
        <v>土地使用年限（年）</v>
      </c>
      <c r="R12" s="1477" t="s">
        <v>8</v>
      </c>
      <c r="S12" s="1478" t="e">
        <f t="shared" si="0"/>
        <v>#DIV/0!</v>
      </c>
      <c r="T12" s="1477" t="s">
        <v>8</v>
      </c>
      <c r="U12" s="1478" t="e">
        <f t="shared" si="1"/>
        <v>#DIV/0!</v>
      </c>
      <c r="V12" s="1477" t="s">
        <v>8</v>
      </c>
      <c r="W12" s="1478" t="e">
        <f t="shared" si="2"/>
        <v>#DIV/0!</v>
      </c>
      <c r="X12" s="1479"/>
      <c r="Y12" s="3644"/>
      <c r="Z12" s="1115" t="str">
        <f t="shared" si="7"/>
        <v>土地使用年限（年）</v>
      </c>
      <c r="AA12" s="1480" t="e">
        <f t="shared" si="3"/>
        <v>#DIV/0!</v>
      </c>
      <c r="AB12" s="1480" t="e">
        <f t="shared" si="4"/>
        <v>#DIV/0!</v>
      </c>
      <c r="AC12" s="1480" t="e">
        <f t="shared" si="5"/>
        <v>#DIV/0!</v>
      </c>
    </row>
    <row r="13" spans="1:29" ht="15">
      <c r="A13" s="2601"/>
      <c r="B13" s="2605"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3"/>
      <c r="M13" s="1987"/>
      <c r="N13" s="1987"/>
      <c r="O13" s="1994"/>
      <c r="P13" s="3703"/>
      <c r="Q13" s="1116" t="str">
        <f t="shared" si="6"/>
        <v>容积率</v>
      </c>
      <c r="R13" s="1477" t="s">
        <v>8</v>
      </c>
      <c r="S13" s="1478" t="e">
        <f t="shared" si="0"/>
        <v>#N/A</v>
      </c>
      <c r="T13" s="1477" t="s">
        <v>8</v>
      </c>
      <c r="U13" s="1478" t="e">
        <f t="shared" si="1"/>
        <v>#N/A</v>
      </c>
      <c r="V13" s="1477" t="s">
        <v>8</v>
      </c>
      <c r="W13" s="1478" t="e">
        <f t="shared" si="2"/>
        <v>#N/A</v>
      </c>
      <c r="X13" s="1479"/>
      <c r="Y13" s="3644"/>
      <c r="Z13" s="1115" t="str">
        <f t="shared" si="7"/>
        <v>容积率</v>
      </c>
      <c r="AA13" s="1480" t="e">
        <f t="shared" si="3"/>
        <v>#N/A</v>
      </c>
      <c r="AB13" s="1480" t="e">
        <f t="shared" si="4"/>
        <v>#N/A</v>
      </c>
      <c r="AC13" s="1480" t="e">
        <f t="shared" si="5"/>
        <v>#N/A</v>
      </c>
    </row>
    <row r="14" spans="1:29" s="1185" customFormat="1" ht="15">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703"/>
      <c r="Q14" s="1116">
        <f t="shared" si="6"/>
        <v>111</v>
      </c>
      <c r="R14" s="1477" t="s">
        <v>8</v>
      </c>
      <c r="S14" s="1478">
        <f t="shared" si="0"/>
        <v>100</v>
      </c>
      <c r="T14" s="1477" t="s">
        <v>8</v>
      </c>
      <c r="U14" s="1478">
        <f t="shared" si="1"/>
        <v>100</v>
      </c>
      <c r="V14" s="1477" t="s">
        <v>8</v>
      </c>
      <c r="W14" s="1478">
        <f t="shared" si="2"/>
        <v>100</v>
      </c>
      <c r="X14" s="1479"/>
      <c r="Y14" s="3644"/>
      <c r="Z14" s="1115">
        <f t="shared" si="7"/>
        <v>111</v>
      </c>
      <c r="AA14" s="1480">
        <f>D14/F14</f>
        <v>1</v>
      </c>
      <c r="AB14" s="1480">
        <f>D14/H14</f>
        <v>1</v>
      </c>
      <c r="AC14" s="1480">
        <f>D14/J14</f>
        <v>1</v>
      </c>
    </row>
    <row r="15" spans="1:29" ht="15">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703"/>
      <c r="Q15" s="1116">
        <f t="shared" si="6"/>
        <v>111</v>
      </c>
      <c r="R15" s="1477" t="s">
        <v>8</v>
      </c>
      <c r="S15" s="1478">
        <f t="shared" si="0"/>
        <v>100</v>
      </c>
      <c r="T15" s="1477" t="s">
        <v>8</v>
      </c>
      <c r="U15" s="1478">
        <f t="shared" si="1"/>
        <v>100</v>
      </c>
      <c r="V15" s="1477" t="s">
        <v>8</v>
      </c>
      <c r="W15" s="1478">
        <f t="shared" si="2"/>
        <v>100</v>
      </c>
      <c r="X15" s="1479"/>
      <c r="Y15" s="3644"/>
      <c r="Z15" s="1115">
        <f t="shared" si="7"/>
        <v>111</v>
      </c>
      <c r="AA15" s="1480">
        <f t="shared" si="3"/>
        <v>1</v>
      </c>
      <c r="AB15" s="1480">
        <f t="shared" si="4"/>
        <v>1</v>
      </c>
      <c r="AC15" s="1480">
        <f t="shared" si="5"/>
        <v>1</v>
      </c>
    </row>
    <row r="16" spans="1:29" ht="15.75"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703"/>
      <c r="Q16" s="1116">
        <f t="shared" si="6"/>
        <v>111</v>
      </c>
      <c r="R16" s="1477" t="s">
        <v>8</v>
      </c>
      <c r="S16" s="1478">
        <f t="shared" si="0"/>
        <v>100</v>
      </c>
      <c r="T16" s="1477" t="s">
        <v>8</v>
      </c>
      <c r="U16" s="1478">
        <f t="shared" si="1"/>
        <v>100</v>
      </c>
      <c r="V16" s="1477" t="s">
        <v>8</v>
      </c>
      <c r="W16" s="1478">
        <f t="shared" si="2"/>
        <v>100</v>
      </c>
      <c r="X16" s="1479"/>
      <c r="Y16" s="3644"/>
      <c r="Z16" s="1115">
        <f t="shared" si="7"/>
        <v>111</v>
      </c>
      <c r="AA16" s="1480">
        <f t="shared" si="3"/>
        <v>1</v>
      </c>
      <c r="AB16" s="1480">
        <f t="shared" si="4"/>
        <v>1</v>
      </c>
      <c r="AC16" s="1480">
        <f t="shared" si="5"/>
        <v>1</v>
      </c>
    </row>
    <row r="17" spans="1:29" ht="57">
      <c r="A17" s="2595"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5"/>
      <c r="M17" s="1987"/>
      <c r="N17" s="1987"/>
      <c r="O17" s="1994"/>
      <c r="P17" s="3705" t="s">
        <v>518</v>
      </c>
      <c r="Q17" s="1481" t="str">
        <f t="shared" si="6"/>
        <v>产业集聚程度</v>
      </c>
      <c r="R17" s="1482" t="s">
        <v>8</v>
      </c>
      <c r="S17" s="1483">
        <f t="shared" si="0"/>
        <v>100</v>
      </c>
      <c r="T17" s="1482" t="s">
        <v>8</v>
      </c>
      <c r="U17" s="1483">
        <f t="shared" si="1"/>
        <v>100</v>
      </c>
      <c r="V17" s="1482" t="s">
        <v>8</v>
      </c>
      <c r="W17" s="1483">
        <f t="shared" si="2"/>
        <v>100</v>
      </c>
      <c r="X17" s="1476"/>
      <c r="Y17" s="3705" t="s">
        <v>518</v>
      </c>
      <c r="Z17" s="1484" t="str">
        <f t="shared" si="7"/>
        <v>产业集聚程度</v>
      </c>
      <c r="AA17" s="1485">
        <f t="shared" si="3"/>
        <v>1</v>
      </c>
      <c r="AB17" s="1485">
        <f t="shared" si="4"/>
        <v>1</v>
      </c>
      <c r="AC17" s="1485">
        <f t="shared" si="5"/>
        <v>1</v>
      </c>
    </row>
    <row r="18" spans="1:29" ht="15">
      <c r="A18" s="508"/>
      <c r="B18" s="840"/>
      <c r="C18" s="552"/>
      <c r="D18" s="531"/>
      <c r="E18" s="530"/>
      <c r="F18" s="531"/>
      <c r="G18" s="530"/>
      <c r="H18" s="535"/>
      <c r="I18" s="530"/>
      <c r="J18" s="531"/>
      <c r="K18" s="507"/>
      <c r="L18" s="1995"/>
      <c r="M18" s="1987"/>
      <c r="N18" s="1987"/>
      <c r="O18" s="1994"/>
      <c r="P18" s="3706"/>
      <c r="Q18" s="1481"/>
      <c r="R18" s="1482"/>
      <c r="S18" s="1483"/>
      <c r="T18" s="1482"/>
      <c r="U18" s="1483"/>
      <c r="V18" s="1482"/>
      <c r="W18" s="1483"/>
      <c r="X18" s="1476"/>
      <c r="Y18" s="3706"/>
      <c r="Z18" s="1484"/>
      <c r="AA18" s="1485">
        <v>1</v>
      </c>
      <c r="AB18" s="1485">
        <v>1</v>
      </c>
      <c r="AC18" s="1485">
        <v>1</v>
      </c>
    </row>
    <row r="19" spans="1:29" ht="85.5">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5"/>
      <c r="M19" s="1987"/>
      <c r="N19" s="1987"/>
      <c r="O19" s="1994"/>
      <c r="P19" s="3706"/>
      <c r="Q19" s="1481" t="str">
        <f>B19</f>
        <v>交通便捷度</v>
      </c>
      <c r="R19" s="1482" t="s">
        <v>8</v>
      </c>
      <c r="S19" s="1483">
        <f>F19</f>
        <v>100</v>
      </c>
      <c r="T19" s="1482" t="s">
        <v>8</v>
      </c>
      <c r="U19" s="1483">
        <f>H19</f>
        <v>100</v>
      </c>
      <c r="V19" s="1482" t="s">
        <v>8</v>
      </c>
      <c r="W19" s="1483">
        <f>J19</f>
        <v>100</v>
      </c>
      <c r="X19" s="1476"/>
      <c r="Y19" s="3706"/>
      <c r="Z19" s="1484" t="str">
        <f>Q19</f>
        <v>交通便捷度</v>
      </c>
      <c r="AA19" s="1485">
        <f t="shared" si="3"/>
        <v>1</v>
      </c>
      <c r="AB19" s="1485">
        <f t="shared" si="4"/>
        <v>1</v>
      </c>
      <c r="AC19" s="1485">
        <f t="shared" si="5"/>
        <v>1</v>
      </c>
    </row>
    <row r="20" spans="1:29" ht="15">
      <c r="A20" s="508"/>
      <c r="B20" s="893"/>
      <c r="C20" s="552"/>
      <c r="D20" s="531"/>
      <c r="E20" s="532"/>
      <c r="F20" s="531"/>
      <c r="G20" s="532"/>
      <c r="H20" s="531"/>
      <c r="I20" s="534"/>
      <c r="J20" s="531"/>
      <c r="K20" s="507"/>
      <c r="L20" s="1995"/>
      <c r="M20" s="1987"/>
      <c r="N20" s="1987"/>
      <c r="O20" s="1994"/>
      <c r="P20" s="3706"/>
      <c r="Q20" s="1481"/>
      <c r="R20" s="1482"/>
      <c r="S20" s="1483"/>
      <c r="T20" s="1482"/>
      <c r="U20" s="1483"/>
      <c r="V20" s="1482"/>
      <c r="W20" s="1483"/>
      <c r="X20" s="1476"/>
      <c r="Y20" s="3706"/>
      <c r="Z20" s="1484"/>
      <c r="AA20" s="1485">
        <v>1</v>
      </c>
      <c r="AB20" s="1485">
        <v>1</v>
      </c>
      <c r="AC20" s="1485">
        <v>1</v>
      </c>
    </row>
    <row r="21" spans="1:29" ht="27">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706"/>
      <c r="Q21" s="1481" t="str">
        <f t="shared" ref="Q21:Q35" si="8">B21</f>
        <v>区域土地利用方向</v>
      </c>
      <c r="R21" s="1482" t="s">
        <v>8</v>
      </c>
      <c r="S21" s="1483">
        <f>F21</f>
        <v>100</v>
      </c>
      <c r="T21" s="1482" t="s">
        <v>8</v>
      </c>
      <c r="U21" s="1483">
        <f>H21</f>
        <v>100</v>
      </c>
      <c r="V21" s="1482" t="s">
        <v>8</v>
      </c>
      <c r="W21" s="1483">
        <f>J21</f>
        <v>100</v>
      </c>
      <c r="X21" s="1476"/>
      <c r="Y21" s="3706"/>
      <c r="Z21" s="1484" t="str">
        <f>Q21</f>
        <v>区域土地利用方向</v>
      </c>
      <c r="AA21" s="1485">
        <f t="shared" si="3"/>
        <v>1</v>
      </c>
      <c r="AB21" s="1485">
        <f t="shared" si="4"/>
        <v>1</v>
      </c>
      <c r="AC21" s="1485">
        <f t="shared" si="5"/>
        <v>1</v>
      </c>
    </row>
    <row r="22" spans="1:29" ht="15">
      <c r="A22" s="491"/>
      <c r="B22" s="571"/>
      <c r="C22" s="552"/>
      <c r="D22" s="531"/>
      <c r="E22" s="532"/>
      <c r="F22" s="533"/>
      <c r="G22" s="534"/>
      <c r="H22" s="533"/>
      <c r="I22" s="534"/>
      <c r="J22" s="533"/>
      <c r="K22" s="1275"/>
      <c r="L22" s="1995"/>
      <c r="M22" s="1987"/>
      <c r="N22" s="1987"/>
      <c r="O22" s="1994"/>
      <c r="P22" s="3706"/>
      <c r="Q22" s="1481"/>
      <c r="R22" s="1482"/>
      <c r="S22" s="1483"/>
      <c r="T22" s="1482"/>
      <c r="U22" s="1483"/>
      <c r="V22" s="1482"/>
      <c r="W22" s="1483"/>
      <c r="X22" s="1476"/>
      <c r="Y22" s="3706"/>
      <c r="Z22" s="1484"/>
      <c r="AA22" s="1485"/>
      <c r="AB22" s="1485"/>
      <c r="AC22" s="1485"/>
    </row>
    <row r="23" spans="1:29" ht="71.25">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706"/>
      <c r="Q23" s="1481" t="str">
        <f t="shared" si="8"/>
        <v>环境状况</v>
      </c>
      <c r="R23" s="1482" t="s">
        <v>8</v>
      </c>
      <c r="S23" s="1483">
        <f>F23</f>
        <v>100</v>
      </c>
      <c r="T23" s="1482" t="s">
        <v>8</v>
      </c>
      <c r="U23" s="1483">
        <f>H23</f>
        <v>100</v>
      </c>
      <c r="V23" s="1482" t="s">
        <v>8</v>
      </c>
      <c r="W23" s="1483">
        <f>J23</f>
        <v>100</v>
      </c>
      <c r="X23" s="1476"/>
      <c r="Y23" s="3706"/>
      <c r="Z23" s="1484" t="str">
        <f>Q23</f>
        <v>环境状况</v>
      </c>
      <c r="AA23" s="1485">
        <f t="shared" si="3"/>
        <v>1</v>
      </c>
      <c r="AB23" s="1485">
        <f t="shared" si="4"/>
        <v>1</v>
      </c>
      <c r="AC23" s="1485">
        <f t="shared" si="5"/>
        <v>1</v>
      </c>
    </row>
    <row r="24" spans="1:29" ht="15">
      <c r="A24" s="491"/>
      <c r="B24" s="571"/>
      <c r="C24" s="552"/>
      <c r="D24" s="531"/>
      <c r="E24" s="530"/>
      <c r="F24" s="531"/>
      <c r="G24" s="530"/>
      <c r="H24" s="531"/>
      <c r="I24" s="552"/>
      <c r="J24" s="531"/>
      <c r="K24" s="507"/>
      <c r="L24" s="1995"/>
      <c r="M24" s="1987"/>
      <c r="N24" s="1987"/>
      <c r="O24" s="1994"/>
      <c r="P24" s="3706"/>
      <c r="Q24" s="1481"/>
      <c r="R24" s="1482"/>
      <c r="S24" s="1483"/>
      <c r="T24" s="1482"/>
      <c r="U24" s="1483"/>
      <c r="V24" s="1482"/>
      <c r="W24" s="1483"/>
      <c r="X24" s="1476"/>
      <c r="Y24" s="3706"/>
      <c r="Z24" s="1484"/>
      <c r="AA24" s="1485">
        <v>1</v>
      </c>
      <c r="AB24" s="1485">
        <v>1</v>
      </c>
      <c r="AC24" s="1485">
        <v>1</v>
      </c>
    </row>
    <row r="25" spans="1:29" s="1185" customFormat="1" ht="42.75">
      <c r="A25" s="553"/>
      <c r="B25" s="2405"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706"/>
      <c r="Q25" s="1116" t="str">
        <f t="shared" si="8"/>
        <v>公共配套设施</v>
      </c>
      <c r="R25" s="1477" t="s">
        <v>8</v>
      </c>
      <c r="S25" s="1478">
        <f>F25</f>
        <v>100</v>
      </c>
      <c r="T25" s="1477" t="s">
        <v>8</v>
      </c>
      <c r="U25" s="1478">
        <f>H25</f>
        <v>100</v>
      </c>
      <c r="V25" s="1477" t="s">
        <v>8</v>
      </c>
      <c r="W25" s="1478">
        <f>J25</f>
        <v>100</v>
      </c>
      <c r="X25" s="1479"/>
      <c r="Y25" s="3706"/>
      <c r="Z25" s="1115" t="str">
        <f>Q25</f>
        <v>公共配套设施</v>
      </c>
      <c r="AA25" s="1485">
        <f>D25/F25</f>
        <v>1</v>
      </c>
      <c r="AB25" s="1485">
        <f>D25/H25</f>
        <v>1</v>
      </c>
      <c r="AC25" s="1485">
        <f>D25/J25</f>
        <v>1</v>
      </c>
    </row>
    <row r="26" spans="1:29" s="1185" customFormat="1" ht="15">
      <c r="A26" s="553"/>
      <c r="B26" s="571"/>
      <c r="C26" s="2404"/>
      <c r="D26" s="531"/>
      <c r="E26" s="530"/>
      <c r="F26" s="531"/>
      <c r="G26" s="530"/>
      <c r="H26" s="531"/>
      <c r="I26" s="552"/>
      <c r="J26" s="531"/>
      <c r="K26" s="507"/>
      <c r="L26" s="1988"/>
      <c r="M26" s="1989"/>
      <c r="N26" s="1989"/>
      <c r="O26" s="1990"/>
      <c r="P26" s="3706"/>
      <c r="Q26" s="1116"/>
      <c r="R26" s="1477"/>
      <c r="S26" s="1478"/>
      <c r="T26" s="1477"/>
      <c r="U26" s="1478"/>
      <c r="V26" s="1477"/>
      <c r="W26" s="1478"/>
      <c r="X26" s="1479"/>
      <c r="Y26" s="3706"/>
      <c r="Z26" s="1115"/>
      <c r="AA26" s="1480">
        <v>1</v>
      </c>
      <c r="AB26" s="1480">
        <v>1</v>
      </c>
      <c r="AC26" s="1480">
        <v>1</v>
      </c>
    </row>
    <row r="27" spans="1:29" s="1185" customFormat="1" ht="28.5">
      <c r="A27" s="553"/>
      <c r="B27" s="2405"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8"/>
      <c r="M27" s="1989"/>
      <c r="N27" s="1989"/>
      <c r="O27" s="1990"/>
      <c r="P27" s="3706"/>
      <c r="Q27" s="2396" t="str">
        <f t="shared" ref="Q27" si="9">B27</f>
        <v>基础设施水平</v>
      </c>
      <c r="R27" s="1477" t="s">
        <v>8</v>
      </c>
      <c r="S27" s="1478">
        <f>F27</f>
        <v>100</v>
      </c>
      <c r="T27" s="1477" t="s">
        <v>8</v>
      </c>
      <c r="U27" s="1478">
        <f>H27</f>
        <v>100</v>
      </c>
      <c r="V27" s="1477" t="s">
        <v>8</v>
      </c>
      <c r="W27" s="1478">
        <f>J27</f>
        <v>100</v>
      </c>
      <c r="X27" s="1479"/>
      <c r="Y27" s="3706"/>
      <c r="Z27" s="2395" t="str">
        <f>Q27</f>
        <v>基础设施水平</v>
      </c>
      <c r="AA27" s="1485">
        <f>D27/F27</f>
        <v>1</v>
      </c>
      <c r="AB27" s="1485">
        <f>D27/H27</f>
        <v>1</v>
      </c>
      <c r="AC27" s="1485">
        <f>D27/J27</f>
        <v>1</v>
      </c>
    </row>
    <row r="28" spans="1:29" s="1185" customFormat="1" ht="15">
      <c r="A28" s="553"/>
      <c r="B28" s="571"/>
      <c r="C28" s="2404"/>
      <c r="D28" s="531"/>
      <c r="E28" s="555"/>
      <c r="F28" s="531"/>
      <c r="G28" s="555"/>
      <c r="H28" s="531"/>
      <c r="I28" s="555"/>
      <c r="J28" s="531"/>
      <c r="K28" s="507"/>
      <c r="L28" s="1988"/>
      <c r="M28" s="1989"/>
      <c r="N28" s="1989"/>
      <c r="O28" s="1990"/>
      <c r="P28" s="3706"/>
      <c r="Q28" s="2396"/>
      <c r="R28" s="1477"/>
      <c r="S28" s="1478"/>
      <c r="T28" s="1477"/>
      <c r="U28" s="1478"/>
      <c r="V28" s="1477"/>
      <c r="W28" s="1478"/>
      <c r="X28" s="1479"/>
      <c r="Y28" s="3706"/>
      <c r="Z28" s="2395"/>
      <c r="AA28" s="1480">
        <v>1</v>
      </c>
      <c r="AB28" s="1480">
        <v>1</v>
      </c>
      <c r="AC28" s="1480">
        <v>1</v>
      </c>
    </row>
    <row r="29" spans="1:29" ht="1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706"/>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706"/>
      <c r="Z29" s="1484" t="str">
        <f t="shared" ref="Z29:Z42" si="13">Q29</f>
        <v>临街状况</v>
      </c>
      <c r="AA29" s="1485">
        <f t="shared" si="3"/>
        <v>1</v>
      </c>
      <c r="AB29" s="1485">
        <f t="shared" si="4"/>
        <v>1</v>
      </c>
      <c r="AC29" s="1485">
        <f t="shared" si="5"/>
        <v>1</v>
      </c>
    </row>
    <row r="30" spans="1:29" ht="27">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706"/>
      <c r="Q30" s="1481" t="str">
        <f t="shared" si="8"/>
        <v>毗邻道路的类型与等级</v>
      </c>
      <c r="R30" s="1482" t="s">
        <v>8</v>
      </c>
      <c r="S30" s="1483">
        <f t="shared" si="10"/>
        <v>100</v>
      </c>
      <c r="T30" s="1482" t="s">
        <v>8</v>
      </c>
      <c r="U30" s="1483">
        <f t="shared" si="11"/>
        <v>100</v>
      </c>
      <c r="V30" s="1482" t="s">
        <v>8</v>
      </c>
      <c r="W30" s="1483">
        <f t="shared" si="12"/>
        <v>100</v>
      </c>
      <c r="X30" s="1476"/>
      <c r="Y30" s="3706"/>
      <c r="Z30" s="1484" t="str">
        <f t="shared" si="13"/>
        <v>毗邻道路的类型与等级</v>
      </c>
      <c r="AA30" s="1485">
        <f t="shared" si="3"/>
        <v>1</v>
      </c>
      <c r="AB30" s="1485">
        <f t="shared" si="4"/>
        <v>1</v>
      </c>
      <c r="AC30" s="1485">
        <f t="shared" si="5"/>
        <v>1</v>
      </c>
    </row>
    <row r="31" spans="1:29" ht="15">
      <c r="A31" s="508"/>
      <c r="B31" s="571"/>
      <c r="C31" s="552"/>
      <c r="D31" s="531"/>
      <c r="E31" s="552"/>
      <c r="F31" s="531"/>
      <c r="G31" s="552"/>
      <c r="H31" s="531"/>
      <c r="I31" s="552"/>
      <c r="J31" s="531"/>
      <c r="K31" s="557"/>
      <c r="L31" s="1995"/>
      <c r="M31" s="1987"/>
      <c r="N31" s="1987"/>
      <c r="O31" s="1994"/>
      <c r="P31" s="3706"/>
      <c r="Q31" s="1481"/>
      <c r="R31" s="1482"/>
      <c r="S31" s="1483"/>
      <c r="T31" s="1482"/>
      <c r="U31" s="1483"/>
      <c r="V31" s="1482"/>
      <c r="W31" s="1483"/>
      <c r="X31" s="1476"/>
      <c r="Y31" s="3706"/>
      <c r="Z31" s="1484"/>
      <c r="AA31" s="1485">
        <v>1</v>
      </c>
      <c r="AB31" s="1485">
        <v>1</v>
      </c>
      <c r="AC31" s="1485">
        <v>1</v>
      </c>
    </row>
    <row r="32" spans="1:29" ht="15">
      <c r="A32" s="508"/>
      <c r="B32" s="503" t="s">
        <v>527</v>
      </c>
      <c r="C32" s="2408">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5"/>
      <c r="M32" s="1987"/>
      <c r="N32" s="1987"/>
      <c r="O32" s="1994"/>
      <c r="P32" s="3706"/>
      <c r="Q32" s="1481" t="str">
        <f t="shared" si="8"/>
        <v>土地级别</v>
      </c>
      <c r="R32" s="1482" t="s">
        <v>8</v>
      </c>
      <c r="S32" s="1483">
        <f t="shared" si="10"/>
        <v>100</v>
      </c>
      <c r="T32" s="1482" t="s">
        <v>8</v>
      </c>
      <c r="U32" s="1483">
        <f t="shared" si="11"/>
        <v>100</v>
      </c>
      <c r="V32" s="1482" t="s">
        <v>8</v>
      </c>
      <c r="W32" s="1483">
        <f t="shared" si="12"/>
        <v>100</v>
      </c>
      <c r="X32" s="1476"/>
      <c r="Y32" s="3706"/>
      <c r="Z32" s="1484" t="str">
        <f t="shared" si="13"/>
        <v>土地级别</v>
      </c>
      <c r="AA32" s="1485">
        <f t="shared" si="3"/>
        <v>1</v>
      </c>
      <c r="AB32" s="1485">
        <f t="shared" si="4"/>
        <v>1</v>
      </c>
      <c r="AC32" s="1485">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706"/>
      <c r="Q33" s="1481">
        <f t="shared" si="8"/>
        <v>111</v>
      </c>
      <c r="R33" s="1482" t="s">
        <v>8</v>
      </c>
      <c r="S33" s="1483">
        <f t="shared" si="10"/>
        <v>100</v>
      </c>
      <c r="T33" s="1482" t="s">
        <v>8</v>
      </c>
      <c r="U33" s="1483">
        <f t="shared" si="11"/>
        <v>100</v>
      </c>
      <c r="V33" s="1482" t="s">
        <v>8</v>
      </c>
      <c r="W33" s="1483">
        <f t="shared" si="12"/>
        <v>100</v>
      </c>
      <c r="X33" s="1476"/>
      <c r="Y33" s="3706"/>
      <c r="Z33" s="1484">
        <f t="shared" si="13"/>
        <v>111</v>
      </c>
      <c r="AA33" s="1485">
        <f t="shared" si="3"/>
        <v>1</v>
      </c>
      <c r="AB33" s="1485">
        <f t="shared" si="4"/>
        <v>1</v>
      </c>
      <c r="AC33" s="1485">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707" t="s">
        <v>528</v>
      </c>
      <c r="Q34" s="1481">
        <f t="shared" si="8"/>
        <v>111</v>
      </c>
      <c r="R34" s="1482" t="s">
        <v>8</v>
      </c>
      <c r="S34" s="1483">
        <f t="shared" si="10"/>
        <v>100</v>
      </c>
      <c r="T34" s="1482" t="s">
        <v>8</v>
      </c>
      <c r="U34" s="1483">
        <f t="shared" si="11"/>
        <v>100</v>
      </c>
      <c r="V34" s="1482" t="s">
        <v>8</v>
      </c>
      <c r="W34" s="1483">
        <f t="shared" si="12"/>
        <v>100</v>
      </c>
      <c r="X34" s="1476"/>
      <c r="Y34" s="3708" t="s">
        <v>528</v>
      </c>
      <c r="Z34" s="1484">
        <f t="shared" si="13"/>
        <v>111</v>
      </c>
      <c r="AA34" s="1485">
        <f t="shared" si="3"/>
        <v>1</v>
      </c>
      <c r="AB34" s="1485">
        <f t="shared" si="4"/>
        <v>1</v>
      </c>
      <c r="AC34" s="1485">
        <f t="shared" si="5"/>
        <v>1</v>
      </c>
    </row>
    <row r="35" spans="1:29" s="1267" customFormat="1" ht="15.75"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708"/>
      <c r="Q35" s="1481">
        <f t="shared" si="8"/>
        <v>111</v>
      </c>
      <c r="R35" s="1486" t="s">
        <v>8</v>
      </c>
      <c r="S35" s="1487">
        <f t="shared" si="10"/>
        <v>100</v>
      </c>
      <c r="T35" s="1486" t="s">
        <v>8</v>
      </c>
      <c r="U35" s="1487">
        <f t="shared" si="11"/>
        <v>100</v>
      </c>
      <c r="V35" s="1486" t="s">
        <v>8</v>
      </c>
      <c r="W35" s="1487">
        <f t="shared" si="12"/>
        <v>100</v>
      </c>
      <c r="X35" s="1488"/>
      <c r="Y35" s="3708"/>
      <c r="Z35" s="1489">
        <f t="shared" si="13"/>
        <v>111</v>
      </c>
      <c r="AA35" s="1485">
        <f t="shared" si="3"/>
        <v>1</v>
      </c>
      <c r="AB35" s="1485">
        <f t="shared" si="4"/>
        <v>1</v>
      </c>
      <c r="AC35" s="1485">
        <f t="shared" si="5"/>
        <v>1</v>
      </c>
    </row>
    <row r="36" spans="1:29" ht="15">
      <c r="A36" s="2592"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5"/>
      <c r="M36" s="1987"/>
      <c r="N36" s="1987"/>
      <c r="O36" s="1994"/>
      <c r="P36" s="3708"/>
      <c r="Q36" s="1481" t="str">
        <f>B36</f>
        <v>宗地面积</v>
      </c>
      <c r="R36" s="1482" t="s">
        <v>8</v>
      </c>
      <c r="S36" s="1483" t="e">
        <f t="shared" si="10"/>
        <v>#N/A</v>
      </c>
      <c r="T36" s="1482" t="s">
        <v>8</v>
      </c>
      <c r="U36" s="1483" t="e">
        <f t="shared" si="11"/>
        <v>#N/A</v>
      </c>
      <c r="V36" s="1482" t="s">
        <v>8</v>
      </c>
      <c r="W36" s="1483" t="e">
        <f t="shared" si="12"/>
        <v>#N/A</v>
      </c>
      <c r="X36" s="1476"/>
      <c r="Y36" s="3708"/>
      <c r="Z36" s="1484" t="str">
        <f t="shared" si="13"/>
        <v>宗地面积</v>
      </c>
      <c r="AA36" s="1485" t="e">
        <f t="shared" si="3"/>
        <v>#N/A</v>
      </c>
      <c r="AB36" s="1485" t="e">
        <f t="shared" si="4"/>
        <v>#N/A</v>
      </c>
      <c r="AC36" s="1485" t="e">
        <f t="shared" si="5"/>
        <v>#N/A</v>
      </c>
    </row>
    <row r="37" spans="1:29" ht="1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5"/>
      <c r="M37" s="1987"/>
      <c r="N37" s="1987"/>
      <c r="O37" s="1994"/>
      <c r="P37" s="3708"/>
      <c r="Q37" s="1481" t="str">
        <f t="shared" ref="Q37:Q42" si="14">B37</f>
        <v>宗地形状</v>
      </c>
      <c r="R37" s="1482" t="s">
        <v>8</v>
      </c>
      <c r="S37" s="1483">
        <f t="shared" si="10"/>
        <v>100</v>
      </c>
      <c r="T37" s="1482" t="s">
        <v>8</v>
      </c>
      <c r="U37" s="1483">
        <f t="shared" si="11"/>
        <v>100</v>
      </c>
      <c r="V37" s="1482" t="s">
        <v>8</v>
      </c>
      <c r="W37" s="1483">
        <f t="shared" si="12"/>
        <v>100</v>
      </c>
      <c r="X37" s="1476"/>
      <c r="Y37" s="3708"/>
      <c r="Z37" s="1484" t="str">
        <f t="shared" si="13"/>
        <v>宗地形状</v>
      </c>
      <c r="AA37" s="1485">
        <f t="shared" si="3"/>
        <v>1</v>
      </c>
      <c r="AB37" s="1485">
        <f t="shared" si="4"/>
        <v>1</v>
      </c>
      <c r="AC37" s="1485">
        <f t="shared" si="5"/>
        <v>1</v>
      </c>
    </row>
    <row r="38" spans="1:29" s="1185" customFormat="1" ht="15">
      <c r="A38" s="576"/>
      <c r="B38" s="1782"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8"/>
      <c r="M38" s="1989"/>
      <c r="N38" s="1989"/>
      <c r="O38" s="1990"/>
      <c r="P38" s="3708"/>
      <c r="Q38" s="1481" t="str">
        <f t="shared" si="14"/>
        <v>宗地开发程度</v>
      </c>
      <c r="R38" s="1477" t="s">
        <v>8</v>
      </c>
      <c r="S38" s="1478">
        <f t="shared" si="10"/>
        <v>100</v>
      </c>
      <c r="T38" s="1477" t="s">
        <v>8</v>
      </c>
      <c r="U38" s="1478">
        <f t="shared" si="11"/>
        <v>100</v>
      </c>
      <c r="V38" s="1477" t="s">
        <v>8</v>
      </c>
      <c r="W38" s="1478">
        <f t="shared" si="12"/>
        <v>100</v>
      </c>
      <c r="X38" s="1479"/>
      <c r="Y38" s="3708"/>
      <c r="Z38" s="1115" t="str">
        <f t="shared" si="13"/>
        <v>宗地开发程度</v>
      </c>
      <c r="AA38" s="1480">
        <f t="shared" si="3"/>
        <v>1</v>
      </c>
      <c r="AB38" s="1480">
        <f t="shared" si="4"/>
        <v>1</v>
      </c>
      <c r="AC38" s="1480">
        <f t="shared" si="5"/>
        <v>1</v>
      </c>
    </row>
    <row r="39" spans="1:29" ht="1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708" t="s">
        <v>579</v>
      </c>
      <c r="Q39" s="1481" t="str">
        <f t="shared" si="14"/>
        <v>工程地质条件</v>
      </c>
      <c r="R39" s="1482" t="s">
        <v>8</v>
      </c>
      <c r="S39" s="1483">
        <f t="shared" si="10"/>
        <v>100</v>
      </c>
      <c r="T39" s="1482" t="s">
        <v>8</v>
      </c>
      <c r="U39" s="1483">
        <f t="shared" si="11"/>
        <v>100</v>
      </c>
      <c r="V39" s="1482" t="s">
        <v>8</v>
      </c>
      <c r="W39" s="1483">
        <f t="shared" si="12"/>
        <v>100</v>
      </c>
      <c r="X39" s="1476"/>
      <c r="Y39" s="3708" t="s">
        <v>579</v>
      </c>
      <c r="Z39" s="1484" t="str">
        <f t="shared" si="13"/>
        <v>工程地质条件</v>
      </c>
      <c r="AA39" s="1485">
        <f t="shared" si="3"/>
        <v>1</v>
      </c>
      <c r="AB39" s="1485">
        <f t="shared" si="4"/>
        <v>1</v>
      </c>
      <c r="AC39" s="1485">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708"/>
      <c r="Q40" s="1481">
        <f t="shared" si="14"/>
        <v>111</v>
      </c>
      <c r="R40" s="1482" t="s">
        <v>8</v>
      </c>
      <c r="S40" s="1483">
        <f t="shared" si="10"/>
        <v>100</v>
      </c>
      <c r="T40" s="1482" t="s">
        <v>8</v>
      </c>
      <c r="U40" s="1483">
        <f t="shared" si="11"/>
        <v>100</v>
      </c>
      <c r="V40" s="1482" t="s">
        <v>8</v>
      </c>
      <c r="W40" s="1483">
        <f t="shared" si="12"/>
        <v>100</v>
      </c>
      <c r="X40" s="1476"/>
      <c r="Y40" s="3708"/>
      <c r="Z40" s="1484">
        <f t="shared" si="13"/>
        <v>111</v>
      </c>
      <c r="AA40" s="1485">
        <f t="shared" si="3"/>
        <v>1</v>
      </c>
      <c r="AB40" s="1485">
        <f t="shared" si="4"/>
        <v>1</v>
      </c>
      <c r="AC40" s="1485">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708"/>
      <c r="Q41" s="1481">
        <f t="shared" si="14"/>
        <v>111</v>
      </c>
      <c r="R41" s="1482" t="s">
        <v>8</v>
      </c>
      <c r="S41" s="1483">
        <f t="shared" si="10"/>
        <v>100</v>
      </c>
      <c r="T41" s="1482" t="s">
        <v>8</v>
      </c>
      <c r="U41" s="1483">
        <f t="shared" si="11"/>
        <v>100</v>
      </c>
      <c r="V41" s="1482" t="s">
        <v>8</v>
      </c>
      <c r="W41" s="1483">
        <f t="shared" si="12"/>
        <v>100</v>
      </c>
      <c r="X41" s="1476"/>
      <c r="Y41" s="3708"/>
      <c r="Z41" s="1484">
        <f t="shared" si="13"/>
        <v>111</v>
      </c>
      <c r="AA41" s="1485">
        <f t="shared" si="3"/>
        <v>1</v>
      </c>
      <c r="AB41" s="1485">
        <f t="shared" si="4"/>
        <v>1</v>
      </c>
      <c r="AC41" s="1485">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708"/>
      <c r="Q42" s="1481">
        <f t="shared" si="14"/>
        <v>111</v>
      </c>
      <c r="R42" s="1486" t="s">
        <v>8</v>
      </c>
      <c r="S42" s="1487">
        <f t="shared" si="10"/>
        <v>100</v>
      </c>
      <c r="T42" s="1486" t="s">
        <v>8</v>
      </c>
      <c r="U42" s="1487">
        <f t="shared" si="11"/>
        <v>100</v>
      </c>
      <c r="V42" s="1486" t="s">
        <v>8</v>
      </c>
      <c r="W42" s="1487">
        <f t="shared" si="12"/>
        <v>100</v>
      </c>
      <c r="X42" s="1488"/>
      <c r="Y42" s="3708"/>
      <c r="Z42" s="1489">
        <f t="shared" si="13"/>
        <v>111</v>
      </c>
      <c r="AA42" s="1485">
        <f t="shared" si="3"/>
        <v>1</v>
      </c>
      <c r="AB42" s="1485">
        <f t="shared" si="4"/>
        <v>1</v>
      </c>
      <c r="AC42" s="1485">
        <f t="shared" si="5"/>
        <v>1</v>
      </c>
    </row>
    <row r="43" spans="1:29" ht="15">
      <c r="A43" s="583" t="s">
        <v>534</v>
      </c>
      <c r="B43" s="584" t="s">
        <v>2872</v>
      </c>
      <c r="C43" s="585" t="s">
        <v>1</v>
      </c>
      <c r="D43" s="586"/>
      <c r="E43" s="587"/>
      <c r="F43" s="588"/>
      <c r="G43" s="589"/>
      <c r="H43" s="590"/>
      <c r="I43" s="587"/>
      <c r="J43" s="590"/>
      <c r="K43" s="1268"/>
      <c r="L43" s="1997"/>
      <c r="M43" s="1987"/>
      <c r="N43" s="1987"/>
      <c r="O43" s="1998"/>
      <c r="P43" s="3703" t="str">
        <f>A43</f>
        <v>成交单价</v>
      </c>
      <c r="Q43" s="3703"/>
      <c r="R43" s="3717">
        <f>E43</f>
        <v>0</v>
      </c>
      <c r="S43" s="3717"/>
      <c r="T43" s="3717">
        <f>G43</f>
        <v>0</v>
      </c>
      <c r="U43" s="3717"/>
      <c r="V43" s="3717">
        <f>I43</f>
        <v>0</v>
      </c>
      <c r="W43" s="3717"/>
      <c r="X43" s="1471"/>
      <c r="Y43" s="1490"/>
      <c r="Z43" s="1471"/>
      <c r="AA43" s="1471"/>
      <c r="AB43" s="1471"/>
      <c r="AC43" s="1471"/>
    </row>
    <row r="44" spans="1:29" ht="15.75" thickBot="1">
      <c r="A44" s="591" t="s">
        <v>2646</v>
      </c>
      <c r="B44" s="592"/>
      <c r="C44" s="593" t="e">
        <f>R45</f>
        <v>#DIV/0!</v>
      </c>
      <c r="D44" s="2980" t="s">
        <v>2937</v>
      </c>
      <c r="E44" s="593" t="e">
        <f>R44</f>
        <v>#DIV/0!</v>
      </c>
      <c r="F44" s="2981"/>
      <c r="G44" s="594" t="e">
        <f>T44</f>
        <v>#DIV/0!</v>
      </c>
      <c r="H44" s="2981"/>
      <c r="I44" s="593" t="e">
        <f>V44</f>
        <v>#DIV/0!</v>
      </c>
      <c r="J44" s="2981"/>
      <c r="K44" s="2982">
        <f>F44+H44+J44</f>
        <v>0</v>
      </c>
      <c r="L44" s="1997"/>
      <c r="M44" s="1987"/>
      <c r="N44" s="1987"/>
      <c r="O44" s="1998"/>
      <c r="P44" s="3703" t="str">
        <f>A44</f>
        <v>比较价格（元/平方米）</v>
      </c>
      <c r="Q44" s="3703"/>
      <c r="R44" s="3727" t="e">
        <f>ROUND(PRODUCT(R43,AA9:AA42),0)</f>
        <v>#DIV/0!</v>
      </c>
      <c r="S44" s="3727"/>
      <c r="T44" s="3727" t="e">
        <f>ROUND(PRODUCT(T43,AB9:AB42),0)</f>
        <v>#DIV/0!</v>
      </c>
      <c r="U44" s="3727"/>
      <c r="V44" s="3727" t="e">
        <f>ROUND(PRODUCT(V43,AC9:AC42),0)</f>
        <v>#DIV/0!</v>
      </c>
      <c r="W44" s="3727"/>
      <c r="X44" s="1471"/>
      <c r="Y44" s="1471"/>
      <c r="Z44" s="1471"/>
      <c r="AA44" s="1471"/>
      <c r="AB44" s="1471"/>
      <c r="AC44" s="1471"/>
    </row>
    <row r="45" spans="1:29" ht="15.75" thickBot="1">
      <c r="A45" s="595" t="s">
        <v>2873</v>
      </c>
      <c r="B45" s="596"/>
      <c r="C45" s="597" t="e">
        <f>R45</f>
        <v>#DIV/0!</v>
      </c>
      <c r="D45" s="597"/>
      <c r="E45" s="597"/>
      <c r="F45" s="597"/>
      <c r="G45" s="597"/>
      <c r="H45" s="597"/>
      <c r="I45" s="597"/>
      <c r="J45" s="597"/>
      <c r="K45" s="1269"/>
      <c r="L45" s="1997"/>
      <c r="M45" s="1987"/>
      <c r="N45" s="1987"/>
      <c r="O45" s="1998"/>
      <c r="P45" s="3724" t="str">
        <f>A45</f>
        <v>估价对象XX用房的比较价格（楼面单价，元/平方米）</v>
      </c>
      <c r="Q45" s="3725"/>
      <c r="R45" s="3813" t="e">
        <f>ROUND(IF(D44="简单平均",AVERAGE(R44:W44),R44*F44+T44*H44+V44*J44),0)</f>
        <v>#DIV/0!</v>
      </c>
      <c r="S45" s="3813"/>
      <c r="T45" s="3813"/>
      <c r="U45" s="3813"/>
      <c r="V45" s="3813"/>
      <c r="W45" s="3813"/>
      <c r="X45" s="1471"/>
      <c r="Y45" s="1471"/>
      <c r="Z45" s="1471"/>
      <c r="AA45" s="1471"/>
      <c r="AB45" s="1471"/>
      <c r="AC45" s="1471"/>
    </row>
    <row r="46" spans="1:29">
      <c r="A46" s="3179"/>
      <c r="B46" s="3179"/>
      <c r="C46" s="3179"/>
      <c r="D46" s="3179"/>
      <c r="E46" s="3179"/>
      <c r="F46" s="3179"/>
      <c r="G46" s="3181"/>
      <c r="H46" s="3179"/>
      <c r="I46" s="3179"/>
      <c r="J46" s="3179"/>
      <c r="K46" s="3182"/>
      <c r="L46" s="2002"/>
      <c r="M46" s="1987"/>
      <c r="N46" s="1987"/>
      <c r="O46" s="1998"/>
      <c r="P46" s="1998"/>
      <c r="Q46" s="1998"/>
      <c r="R46" s="1998"/>
      <c r="S46" s="1998"/>
      <c r="T46" s="1998"/>
      <c r="U46" s="1998"/>
      <c r="V46" s="1998"/>
      <c r="W46" s="1998"/>
      <c r="X46" s="1998"/>
      <c r="Y46" s="1998"/>
      <c r="Z46" s="1998"/>
      <c r="AA46" s="1998"/>
      <c r="AB46" s="1998"/>
      <c r="AC46" s="1998"/>
    </row>
    <row r="47" spans="1:29">
      <c r="A47" s="3179"/>
      <c r="B47" s="3179"/>
      <c r="C47" s="3179"/>
      <c r="D47" s="3179"/>
      <c r="E47" s="3179"/>
      <c r="F47" s="3179"/>
      <c r="G47" s="3179"/>
      <c r="H47" s="3179"/>
      <c r="I47" s="3179"/>
      <c r="J47" s="3179"/>
      <c r="K47" s="3182"/>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9"/>
      <c r="B48" s="317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82"/>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9"/>
      <c r="B49" s="317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82"/>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80"/>
      <c r="B50" s="318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3"/>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80"/>
      <c r="B51" s="3191"/>
      <c r="C51" s="2003"/>
      <c r="D51" s="1999"/>
      <c r="E51" s="1999"/>
      <c r="F51" s="1999"/>
      <c r="G51" s="1999"/>
      <c r="H51" s="1999"/>
      <c r="I51" s="1999"/>
      <c r="J51" s="1999"/>
      <c r="K51" s="3183"/>
      <c r="L51" s="2005"/>
      <c r="M51" s="1999"/>
      <c r="N51" s="1999"/>
      <c r="O51" s="1999"/>
      <c r="P51" s="1999"/>
      <c r="Q51" s="1999"/>
      <c r="R51" s="1999"/>
      <c r="S51" s="1999"/>
      <c r="T51" s="1999"/>
      <c r="U51" s="1999"/>
      <c r="V51" s="1999"/>
      <c r="W51" s="1999"/>
      <c r="X51" s="1999"/>
      <c r="Y51" s="1999"/>
      <c r="Z51" s="1999"/>
      <c r="AA51" s="1999"/>
      <c r="AB51" s="1999"/>
      <c r="AC51" s="1999"/>
    </row>
    <row r="52" spans="1:29" ht="27">
      <c r="A52" s="603" t="s">
        <v>538</v>
      </c>
      <c r="B52" s="604" t="s">
        <v>539</v>
      </c>
      <c r="C52" s="1472" t="s">
        <v>1699</v>
      </c>
      <c r="D52" s="2078" t="s">
        <v>2258</v>
      </c>
      <c r="E52" s="605" t="s">
        <v>540</v>
      </c>
      <c r="F52" s="1838" t="s">
        <v>541</v>
      </c>
      <c r="G52" s="3808" t="s">
        <v>2250</v>
      </c>
      <c r="H52" s="3809"/>
      <c r="I52" s="1839" t="s">
        <v>1912</v>
      </c>
      <c r="J52" s="1468">
        <f>项目基本情况!F41</f>
        <v>0</v>
      </c>
      <c r="K52" s="2006" t="s">
        <v>1698</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7" t="s">
        <v>542</v>
      </c>
      <c r="B53" s="608" t="e">
        <f>C45</f>
        <v>#DIV/0!</v>
      </c>
      <c r="C53" s="609">
        <v>1</v>
      </c>
      <c r="D53" s="2079">
        <v>1</v>
      </c>
      <c r="E53" s="609">
        <f>'数据-汇总表'!E8+'数据-汇总表'!E9</f>
        <v>18388.8</v>
      </c>
      <c r="F53" s="1837" t="e">
        <f t="shared" ref="F53:F62" si="15">ROUND(B53*E53/10000,0)</f>
        <v>#DIV/0!</v>
      </c>
      <c r="G53" s="3810"/>
      <c r="H53" s="3811"/>
      <c r="I53" s="1840">
        <v>1</v>
      </c>
      <c r="J53" s="1469">
        <v>1</v>
      </c>
      <c r="K53" s="3184"/>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1" t="s">
        <v>543</v>
      </c>
      <c r="B54" s="612" t="e">
        <f>ROUND($C$45*C54*D54,0)</f>
        <v>#DIV/0!</v>
      </c>
      <c r="C54" s="372">
        <f t="shared" ref="C54:C62" si="16">IF($C$52="北京市系数",I54,J54)</f>
        <v>0</v>
      </c>
      <c r="D54" s="2080">
        <v>0.25</v>
      </c>
      <c r="E54" s="613"/>
      <c r="F54" s="1837" t="e">
        <f t="shared" si="15"/>
        <v>#DIV/0!</v>
      </c>
      <c r="G54" s="3812" t="s">
        <v>2251</v>
      </c>
      <c r="H54" s="1841">
        <f>项目基本情况!B43</f>
        <v>0</v>
      </c>
      <c r="I54" s="1840">
        <f>SUMIF(修正!$A$45:$A$56,H54,修正!B45:B56)</f>
        <v>0</v>
      </c>
      <c r="J54" s="1470"/>
      <c r="K54" s="3184"/>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1" t="s">
        <v>544</v>
      </c>
      <c r="B55" s="612" t="e">
        <f t="shared" ref="B55:B62" si="17">ROUND($C$45*C55*D55,0)</f>
        <v>#DIV/0!</v>
      </c>
      <c r="C55" s="372">
        <f t="shared" si="16"/>
        <v>0</v>
      </c>
      <c r="D55" s="2080">
        <v>0.25</v>
      </c>
      <c r="E55" s="613"/>
      <c r="F55" s="1837" t="e">
        <f t="shared" si="15"/>
        <v>#DIV/0!</v>
      </c>
      <c r="G55" s="3812"/>
      <c r="H55" s="1842">
        <f>项目基本情况!B43</f>
        <v>0</v>
      </c>
      <c r="I55" s="1840">
        <f>SUMIF(修正!$A$45:$A$56,H55,修正!C45:C56)</f>
        <v>0</v>
      </c>
      <c r="J55" s="1470"/>
      <c r="K55" s="3184"/>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1" t="s">
        <v>545</v>
      </c>
      <c r="B56" s="612" t="e">
        <f t="shared" si="17"/>
        <v>#DIV/0!</v>
      </c>
      <c r="C56" s="372">
        <f t="shared" si="16"/>
        <v>0</v>
      </c>
      <c r="D56" s="2080">
        <v>0.25</v>
      </c>
      <c r="E56" s="613"/>
      <c r="F56" s="1837" t="e">
        <f t="shared" si="15"/>
        <v>#DIV/0!</v>
      </c>
      <c r="G56" s="3812"/>
      <c r="H56" s="1842">
        <f>项目基本情况!B43</f>
        <v>0</v>
      </c>
      <c r="I56" s="1840">
        <f>SUMIF(修正!$A$45:$A$56,H56,修正!D45:D56)</f>
        <v>0</v>
      </c>
      <c r="J56" s="1470"/>
      <c r="K56" s="3184"/>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1" t="s">
        <v>546</v>
      </c>
      <c r="B57" s="612" t="e">
        <f t="shared" si="17"/>
        <v>#DIV/0!</v>
      </c>
      <c r="C57" s="372">
        <f t="shared" si="16"/>
        <v>0</v>
      </c>
      <c r="D57" s="2080">
        <v>0.25</v>
      </c>
      <c r="E57" s="613"/>
      <c r="F57" s="1837" t="e">
        <f t="shared" si="15"/>
        <v>#DIV/0!</v>
      </c>
      <c r="G57" s="3812"/>
      <c r="H57" s="1842">
        <f>项目基本情况!B43</f>
        <v>0</v>
      </c>
      <c r="I57" s="1840">
        <f>SUMIF(修正!$A$45:$A$56,H57,修正!E45:E56)</f>
        <v>0</v>
      </c>
      <c r="J57" s="1470"/>
      <c r="K57" s="3184"/>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2293</v>
      </c>
      <c r="B58" s="612" t="e">
        <f t="shared" si="17"/>
        <v>#DIV/0!</v>
      </c>
      <c r="C58" s="372">
        <f t="shared" si="16"/>
        <v>0.2</v>
      </c>
      <c r="D58" s="2080">
        <v>0.25</v>
      </c>
      <c r="E58" s="615">
        <f>'数据-汇总表'!E11</f>
        <v>0</v>
      </c>
      <c r="F58" s="1837" t="e">
        <f t="shared" si="15"/>
        <v>#DIV/0!</v>
      </c>
      <c r="G58" s="1843" t="s">
        <v>2252</v>
      </c>
      <c r="H58" s="1842" t="str">
        <f>项目基本情况!C43</f>
        <v>九级</v>
      </c>
      <c r="I58" s="1840">
        <f>SUMIF(修正!$A$45:$A$56,H58,修正!F45:F56)</f>
        <v>0.2</v>
      </c>
      <c r="J58" s="1470"/>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547</v>
      </c>
      <c r="B59" s="612" t="e">
        <f t="shared" si="17"/>
        <v>#DIV/0!</v>
      </c>
      <c r="C59" s="372">
        <f t="shared" si="16"/>
        <v>0.2</v>
      </c>
      <c r="D59" s="2080">
        <v>0.25</v>
      </c>
      <c r="E59" s="615">
        <f>'数据-汇总表'!E12</f>
        <v>0</v>
      </c>
      <c r="F59" s="1837" t="e">
        <f t="shared" si="15"/>
        <v>#DIV/0!</v>
      </c>
      <c r="G59" s="1833" t="s">
        <v>1652</v>
      </c>
      <c r="H59" s="1841" t="str">
        <f>IF(G59="商业",项目基本情况!B43,IF(G59="办公",项目基本情况!C43,IF(G59="住宅",项目基本情况!D43,项目基本情况!E43)))</f>
        <v>九级</v>
      </c>
      <c r="I59" s="1840">
        <f>SUMIF(修正!$A$45:$A$56,H59,修正!G45:G56)</f>
        <v>0.2</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548</v>
      </c>
      <c r="B60" s="612" t="e">
        <f t="shared" si="17"/>
        <v>#DIV/0!</v>
      </c>
      <c r="C60" s="372">
        <f t="shared" si="16"/>
        <v>0</v>
      </c>
      <c r="D60" s="2080">
        <v>0.25</v>
      </c>
      <c r="E60" s="615">
        <f>'数据-汇总表'!E13</f>
        <v>0</v>
      </c>
      <c r="F60" s="1837" t="e">
        <f t="shared" si="15"/>
        <v>#DIV/0!</v>
      </c>
      <c r="G60" s="1833" t="s">
        <v>898</v>
      </c>
      <c r="H60" s="1841">
        <f>IF(G60="商业",项目基本情况!B43,IF(G60="办公",项目基本情况!C43,IF(G60="住宅",项目基本情况!D43,项目基本情况!E43)))</f>
        <v>0</v>
      </c>
      <c r="I60" s="1840">
        <f>SUMIF(修正!$A$45:$A$56,H60,修正!H45:H56)</f>
        <v>0</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549</v>
      </c>
      <c r="B61" s="612" t="e">
        <f t="shared" si="17"/>
        <v>#DIV/0!</v>
      </c>
      <c r="C61" s="372">
        <f t="shared" si="16"/>
        <v>0</v>
      </c>
      <c r="D61" s="2080">
        <v>0.25</v>
      </c>
      <c r="E61" s="615">
        <f>'数据-汇总表'!E14</f>
        <v>0</v>
      </c>
      <c r="F61" s="1837" t="e">
        <f t="shared" si="15"/>
        <v>#DIV/0!</v>
      </c>
      <c r="G61" s="1843" t="s">
        <v>2251</v>
      </c>
      <c r="H61" s="1842">
        <f>项目基本情况!B43</f>
        <v>0</v>
      </c>
      <c r="I61" s="1840">
        <f>SUMIF(修正!$A$45:$A$56,H61,修正!H45:H56)</f>
        <v>0</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t="e">
        <f t="shared" si="17"/>
        <v>#DIV/0!</v>
      </c>
      <c r="C62" s="372">
        <f t="shared" si="16"/>
        <v>0.15</v>
      </c>
      <c r="D62" s="2080">
        <v>0.25</v>
      </c>
      <c r="E62" s="615">
        <f>'数据-汇总表'!E15</f>
        <v>0</v>
      </c>
      <c r="F62" s="1837" t="e">
        <f t="shared" si="15"/>
        <v>#DIV/0!</v>
      </c>
      <c r="G62" s="1844" t="s">
        <v>2252</v>
      </c>
      <c r="H62" s="1845" t="str">
        <f>项目基本情况!C43</f>
        <v>九级</v>
      </c>
      <c r="I62" s="1840">
        <f>SUMIF(修正!$A$45:$A$56,H62,修正!H45:H56)</f>
        <v>0.15</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6" t="s">
        <v>551</v>
      </c>
      <c r="B63" s="617" t="s">
        <v>17</v>
      </c>
      <c r="C63" s="617" t="s">
        <v>18</v>
      </c>
      <c r="D63" s="617" t="s">
        <v>2259</v>
      </c>
      <c r="E63" s="617">
        <f>IF(B43="楼面地价",SUM(E53:E62),'数据-汇总表'!D3)</f>
        <v>18388.8</v>
      </c>
      <c r="F63" s="618" t="e">
        <f>IF(B43="楼面地价",SUM(F53:F62),ROUND(C45*E63/10000,0))</f>
        <v>#DIV/0!</v>
      </c>
      <c r="G63" s="2008"/>
      <c r="H63" s="2008"/>
      <c r="I63" s="2008"/>
      <c r="J63" s="2008"/>
      <c r="K63" s="3192"/>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2022-3-1</v>
      </c>
      <c r="D65" s="2484">
        <f>EDATE(C65,-3)</f>
        <v>44531</v>
      </c>
      <c r="E65" s="2484">
        <f t="shared" ref="E65:N65" si="18">EDATE(D65,-3)</f>
        <v>44440</v>
      </c>
      <c r="F65" s="2484">
        <f t="shared" si="18"/>
        <v>44348</v>
      </c>
      <c r="G65" s="2484">
        <f t="shared" si="18"/>
        <v>44256</v>
      </c>
      <c r="H65" s="2484">
        <f t="shared" si="18"/>
        <v>44166</v>
      </c>
      <c r="I65" s="2484">
        <f t="shared" si="18"/>
        <v>44075</v>
      </c>
      <c r="J65" s="2484">
        <f t="shared" si="18"/>
        <v>43983</v>
      </c>
      <c r="K65" s="2484">
        <f t="shared" si="18"/>
        <v>43891</v>
      </c>
      <c r="L65" s="2484">
        <f t="shared" si="18"/>
        <v>43800</v>
      </c>
      <c r="M65" s="2484">
        <f t="shared" si="18"/>
        <v>43709</v>
      </c>
      <c r="N65" s="2484">
        <f t="shared" si="18"/>
        <v>43617</v>
      </c>
      <c r="O65" s="1998"/>
      <c r="P65" s="1998"/>
      <c r="Q65" s="1998"/>
      <c r="R65" s="1998"/>
      <c r="S65" s="1998"/>
      <c r="T65" s="1998"/>
      <c r="U65" s="1998"/>
      <c r="V65" s="1998"/>
      <c r="W65" s="1998"/>
      <c r="X65" s="1998"/>
      <c r="Y65" s="1998"/>
      <c r="Z65" s="1998"/>
      <c r="AA65" s="1998"/>
      <c r="AB65" s="1998"/>
      <c r="AC65" s="1998"/>
    </row>
    <row r="66" spans="1:29" ht="21.7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ht="15">
      <c r="A67" s="2389" t="s">
        <v>2487</v>
      </c>
      <c r="B67" s="620"/>
      <c r="C67" s="2481" t="str">
        <f>YEAR(C65)&amp;"-"&amp;ROUNDUP(MONTH(C65)/3,0)</f>
        <v>2022-1</v>
      </c>
      <c r="D67" s="2486" t="str">
        <f t="shared" ref="D67:N67" si="19">YEAR(D65)&amp;"-"&amp;ROUNDUP(MONTH(D65)/3,0)</f>
        <v>2021-4</v>
      </c>
      <c r="E67" s="2486" t="str">
        <f t="shared" si="19"/>
        <v>2021-3</v>
      </c>
      <c r="F67" s="2486" t="str">
        <f t="shared" si="19"/>
        <v>2021-2</v>
      </c>
      <c r="G67" s="2486" t="str">
        <f t="shared" si="19"/>
        <v>2021-1</v>
      </c>
      <c r="H67" s="2486" t="str">
        <f t="shared" si="19"/>
        <v>2020-4</v>
      </c>
      <c r="I67" s="2486" t="str">
        <f t="shared" si="19"/>
        <v>2020-3</v>
      </c>
      <c r="J67" s="2486" t="str">
        <f t="shared" si="19"/>
        <v>2020-2</v>
      </c>
      <c r="K67" s="2486" t="str">
        <f t="shared" si="19"/>
        <v>2020-1</v>
      </c>
      <c r="L67" s="2486" t="str">
        <f t="shared" si="19"/>
        <v>2019-4</v>
      </c>
      <c r="M67" s="2486" t="str">
        <f t="shared" si="19"/>
        <v>2019-3</v>
      </c>
      <c r="N67" s="2486" t="str">
        <f t="shared" si="19"/>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83" t="s">
        <v>2602</v>
      </c>
      <c r="B68" s="472" t="str">
        <f>"北京市平均增长率"&amp;TEXT(基准地价!P24,"0.00%")</f>
        <v>北京市平均增长率1.18%</v>
      </c>
      <c r="C68" s="865">
        <v>100</v>
      </c>
      <c r="D68" s="704"/>
      <c r="E68" s="704"/>
      <c r="F68" s="704"/>
      <c r="G68" s="704"/>
      <c r="H68" s="704"/>
      <c r="I68" s="704"/>
      <c r="J68" s="704"/>
      <c r="K68" s="704"/>
      <c r="L68" s="704"/>
      <c r="M68" s="2479"/>
      <c r="N68" s="2480"/>
      <c r="O68" s="2014"/>
      <c r="P68" s="2010"/>
      <c r="Q68" s="1877"/>
      <c r="R68" s="1877"/>
      <c r="S68" s="1877"/>
      <c r="T68" s="1877"/>
      <c r="U68" s="1877"/>
      <c r="V68" s="1877"/>
      <c r="W68" s="1877"/>
      <c r="X68" s="1877"/>
      <c r="Y68" s="1877"/>
      <c r="Z68" s="1877"/>
      <c r="AA68" s="1877"/>
      <c r="AB68" s="1877"/>
      <c r="AC68" s="1877"/>
    </row>
    <row r="69" spans="1:29" s="1185" customFormat="1" ht="15.7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ht="15">
      <c r="A70" s="633" t="s">
        <v>509</v>
      </c>
      <c r="B70" s="622"/>
      <c r="C70" s="634" t="s">
        <v>554</v>
      </c>
      <c r="D70" s="635"/>
      <c r="E70" s="635"/>
      <c r="F70" s="635"/>
      <c r="G70" s="635"/>
      <c r="H70" s="635"/>
      <c r="I70" s="635"/>
      <c r="J70" s="635"/>
      <c r="K70" s="635"/>
      <c r="L70" s="636"/>
      <c r="M70" s="637"/>
      <c r="N70" s="3193"/>
      <c r="O70" s="2014"/>
      <c r="P70" s="2015"/>
      <c r="Q70" s="2010"/>
      <c r="R70" s="1877"/>
      <c r="S70" s="1877"/>
      <c r="T70" s="1877"/>
      <c r="U70" s="1877"/>
      <c r="V70" s="1877"/>
      <c r="W70" s="1877"/>
      <c r="X70" s="1877"/>
      <c r="Y70" s="1877"/>
      <c r="Z70" s="1877"/>
      <c r="AA70" s="1877"/>
      <c r="AB70" s="1877"/>
      <c r="AC70" s="1877"/>
    </row>
    <row r="71" spans="1:29" s="1185" customFormat="1" ht="15.75" thickBot="1">
      <c r="A71" s="633"/>
      <c r="B71" s="622"/>
      <c r="C71" s="623">
        <v>100</v>
      </c>
      <c r="D71" s="624"/>
      <c r="E71" s="624"/>
      <c r="F71" s="624"/>
      <c r="G71" s="624"/>
      <c r="H71" s="624"/>
      <c r="I71" s="624"/>
      <c r="J71" s="624"/>
      <c r="K71" s="624"/>
      <c r="L71" s="624"/>
      <c r="M71" s="626"/>
      <c r="N71" s="3193"/>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94"/>
      <c r="O72" s="2016"/>
      <c r="P72" s="2017"/>
      <c r="Q72" s="2010"/>
      <c r="R72" s="1998"/>
      <c r="S72" s="1998"/>
      <c r="T72" s="1998"/>
      <c r="U72" s="1998"/>
      <c r="V72" s="1998"/>
      <c r="W72" s="1998"/>
      <c r="X72" s="1998"/>
      <c r="Y72" s="1998"/>
      <c r="Z72" s="1998"/>
      <c r="AA72" s="1998"/>
      <c r="AB72" s="1998"/>
      <c r="AC72" s="1998"/>
    </row>
    <row r="73" spans="1:29" ht="15.75" thickBot="1">
      <c r="A73" s="643"/>
      <c r="B73" s="644"/>
      <c r="C73" s="645"/>
      <c r="D73" s="645"/>
      <c r="E73" s="645"/>
      <c r="F73" s="645"/>
      <c r="G73" s="645"/>
      <c r="H73" s="645"/>
      <c r="I73" s="645"/>
      <c r="J73" s="645"/>
      <c r="K73" s="645"/>
      <c r="L73" s="645"/>
      <c r="M73" s="646"/>
      <c r="N73" s="3195"/>
      <c r="O73" s="2018"/>
      <c r="P73" s="2017"/>
      <c r="Q73" s="2010"/>
      <c r="R73" s="1998"/>
      <c r="S73" s="1998"/>
      <c r="T73" s="1998"/>
      <c r="U73" s="1998"/>
      <c r="V73" s="1998"/>
      <c r="W73" s="1998"/>
      <c r="X73" s="1998"/>
      <c r="Y73" s="1998"/>
      <c r="Z73" s="1998"/>
      <c r="AA73" s="1998"/>
      <c r="AB73" s="1998"/>
      <c r="AC73" s="1998"/>
    </row>
    <row r="74" spans="1:29" ht="27.75" thickTop="1">
      <c r="A74" s="643"/>
      <c r="B74" s="647" t="s">
        <v>515</v>
      </c>
      <c r="C74" s="648"/>
      <c r="D74" s="648"/>
      <c r="E74" s="648"/>
      <c r="F74" s="648"/>
      <c r="G74" s="648"/>
      <c r="H74" s="648"/>
      <c r="I74" s="648"/>
      <c r="J74" s="648"/>
      <c r="K74" s="649"/>
      <c r="L74" s="650"/>
      <c r="M74" s="651"/>
      <c r="N74" s="3194"/>
      <c r="O74" s="2016"/>
      <c r="P74" s="2017"/>
      <c r="Q74" s="2010"/>
      <c r="R74" s="1998"/>
      <c r="S74" s="1998"/>
      <c r="T74" s="1998"/>
      <c r="U74" s="1998"/>
      <c r="V74" s="1998"/>
      <c r="W74" s="1998"/>
      <c r="X74" s="1998"/>
      <c r="Y74" s="1998"/>
      <c r="Z74" s="1998"/>
      <c r="AA74" s="1998"/>
      <c r="AB74" s="1998"/>
      <c r="AC74" s="1998"/>
    </row>
    <row r="75" spans="1:29" ht="15.75" thickBot="1">
      <c r="A75" s="643"/>
      <c r="B75" s="652"/>
      <c r="C75" s="653"/>
      <c r="D75" s="653"/>
      <c r="E75" s="653"/>
      <c r="F75" s="653"/>
      <c r="G75" s="653"/>
      <c r="H75" s="653"/>
      <c r="I75" s="653"/>
      <c r="J75" s="653"/>
      <c r="K75" s="653"/>
      <c r="L75" s="653"/>
      <c r="M75" s="654"/>
      <c r="N75" s="3195"/>
      <c r="O75" s="2018"/>
      <c r="P75" s="2017"/>
      <c r="Q75" s="2010"/>
      <c r="R75" s="1998"/>
      <c r="S75" s="1998"/>
      <c r="T75" s="1998"/>
      <c r="U75" s="1998"/>
      <c r="V75" s="1998"/>
      <c r="W75" s="1998"/>
      <c r="X75" s="1998"/>
      <c r="Y75" s="1998"/>
      <c r="Z75" s="1998"/>
      <c r="AA75" s="1998"/>
      <c r="AB75" s="1998"/>
      <c r="AC75" s="1998"/>
    </row>
    <row r="76" spans="1:29" ht="15.75" thickTop="1">
      <c r="A76" s="643"/>
      <c r="B76" s="655" t="s">
        <v>516</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5"/>
      <c r="O76" s="2018"/>
      <c r="P76" s="2017"/>
      <c r="Q76" s="2010"/>
      <c r="R76" s="1998"/>
      <c r="S76" s="1998"/>
      <c r="T76" s="1998"/>
      <c r="U76" s="1998"/>
      <c r="V76" s="1998"/>
      <c r="W76" s="1998"/>
      <c r="X76" s="1998"/>
      <c r="Y76" s="1998"/>
      <c r="Z76" s="1998"/>
      <c r="AA76" s="1998"/>
      <c r="AB76" s="1998"/>
      <c r="AC76" s="1998"/>
    </row>
    <row r="77" spans="1:29" ht="15">
      <c r="A77" s="643"/>
      <c r="B77" s="657"/>
      <c r="C77" s="517"/>
      <c r="D77" s="517"/>
      <c r="E77" s="517"/>
      <c r="F77" s="517"/>
      <c r="G77" s="517"/>
      <c r="H77" s="517"/>
      <c r="I77" s="517"/>
      <c r="J77" s="517"/>
      <c r="K77" s="658"/>
      <c r="L77" s="659"/>
      <c r="M77" s="660"/>
      <c r="N77" s="3194"/>
      <c r="O77" s="2016"/>
      <c r="P77" s="2017"/>
      <c r="Q77" s="2010"/>
      <c r="R77" s="1998"/>
      <c r="S77" s="1998"/>
      <c r="T77" s="1998"/>
      <c r="U77" s="1998"/>
      <c r="V77" s="1998"/>
      <c r="W77" s="1998"/>
      <c r="X77" s="1998"/>
      <c r="Y77" s="1998"/>
      <c r="Z77" s="1998"/>
      <c r="AA77" s="1998"/>
      <c r="AB77" s="1998"/>
      <c r="AC77" s="1998"/>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5"/>
      <c r="O78" s="2018"/>
      <c r="P78" s="2017"/>
      <c r="Q78" s="2010"/>
      <c r="R78" s="1998"/>
      <c r="S78" s="1998"/>
      <c r="T78" s="1998"/>
      <c r="U78" s="1998"/>
      <c r="V78" s="1998"/>
      <c r="W78" s="1998"/>
      <c r="X78" s="1998"/>
      <c r="Y78" s="1998"/>
      <c r="Z78" s="1998"/>
      <c r="AA78" s="1998"/>
      <c r="AB78" s="1998"/>
      <c r="AC78" s="1998"/>
    </row>
    <row r="79" spans="1:29" s="1267" customFormat="1" ht="15.75" thickTop="1">
      <c r="A79" s="661"/>
      <c r="B79" s="647">
        <f>B14</f>
        <v>111</v>
      </c>
      <c r="C79" s="662"/>
      <c r="D79" s="662"/>
      <c r="E79" s="662"/>
      <c r="F79" s="662"/>
      <c r="G79" s="662"/>
      <c r="H79" s="663"/>
      <c r="I79" s="663"/>
      <c r="J79" s="663"/>
      <c r="K79" s="663"/>
      <c r="L79" s="664"/>
      <c r="M79" s="665"/>
      <c r="N79" s="3196"/>
      <c r="O79" s="2019"/>
      <c r="P79" s="2020"/>
      <c r="Q79" s="2021"/>
      <c r="R79" s="2022"/>
      <c r="S79" s="2022"/>
      <c r="T79" s="2022"/>
      <c r="U79" s="2022"/>
      <c r="V79" s="2022"/>
      <c r="W79" s="2022"/>
      <c r="X79" s="2022"/>
      <c r="Y79" s="2022"/>
      <c r="Z79" s="2022"/>
      <c r="AA79" s="2022"/>
      <c r="AB79" s="2022"/>
      <c r="AC79" s="2022"/>
    </row>
    <row r="80" spans="1:29" s="1267" customFormat="1" ht="15.75" thickBot="1">
      <c r="A80" s="661"/>
      <c r="B80" s="652"/>
      <c r="C80" s="666"/>
      <c r="D80" s="645"/>
      <c r="E80" s="645"/>
      <c r="F80" s="645"/>
      <c r="G80" s="645"/>
      <c r="H80" s="645"/>
      <c r="I80" s="645"/>
      <c r="J80" s="645"/>
      <c r="K80" s="645"/>
      <c r="L80" s="645"/>
      <c r="M80" s="646"/>
      <c r="N80" s="3195"/>
      <c r="O80" s="2018"/>
      <c r="P80" s="2020"/>
      <c r="Q80" s="2021"/>
      <c r="R80" s="2022"/>
      <c r="S80" s="2022"/>
      <c r="T80" s="2022"/>
      <c r="U80" s="2022"/>
      <c r="V80" s="2022"/>
      <c r="W80" s="2022"/>
      <c r="X80" s="2022"/>
      <c r="Y80" s="2022"/>
      <c r="Z80" s="2022"/>
      <c r="AA80" s="2022"/>
      <c r="AB80" s="2022"/>
      <c r="AC80" s="2022"/>
    </row>
    <row r="81" spans="1:29" s="1267" customFormat="1" ht="15.75" thickTop="1">
      <c r="A81" s="661"/>
      <c r="B81" s="647">
        <f>B15</f>
        <v>111</v>
      </c>
      <c r="C81" s="662"/>
      <c r="D81" s="662"/>
      <c r="E81" s="662"/>
      <c r="F81" s="662"/>
      <c r="G81" s="662"/>
      <c r="H81" s="663"/>
      <c r="I81" s="663"/>
      <c r="J81" s="663"/>
      <c r="K81" s="663"/>
      <c r="L81" s="664"/>
      <c r="M81" s="665"/>
      <c r="N81" s="3196"/>
      <c r="O81" s="2019"/>
      <c r="P81" s="2023"/>
      <c r="Q81" s="2024"/>
      <c r="R81" s="2022"/>
      <c r="S81" s="2022"/>
      <c r="T81" s="2022"/>
      <c r="U81" s="2022"/>
      <c r="V81" s="2022"/>
      <c r="W81" s="2022"/>
      <c r="X81" s="2022"/>
      <c r="Y81" s="2022"/>
      <c r="Z81" s="2022"/>
      <c r="AA81" s="2022"/>
      <c r="AB81" s="2022"/>
      <c r="AC81" s="2022"/>
    </row>
    <row r="82" spans="1:29" s="1267" customFormat="1" ht="15.75" thickBot="1">
      <c r="A82" s="661"/>
      <c r="B82" s="652"/>
      <c r="C82" s="666"/>
      <c r="D82" s="666"/>
      <c r="E82" s="666"/>
      <c r="F82" s="666"/>
      <c r="G82" s="666"/>
      <c r="H82" s="667"/>
      <c r="I82" s="667"/>
      <c r="J82" s="667"/>
      <c r="K82" s="667"/>
      <c r="L82" s="667"/>
      <c r="M82" s="668"/>
      <c r="N82" s="3196"/>
      <c r="O82" s="2019"/>
      <c r="P82" s="2020"/>
      <c r="Q82" s="2021"/>
      <c r="R82" s="2022"/>
      <c r="S82" s="2022"/>
      <c r="T82" s="2022"/>
      <c r="U82" s="2022"/>
      <c r="V82" s="2022"/>
      <c r="W82" s="2022"/>
      <c r="X82" s="2022"/>
      <c r="Y82" s="2022"/>
      <c r="Z82" s="2022"/>
      <c r="AA82" s="2022"/>
      <c r="AB82" s="2022"/>
      <c r="AC82" s="2022"/>
    </row>
    <row r="83" spans="1:29" s="1267" customFormat="1" ht="15.75" thickTop="1">
      <c r="A83" s="661"/>
      <c r="B83" s="655">
        <f>B16</f>
        <v>111</v>
      </c>
      <c r="C83" s="635"/>
      <c r="D83" s="635"/>
      <c r="E83" s="635"/>
      <c r="F83" s="635"/>
      <c r="G83" s="635"/>
      <c r="H83" s="669"/>
      <c r="I83" s="669"/>
      <c r="J83" s="669"/>
      <c r="K83" s="669"/>
      <c r="L83" s="670"/>
      <c r="M83" s="671"/>
      <c r="N83" s="3196"/>
      <c r="O83" s="2019"/>
      <c r="P83" s="2025"/>
      <c r="Q83" s="2021"/>
      <c r="R83" s="2022"/>
      <c r="S83" s="2022"/>
      <c r="T83" s="2022"/>
      <c r="U83" s="2022"/>
      <c r="V83" s="2022"/>
      <c r="W83" s="2022"/>
      <c r="X83" s="2022"/>
      <c r="Y83" s="2022"/>
      <c r="Z83" s="2022"/>
      <c r="AA83" s="2022"/>
      <c r="AB83" s="2022"/>
      <c r="AC83" s="2022"/>
    </row>
    <row r="84" spans="1:29" s="1267" customFormat="1" ht="15.75" thickBot="1">
      <c r="A84" s="672"/>
      <c r="B84" s="673"/>
      <c r="C84" s="674"/>
      <c r="D84" s="674"/>
      <c r="E84" s="674"/>
      <c r="F84" s="674"/>
      <c r="G84" s="674"/>
      <c r="H84" s="675"/>
      <c r="I84" s="675"/>
      <c r="J84" s="675"/>
      <c r="K84" s="675"/>
      <c r="L84" s="675"/>
      <c r="M84" s="676"/>
      <c r="N84" s="3196"/>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94"/>
      <c r="O85" s="2016"/>
      <c r="P85" s="2026"/>
      <c r="Q85" s="2010"/>
      <c r="R85" s="1998"/>
      <c r="S85" s="1998"/>
      <c r="T85" s="1998"/>
      <c r="U85" s="1998"/>
      <c r="V85" s="1998"/>
      <c r="W85" s="1998"/>
      <c r="X85" s="1998"/>
      <c r="Y85" s="1998"/>
      <c r="Z85" s="1998"/>
      <c r="AA85" s="1998"/>
      <c r="AB85" s="1998"/>
      <c r="AC85" s="1998"/>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5"/>
      <c r="O86" s="2018"/>
      <c r="P86" s="2017"/>
      <c r="Q86" s="2010"/>
      <c r="R86" s="1998"/>
      <c r="S86" s="1998"/>
      <c r="T86" s="1998"/>
      <c r="U86" s="1998"/>
      <c r="V86" s="1998"/>
      <c r="W86" s="1998"/>
      <c r="X86" s="1998"/>
      <c r="Y86" s="1998"/>
      <c r="Z86" s="1998"/>
      <c r="AA86" s="1998"/>
      <c r="AB86" s="1998"/>
      <c r="AC86" s="1998"/>
    </row>
    <row r="87" spans="1:29" ht="15.75" thickTop="1">
      <c r="A87" s="643"/>
      <c r="B87" s="647" t="s">
        <v>564</v>
      </c>
      <c r="C87" s="682" t="s">
        <v>557</v>
      </c>
      <c r="D87" s="682" t="s">
        <v>558</v>
      </c>
      <c r="E87" s="682" t="s">
        <v>559</v>
      </c>
      <c r="F87" s="682" t="s">
        <v>560</v>
      </c>
      <c r="G87" s="682" t="s">
        <v>561</v>
      </c>
      <c r="H87" s="648"/>
      <c r="I87" s="648"/>
      <c r="J87" s="648"/>
      <c r="K87" s="649"/>
      <c r="L87" s="650"/>
      <c r="M87" s="651"/>
      <c r="N87" s="3194"/>
      <c r="O87" s="2016"/>
      <c r="P87" s="2017"/>
      <c r="Q87" s="2010"/>
      <c r="R87" s="1998"/>
      <c r="S87" s="1998"/>
      <c r="T87" s="1998"/>
      <c r="U87" s="1998"/>
      <c r="V87" s="1998"/>
      <c r="W87" s="1998"/>
      <c r="X87" s="1998"/>
      <c r="Y87" s="1998"/>
      <c r="Z87" s="1998"/>
      <c r="AA87" s="1998"/>
      <c r="AB87" s="1998"/>
      <c r="AC87" s="1998"/>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5"/>
      <c r="O88" s="2018"/>
      <c r="P88" s="2017"/>
      <c r="Q88" s="2010"/>
      <c r="R88" s="1998"/>
      <c r="S88" s="1998"/>
      <c r="T88" s="1998"/>
      <c r="U88" s="1998"/>
      <c r="V88" s="1998"/>
      <c r="W88" s="1998"/>
      <c r="X88" s="1998"/>
      <c r="Y88" s="1998"/>
      <c r="Z88" s="1998"/>
      <c r="AA88" s="1998"/>
      <c r="AB88" s="1998"/>
      <c r="AC88" s="1998"/>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93"/>
      <c r="O89" s="2014"/>
      <c r="P89" s="2017"/>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5"/>
      <c r="O90" s="2018"/>
      <c r="P90" s="2017"/>
      <c r="Q90" s="2010"/>
      <c r="R90" s="1877"/>
      <c r="S90" s="1877"/>
      <c r="T90" s="1877"/>
      <c r="U90" s="1877"/>
      <c r="V90" s="1877"/>
      <c r="W90" s="1877"/>
      <c r="X90" s="1877"/>
      <c r="Y90" s="1877"/>
      <c r="Z90" s="1877"/>
      <c r="AA90" s="1877"/>
      <c r="AB90" s="1877"/>
      <c r="AC90" s="1877"/>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93"/>
      <c r="O91" s="2014"/>
      <c r="P91" s="2017"/>
      <c r="Q91" s="2010"/>
      <c r="R91" s="1877"/>
      <c r="S91" s="1877"/>
      <c r="T91" s="1877"/>
      <c r="U91" s="1877"/>
      <c r="V91" s="1877"/>
      <c r="W91" s="1877"/>
      <c r="X91" s="1877"/>
      <c r="Y91" s="1877"/>
      <c r="Z91" s="1877"/>
      <c r="AA91" s="1877"/>
      <c r="AB91" s="1877"/>
      <c r="AC91" s="1877"/>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5"/>
      <c r="O92" s="2018"/>
      <c r="P92" s="2017"/>
      <c r="Q92" s="2010"/>
      <c r="R92" s="1877"/>
      <c r="S92" s="1877"/>
      <c r="T92" s="1877"/>
      <c r="U92" s="1877"/>
      <c r="V92" s="1877"/>
      <c r="W92" s="1877"/>
      <c r="X92" s="1877"/>
      <c r="Y92" s="1877"/>
      <c r="Z92" s="1877"/>
      <c r="AA92" s="1877"/>
      <c r="AB92" s="1877"/>
      <c r="AC92" s="1877"/>
    </row>
    <row r="93" spans="1:29" s="1267" customFormat="1" ht="15.75" thickTop="1">
      <c r="A93" s="661"/>
      <c r="B93" s="1783" t="s">
        <v>2502</v>
      </c>
      <c r="C93" s="677" t="s">
        <v>557</v>
      </c>
      <c r="D93" s="677" t="s">
        <v>558</v>
      </c>
      <c r="E93" s="677" t="s">
        <v>559</v>
      </c>
      <c r="F93" s="677" t="s">
        <v>560</v>
      </c>
      <c r="G93" s="677" t="s">
        <v>561</v>
      </c>
      <c r="H93" s="687"/>
      <c r="I93" s="687"/>
      <c r="J93" s="687"/>
      <c r="K93" s="687"/>
      <c r="L93" s="688"/>
      <c r="M93" s="689"/>
      <c r="N93" s="3196"/>
      <c r="O93" s="2019"/>
      <c r="P93" s="2020"/>
      <c r="Q93" s="2021"/>
      <c r="R93" s="2022"/>
      <c r="S93" s="2022"/>
      <c r="T93" s="2022"/>
      <c r="U93" s="2022"/>
      <c r="V93" s="2022"/>
      <c r="W93" s="2022"/>
      <c r="X93" s="2022"/>
      <c r="Y93" s="2022"/>
      <c r="Z93" s="2022"/>
      <c r="AA93" s="2022"/>
      <c r="AB93" s="2022"/>
      <c r="AC93" s="2022"/>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6"/>
      <c r="O94" s="2019"/>
      <c r="P94" s="2020"/>
      <c r="Q94" s="2021"/>
      <c r="R94" s="2022"/>
      <c r="S94" s="2022"/>
      <c r="T94" s="2022"/>
      <c r="U94" s="2022"/>
      <c r="V94" s="2022"/>
      <c r="W94" s="2022"/>
      <c r="X94" s="2022"/>
      <c r="Y94" s="2022"/>
      <c r="Z94" s="2022"/>
      <c r="AA94" s="2022"/>
      <c r="AB94" s="2022"/>
      <c r="AC94" s="2022"/>
    </row>
    <row r="95" spans="1:29" s="1267" customFormat="1" ht="15.75" thickTop="1">
      <c r="A95" s="661"/>
      <c r="B95" s="2409" t="s">
        <v>2504</v>
      </c>
      <c r="C95" s="2410" t="s">
        <v>2505</v>
      </c>
      <c r="D95" s="2410" t="s">
        <v>2506</v>
      </c>
      <c r="E95" s="2410" t="s">
        <v>2507</v>
      </c>
      <c r="F95" s="2410" t="s">
        <v>2508</v>
      </c>
      <c r="G95" s="2410" t="s">
        <v>2509</v>
      </c>
      <c r="H95" s="687"/>
      <c r="I95" s="687"/>
      <c r="J95" s="687"/>
      <c r="K95" s="687"/>
      <c r="L95" s="687"/>
      <c r="M95" s="689"/>
      <c r="N95" s="3196"/>
      <c r="O95" s="2019"/>
      <c r="P95" s="2020"/>
      <c r="Q95" s="2021"/>
      <c r="R95" s="2022"/>
      <c r="S95" s="2022"/>
      <c r="T95" s="2022"/>
      <c r="U95" s="2022"/>
      <c r="V95" s="2022"/>
      <c r="W95" s="2022"/>
      <c r="X95" s="2022"/>
      <c r="Y95" s="2022"/>
      <c r="Z95" s="2022"/>
      <c r="AA95" s="2022"/>
      <c r="AB95" s="2022"/>
      <c r="AC95" s="2022"/>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402"/>
      <c r="N96" s="3196"/>
      <c r="O96" s="2019"/>
      <c r="P96" s="2020"/>
      <c r="Q96" s="2021"/>
      <c r="R96" s="2022"/>
      <c r="S96" s="2022"/>
      <c r="T96" s="2022"/>
      <c r="U96" s="2022"/>
      <c r="V96" s="2022"/>
      <c r="W96" s="2022"/>
      <c r="X96" s="2022"/>
      <c r="Y96" s="2022"/>
      <c r="Z96" s="2022"/>
      <c r="AA96" s="2022"/>
      <c r="AB96" s="2022"/>
      <c r="AC96" s="2022"/>
    </row>
    <row r="97" spans="1:29" ht="15.75" thickTop="1">
      <c r="A97" s="643"/>
      <c r="B97" s="647" t="str">
        <f>B29</f>
        <v>临街状况</v>
      </c>
      <c r="C97" s="648" t="s">
        <v>567</v>
      </c>
      <c r="D97" s="648" t="s">
        <v>568</v>
      </c>
      <c r="E97" s="648" t="s">
        <v>569</v>
      </c>
      <c r="F97" s="648" t="s">
        <v>570</v>
      </c>
      <c r="G97" s="648"/>
      <c r="H97" s="648"/>
      <c r="I97" s="648"/>
      <c r="J97" s="648"/>
      <c r="K97" s="649"/>
      <c r="L97" s="650"/>
      <c r="M97" s="651"/>
      <c r="N97" s="3194"/>
      <c r="O97" s="2016"/>
      <c r="P97" s="2017"/>
      <c r="Q97" s="2010"/>
      <c r="R97" s="1998"/>
      <c r="S97" s="1998"/>
      <c r="T97" s="1998"/>
      <c r="U97" s="1998"/>
      <c r="V97" s="1998"/>
      <c r="W97" s="1998"/>
      <c r="X97" s="1998"/>
      <c r="Y97" s="1998"/>
      <c r="Z97" s="1998"/>
      <c r="AA97" s="1998"/>
      <c r="AB97" s="1998"/>
      <c r="AC97" s="1998"/>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5"/>
      <c r="O98" s="2018"/>
      <c r="P98" s="2017"/>
      <c r="Q98" s="2010"/>
      <c r="R98" s="1998"/>
      <c r="S98" s="1998"/>
      <c r="T98" s="1998"/>
      <c r="U98" s="1998"/>
      <c r="V98" s="1998"/>
      <c r="W98" s="1998"/>
      <c r="X98" s="1998"/>
      <c r="Y98" s="1998"/>
      <c r="Z98" s="1998"/>
      <c r="AA98" s="1998"/>
      <c r="AB98" s="1998"/>
      <c r="AC98" s="1998"/>
    </row>
    <row r="99" spans="1:29" ht="27.75" thickTop="1">
      <c r="A99" s="643"/>
      <c r="B99" s="647" t="s">
        <v>526</v>
      </c>
      <c r="C99" s="662"/>
      <c r="D99" s="662"/>
      <c r="E99" s="662"/>
      <c r="F99" s="662"/>
      <c r="G99" s="662"/>
      <c r="H99" s="692"/>
      <c r="I99" s="692"/>
      <c r="J99" s="692"/>
      <c r="K99" s="693"/>
      <c r="L99" s="694"/>
      <c r="M99" s="695"/>
      <c r="N99" s="3194"/>
      <c r="O99" s="2016"/>
      <c r="P99" s="2017"/>
      <c r="Q99" s="2010"/>
      <c r="R99" s="1998"/>
      <c r="S99" s="1998"/>
      <c r="T99" s="1998"/>
      <c r="U99" s="1998"/>
      <c r="V99" s="1998"/>
      <c r="W99" s="1998"/>
      <c r="X99" s="1998"/>
      <c r="Y99" s="1998"/>
      <c r="Z99" s="1998"/>
      <c r="AA99" s="1998"/>
      <c r="AB99" s="1998"/>
      <c r="AC99" s="1998"/>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5"/>
      <c r="O100" s="2018"/>
      <c r="P100" s="2017"/>
      <c r="Q100" s="2010"/>
      <c r="R100" s="1998"/>
      <c r="S100" s="1998"/>
      <c r="T100" s="1998"/>
      <c r="U100" s="1998"/>
      <c r="V100" s="1998"/>
      <c r="W100" s="1998"/>
      <c r="X100" s="1998"/>
      <c r="Y100" s="1998"/>
      <c r="Z100" s="1998"/>
      <c r="AA100" s="1998"/>
      <c r="AB100" s="1998"/>
      <c r="AC100" s="1998"/>
    </row>
    <row r="101" spans="1:29" ht="15.75" thickTop="1">
      <c r="A101" s="643"/>
      <c r="B101" s="647" t="s">
        <v>527</v>
      </c>
      <c r="C101" s="692"/>
      <c r="D101" s="692"/>
      <c r="E101" s="692"/>
      <c r="F101" s="692"/>
      <c r="G101" s="692"/>
      <c r="H101" s="692"/>
      <c r="I101" s="692"/>
      <c r="J101" s="692"/>
      <c r="K101" s="693"/>
      <c r="L101" s="694"/>
      <c r="M101" s="695"/>
      <c r="N101" s="3194"/>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5"/>
      <c r="O102" s="2018"/>
      <c r="P102" s="2017"/>
      <c r="Q102" s="2010"/>
      <c r="R102" s="1998"/>
      <c r="S102" s="1998"/>
      <c r="T102" s="1998"/>
      <c r="U102" s="1998"/>
      <c r="V102" s="1998"/>
      <c r="W102" s="1998"/>
      <c r="X102" s="1998"/>
      <c r="Y102" s="1998"/>
      <c r="Z102" s="1998"/>
      <c r="AA102" s="1998"/>
      <c r="AB102" s="1998"/>
      <c r="AC102" s="1998"/>
    </row>
    <row r="103" spans="1:29" ht="15.75" thickTop="1">
      <c r="A103" s="643"/>
      <c r="B103" s="655">
        <f>B33</f>
        <v>111</v>
      </c>
      <c r="C103" s="662"/>
      <c r="D103" s="662"/>
      <c r="E103" s="662"/>
      <c r="F103" s="662"/>
      <c r="G103" s="696"/>
      <c r="H103" s="696"/>
      <c r="I103" s="696"/>
      <c r="J103" s="696"/>
      <c r="K103" s="697"/>
      <c r="L103" s="698"/>
      <c r="M103" s="699"/>
      <c r="N103" s="3194"/>
      <c r="O103" s="2016"/>
      <c r="P103" s="2017"/>
      <c r="Q103" s="2010"/>
      <c r="R103" s="1998"/>
      <c r="S103" s="1998"/>
      <c r="T103" s="1998"/>
      <c r="U103" s="1998"/>
      <c r="V103" s="1998"/>
      <c r="W103" s="1998"/>
      <c r="X103" s="1998"/>
      <c r="Y103" s="1998"/>
      <c r="Z103" s="1998"/>
      <c r="AA103" s="1998"/>
      <c r="AB103" s="1998"/>
      <c r="AC103" s="1998"/>
    </row>
    <row r="104" spans="1:29" ht="15.75" thickBot="1">
      <c r="A104" s="643"/>
      <c r="B104" s="673"/>
      <c r="C104" s="666"/>
      <c r="D104" s="645"/>
      <c r="E104" s="645"/>
      <c r="F104" s="645"/>
      <c r="G104" s="700"/>
      <c r="H104" s="700"/>
      <c r="I104" s="700"/>
      <c r="J104" s="700"/>
      <c r="K104" s="700"/>
      <c r="L104" s="700"/>
      <c r="M104" s="701"/>
      <c r="N104" s="3195"/>
      <c r="O104" s="2018"/>
      <c r="P104" s="2017"/>
      <c r="Q104" s="2010"/>
      <c r="R104" s="1998"/>
      <c r="S104" s="1998"/>
      <c r="T104" s="1998"/>
      <c r="U104" s="1998"/>
      <c r="V104" s="1998"/>
      <c r="W104" s="1998"/>
      <c r="X104" s="1998"/>
      <c r="Y104" s="1998"/>
      <c r="Z104" s="1998"/>
      <c r="AA104" s="1998"/>
      <c r="AB104" s="1998"/>
      <c r="AC104" s="1998"/>
    </row>
    <row r="105" spans="1:29" ht="15" thickTop="1">
      <c r="A105" s="563"/>
      <c r="B105" s="647">
        <f>B34</f>
        <v>111</v>
      </c>
      <c r="C105" s="662"/>
      <c r="D105" s="662"/>
      <c r="E105" s="662"/>
      <c r="F105" s="662"/>
      <c r="G105" s="692"/>
      <c r="H105" s="692"/>
      <c r="I105" s="692"/>
      <c r="J105" s="692"/>
      <c r="K105" s="693"/>
      <c r="L105" s="694"/>
      <c r="M105" s="695"/>
      <c r="N105" s="3194"/>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66"/>
      <c r="D106" s="666"/>
      <c r="E106" s="666"/>
      <c r="F106" s="666"/>
      <c r="G106" s="645"/>
      <c r="H106" s="645"/>
      <c r="I106" s="645"/>
      <c r="J106" s="645"/>
      <c r="K106" s="645"/>
      <c r="L106" s="645"/>
      <c r="M106" s="646"/>
      <c r="N106" s="3195"/>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2"/>
      <c r="B107" s="703">
        <f>B35</f>
        <v>111</v>
      </c>
      <c r="C107" s="635"/>
      <c r="D107" s="635"/>
      <c r="E107" s="635"/>
      <c r="F107" s="635"/>
      <c r="G107" s="704"/>
      <c r="H107" s="704"/>
      <c r="I107" s="704"/>
      <c r="J107" s="705"/>
      <c r="K107" s="705"/>
      <c r="L107" s="706"/>
      <c r="M107" s="707"/>
      <c r="N107" s="3196"/>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1"/>
      <c r="B108" s="655"/>
      <c r="C108" s="674"/>
      <c r="D108" s="674"/>
      <c r="E108" s="674"/>
      <c r="F108" s="674"/>
      <c r="G108" s="568"/>
      <c r="H108" s="568"/>
      <c r="I108" s="568"/>
      <c r="J108" s="568"/>
      <c r="K108" s="568"/>
      <c r="L108" s="568"/>
      <c r="M108" s="708"/>
      <c r="N108" s="3195"/>
      <c r="O108" s="2018"/>
      <c r="P108" s="2020"/>
      <c r="Q108" s="2021"/>
      <c r="R108" s="2022"/>
      <c r="S108" s="2022"/>
      <c r="T108" s="2022"/>
      <c r="U108" s="2022"/>
      <c r="V108" s="2022"/>
      <c r="W108" s="2022"/>
      <c r="X108" s="2022"/>
      <c r="Y108" s="2022"/>
      <c r="Z108" s="2022"/>
      <c r="AA108" s="2022"/>
      <c r="AB108" s="2022"/>
      <c r="AC108" s="2022"/>
    </row>
    <row r="109" spans="1:29">
      <c r="A109" s="638" t="s">
        <v>529</v>
      </c>
      <c r="B109" s="639" t="s">
        <v>571</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6" t="str">
        <f t="shared" si="25"/>
        <v>(含)-</v>
      </c>
      <c r="L109" s="2747" t="str">
        <f t="shared" si="25"/>
        <v>(含)-</v>
      </c>
      <c r="M109" s="2748" t="str">
        <f>M110&amp;"(含)"&amp;"-"&amp;P110</f>
        <v>(含)-</v>
      </c>
      <c r="N109" s="3194"/>
      <c r="O109" s="2016"/>
      <c r="P109" s="2017"/>
      <c r="Q109" s="2010"/>
      <c r="R109" s="1998"/>
      <c r="S109" s="1998"/>
      <c r="T109" s="1998"/>
      <c r="U109" s="1998"/>
      <c r="V109" s="1998"/>
      <c r="W109" s="1998"/>
      <c r="X109" s="1998"/>
      <c r="Y109" s="1998"/>
      <c r="Z109" s="1998"/>
      <c r="AA109" s="1998"/>
      <c r="AB109" s="1998"/>
      <c r="AC109" s="1998"/>
    </row>
    <row r="110" spans="1:29" ht="15">
      <c r="A110" s="643"/>
      <c r="B110" s="655"/>
      <c r="C110" s="704"/>
      <c r="D110" s="704"/>
      <c r="E110" s="704"/>
      <c r="F110" s="704"/>
      <c r="G110" s="704"/>
      <c r="H110" s="704"/>
      <c r="I110" s="704"/>
      <c r="J110" s="705"/>
      <c r="K110" s="705"/>
      <c r="L110" s="706"/>
      <c r="M110" s="707"/>
      <c r="N110" s="3194"/>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74"/>
      <c r="D111" s="700"/>
      <c r="E111" s="700"/>
      <c r="F111" s="700"/>
      <c r="G111" s="700"/>
      <c r="H111" s="700"/>
      <c r="I111" s="700"/>
      <c r="J111" s="700"/>
      <c r="K111" s="700"/>
      <c r="L111" s="700"/>
      <c r="M111" s="701"/>
      <c r="N111" s="3195"/>
      <c r="O111" s="2018"/>
      <c r="P111" s="2017"/>
      <c r="Q111" s="2010"/>
      <c r="R111" s="1998"/>
      <c r="S111" s="1998"/>
      <c r="T111" s="1998"/>
      <c r="U111" s="1998"/>
      <c r="V111" s="1998"/>
      <c r="W111" s="1998"/>
      <c r="X111" s="1998"/>
      <c r="Y111" s="1998"/>
      <c r="Z111" s="1998"/>
      <c r="AA111" s="1998"/>
      <c r="AB111" s="1998"/>
      <c r="AC111" s="1998"/>
    </row>
    <row r="112" spans="1:29" ht="15" thickTop="1">
      <c r="A112" s="709"/>
      <c r="B112" s="647" t="s">
        <v>572</v>
      </c>
      <c r="C112" s="692"/>
      <c r="D112" s="692"/>
      <c r="E112" s="692"/>
      <c r="F112" s="692"/>
      <c r="G112" s="692"/>
      <c r="H112" s="692"/>
      <c r="I112" s="692"/>
      <c r="J112" s="692"/>
      <c r="K112" s="693"/>
      <c r="L112" s="694"/>
      <c r="M112" s="695"/>
      <c r="N112" s="3194"/>
      <c r="O112" s="2016"/>
      <c r="P112" s="2017"/>
      <c r="Q112" s="2010"/>
      <c r="R112" s="1998"/>
      <c r="S112" s="1998"/>
      <c r="T112" s="1998"/>
      <c r="U112" s="1998"/>
      <c r="V112" s="1998"/>
      <c r="W112" s="1998"/>
      <c r="X112" s="1998"/>
      <c r="Y112" s="1998"/>
      <c r="Z112" s="1998"/>
      <c r="AA112" s="1998"/>
      <c r="AB112" s="1998"/>
      <c r="AC112" s="1998"/>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5"/>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2"/>
      <c r="B114" s="1783" t="s">
        <v>2387</v>
      </c>
      <c r="C114" s="1301"/>
      <c r="D114" s="1301"/>
      <c r="E114" s="1301"/>
      <c r="F114" s="1301"/>
      <c r="G114" s="1301"/>
      <c r="H114" s="692"/>
      <c r="I114" s="692"/>
      <c r="J114" s="692"/>
      <c r="K114" s="693"/>
      <c r="L114" s="694"/>
      <c r="M114" s="695"/>
      <c r="N114" s="3196"/>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6"/>
      <c r="O115" s="2019"/>
      <c r="P115" s="2020"/>
      <c r="Q115" s="2021"/>
      <c r="R115" s="2022"/>
      <c r="S115" s="2022"/>
      <c r="T115" s="2022"/>
      <c r="U115" s="2022"/>
      <c r="V115" s="2022"/>
      <c r="W115" s="2022"/>
      <c r="X115" s="2022"/>
      <c r="Y115" s="2022"/>
      <c r="Z115" s="2022"/>
      <c r="AA115" s="2022"/>
      <c r="AB115" s="2022"/>
      <c r="AC115" s="2022"/>
    </row>
    <row r="116" spans="1:29" ht="15" thickTop="1">
      <c r="A116" s="709"/>
      <c r="B116" s="647" t="s">
        <v>574</v>
      </c>
      <c r="C116" s="662"/>
      <c r="D116" s="662"/>
      <c r="E116" s="692"/>
      <c r="F116" s="692"/>
      <c r="G116" s="692"/>
      <c r="H116" s="692"/>
      <c r="I116" s="692"/>
      <c r="J116" s="692"/>
      <c r="K116" s="693"/>
      <c r="L116" s="694"/>
      <c r="M116" s="695"/>
      <c r="N116" s="3194"/>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5"/>
      <c r="O117" s="2018"/>
      <c r="P117" s="2017"/>
      <c r="Q117" s="2010"/>
      <c r="R117" s="1998"/>
      <c r="S117" s="1998"/>
      <c r="T117" s="1998"/>
      <c r="U117" s="1998"/>
      <c r="V117" s="1998"/>
      <c r="W117" s="1998"/>
      <c r="X117" s="1998"/>
      <c r="Y117" s="1998"/>
      <c r="Z117" s="1998"/>
      <c r="AA117" s="1998"/>
      <c r="AB117" s="1998"/>
      <c r="AC117" s="1998"/>
    </row>
    <row r="118" spans="1:29" ht="15" thickTop="1">
      <c r="A118" s="709"/>
      <c r="B118" s="647">
        <f>B40</f>
        <v>111</v>
      </c>
      <c r="C118" s="662"/>
      <c r="D118" s="662"/>
      <c r="E118" s="662"/>
      <c r="F118" s="662"/>
      <c r="G118" s="662"/>
      <c r="H118" s="692"/>
      <c r="I118" s="692"/>
      <c r="J118" s="692"/>
      <c r="K118" s="693"/>
      <c r="L118" s="694"/>
      <c r="M118" s="695"/>
      <c r="N118" s="3194"/>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3195"/>
      <c r="O119" s="2018"/>
      <c r="P119" s="2017"/>
      <c r="Q119" s="2010"/>
      <c r="R119" s="1998"/>
      <c r="S119" s="1998"/>
      <c r="T119" s="1998"/>
      <c r="U119" s="1998"/>
      <c r="V119" s="1998"/>
      <c r="W119" s="1998"/>
      <c r="X119" s="1998"/>
      <c r="Y119" s="1998"/>
      <c r="Z119" s="1998"/>
      <c r="AA119" s="1998"/>
      <c r="AB119" s="1998"/>
      <c r="AC119" s="1998"/>
    </row>
    <row r="120" spans="1:29" ht="15" thickTop="1">
      <c r="A120" s="709"/>
      <c r="B120" s="647">
        <f>B41</f>
        <v>111</v>
      </c>
      <c r="C120" s="662"/>
      <c r="D120" s="662"/>
      <c r="E120" s="662"/>
      <c r="F120" s="662"/>
      <c r="G120" s="692"/>
      <c r="H120" s="692"/>
      <c r="I120" s="692"/>
      <c r="J120" s="692"/>
      <c r="K120" s="693"/>
      <c r="L120" s="694"/>
      <c r="M120" s="695"/>
      <c r="N120" s="3194"/>
      <c r="O120" s="2016"/>
      <c r="P120" s="2017"/>
      <c r="Q120" s="2010"/>
      <c r="R120" s="1998"/>
      <c r="S120" s="1998"/>
      <c r="T120" s="1998"/>
      <c r="U120" s="1998"/>
      <c r="V120" s="1998"/>
      <c r="W120" s="1998"/>
      <c r="X120" s="1998"/>
      <c r="Y120" s="1998"/>
      <c r="Z120" s="1998"/>
      <c r="AA120" s="1998"/>
      <c r="AB120" s="1998"/>
      <c r="AC120" s="1998"/>
    </row>
    <row r="121" spans="1:29" ht="15.75" thickBot="1">
      <c r="A121" s="643"/>
      <c r="B121" s="652"/>
      <c r="C121" s="666"/>
      <c r="D121" s="666"/>
      <c r="E121" s="666"/>
      <c r="F121" s="666"/>
      <c r="G121" s="645"/>
      <c r="H121" s="645"/>
      <c r="I121" s="645"/>
      <c r="J121" s="645"/>
      <c r="K121" s="645"/>
      <c r="L121" s="645"/>
      <c r="M121" s="646"/>
      <c r="N121" s="3195"/>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2"/>
      <c r="B122" s="647">
        <f>B42</f>
        <v>111</v>
      </c>
      <c r="C122" s="635"/>
      <c r="D122" s="635"/>
      <c r="E122" s="635"/>
      <c r="F122" s="635"/>
      <c r="G122" s="663"/>
      <c r="H122" s="663"/>
      <c r="I122" s="663"/>
      <c r="J122" s="663"/>
      <c r="K122" s="663"/>
      <c r="L122" s="664"/>
      <c r="M122" s="665"/>
      <c r="N122" s="3196"/>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2"/>
      <c r="B123" s="710"/>
      <c r="C123" s="674"/>
      <c r="D123" s="674"/>
      <c r="E123" s="674"/>
      <c r="F123" s="674"/>
      <c r="G123" s="700"/>
      <c r="H123" s="700"/>
      <c r="I123" s="700"/>
      <c r="J123" s="700"/>
      <c r="K123" s="700"/>
      <c r="L123" s="700"/>
      <c r="M123" s="701"/>
      <c r="N123" s="3196"/>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1" priority="18" stopIfTrue="1" operator="containsText" text="超过">
      <formula>NOT(ISERROR(SEARCH("超过",F48)))</formula>
    </cfRule>
  </conditionalFormatting>
  <conditionalFormatting sqref="J50">
    <cfRule type="containsText" dxfId="130" priority="17" stopIfTrue="1" operator="containsText" text="超过">
      <formula>NOT(ISERROR(SEARCH("超过",J50)))</formula>
    </cfRule>
  </conditionalFormatting>
  <conditionalFormatting sqref="H50">
    <cfRule type="containsText" dxfId="129" priority="16" stopIfTrue="1" operator="containsText" text="超过">
      <formula>NOT(ISERROR(SEARCH("超过",H50)))</formula>
    </cfRule>
  </conditionalFormatting>
  <conditionalFormatting sqref="F50">
    <cfRule type="containsText" dxfId="128" priority="15" stopIfTrue="1" operator="containsText" text="超过">
      <formula>NOT(ISERROR(SEARCH("超过",F50)))</formula>
    </cfRule>
  </conditionalFormatting>
  <conditionalFormatting sqref="F49 H49 J49">
    <cfRule type="containsText" dxfId="127" priority="14" stopIfTrue="1" operator="containsText" text="超过">
      <formula>NOT(ISERROR(SEARCH("超过",F49)))</formula>
    </cfRule>
  </conditionalFormatting>
  <conditionalFormatting sqref="E48">
    <cfRule type="expression" dxfId="126" priority="13" stopIfTrue="1">
      <formula>$F$48="超过30%"</formula>
    </cfRule>
  </conditionalFormatting>
  <conditionalFormatting sqref="G50">
    <cfRule type="expression" dxfId="125" priority="12" stopIfTrue="1">
      <formula>$H$50="超过30%"</formula>
    </cfRule>
  </conditionalFormatting>
  <conditionalFormatting sqref="E50">
    <cfRule type="expression" dxfId="124" priority="10" stopIfTrue="1">
      <formula>$F$50="超过30%"</formula>
    </cfRule>
  </conditionalFormatting>
  <conditionalFormatting sqref="G48">
    <cfRule type="expression" dxfId="123" priority="9" stopIfTrue="1">
      <formula>$H$48="超过30%"</formula>
    </cfRule>
  </conditionalFormatting>
  <conditionalFormatting sqref="G49">
    <cfRule type="expression" dxfId="122" priority="8" stopIfTrue="1">
      <formula>$H$49="超过20%"</formula>
    </cfRule>
  </conditionalFormatting>
  <conditionalFormatting sqref="I48">
    <cfRule type="expression" dxfId="121" priority="7" stopIfTrue="1">
      <formula>$J$48="超过30%"</formula>
    </cfRule>
  </conditionalFormatting>
  <conditionalFormatting sqref="I49">
    <cfRule type="expression" dxfId="120" priority="6" stopIfTrue="1">
      <formula>$J$49="超过20%"</formula>
    </cfRule>
  </conditionalFormatting>
  <conditionalFormatting sqref="I50">
    <cfRule type="expression" dxfId="119" priority="5" stopIfTrue="1">
      <formula>$J$50="超过30%"</formula>
    </cfRule>
  </conditionalFormatting>
  <conditionalFormatting sqref="E49">
    <cfRule type="expression" dxfId="118" priority="51" stopIfTrue="1">
      <formula>#REF!+$F$49="超过20%"</formula>
    </cfRule>
  </conditionalFormatting>
  <conditionalFormatting sqref="F44">
    <cfRule type="expression" dxfId="117" priority="4">
      <formula>$D$44="简单平均"</formula>
    </cfRule>
  </conditionalFormatting>
  <conditionalFormatting sqref="H44">
    <cfRule type="expression" dxfId="116" priority="3">
      <formula>$D$44="简单平均"</formula>
    </cfRule>
  </conditionalFormatting>
  <conditionalFormatting sqref="J44">
    <cfRule type="expression" dxfId="115" priority="2">
      <formula>$D$44="简单平均"</formula>
    </cfRule>
  </conditionalFormatting>
  <conditionalFormatting sqref="F9:F42 H9:H42 J9:J42">
    <cfRule type="cellIs" dxfId="114"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E13" sqref="E13"/>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375" style="2038" customWidth="1"/>
    <col min="7" max="7" width="31.875" style="2038" customWidth="1"/>
    <col min="8" max="25" width="9" style="2040" customWidth="1"/>
    <col min="26" max="254" width="9" style="2038" customWidth="1"/>
    <col min="255" max="16384" width="8.375" style="2038"/>
  </cols>
  <sheetData>
    <row r="1" spans="1:25" s="1914" customFormat="1" ht="20.25">
      <c r="A1" s="415" t="s">
        <v>581</v>
      </c>
      <c r="B1" s="716"/>
      <c r="C1" s="2034"/>
      <c r="D1" s="2034"/>
      <c r="E1" s="2034"/>
      <c r="F1" s="2034"/>
      <c r="G1" s="1962"/>
    </row>
    <row r="2" spans="1:25" s="1914" customFormat="1" ht="18" customHeight="1">
      <c r="A2" s="417" t="s">
        <v>461</v>
      </c>
      <c r="B2" s="419">
        <f ca="1">C23</f>
        <v>10125</v>
      </c>
      <c r="C2" s="3233"/>
      <c r="D2" s="3233"/>
      <c r="E2" s="3233"/>
      <c r="F2" s="3233"/>
      <c r="G2" s="3233"/>
    </row>
    <row r="3" spans="1:25" s="1914" customFormat="1" ht="18" customHeight="1">
      <c r="A3" s="1305" t="s">
        <v>1660</v>
      </c>
      <c r="B3" s="419">
        <f ca="1">ROUND(B2*10000/'数据-汇总表'!E3,0)</f>
        <v>5506</v>
      </c>
      <c r="C3" s="3233"/>
      <c r="D3" s="3233"/>
      <c r="E3" s="3233"/>
      <c r="F3" s="3233"/>
      <c r="G3" s="3233"/>
    </row>
    <row r="4" spans="1:25" s="1914" customFormat="1" ht="18" customHeight="1">
      <c r="A4" s="420" t="s">
        <v>462</v>
      </c>
      <c r="B4" s="421">
        <f ca="1">ROUND(B2*10000/'数据-汇总表'!D3,0)</f>
        <v>5506</v>
      </c>
      <c r="C4" s="3186"/>
      <c r="D4" s="3233"/>
      <c r="E4" s="3233"/>
      <c r="F4" s="3233"/>
      <c r="G4" s="3233"/>
    </row>
    <row r="5" spans="1:25" s="1914" customFormat="1" ht="18" customHeight="1" thickBot="1">
      <c r="A5" s="423"/>
      <c r="B5" s="424">
        <f ca="1">ROUND(B2/('数据-汇总表'!D3/666.67),0)</f>
        <v>367</v>
      </c>
      <c r="C5" s="425" t="s">
        <v>463</v>
      </c>
      <c r="D5" s="3233"/>
      <c r="E5" s="3233"/>
      <c r="F5" s="3233"/>
      <c r="G5" s="3233"/>
    </row>
    <row r="6" spans="1:25" s="2035" customFormat="1" ht="13.5" customHeight="1">
      <c r="A6" s="717"/>
      <c r="B6" s="718" t="s">
        <v>582</v>
      </c>
      <c r="C6" s="719" t="s">
        <v>583</v>
      </c>
      <c r="D6" s="719" t="s">
        <v>584</v>
      </c>
      <c r="E6" s="720" t="s">
        <v>585</v>
      </c>
      <c r="F6" s="720" t="s">
        <v>586</v>
      </c>
      <c r="G6" s="3232" t="s">
        <v>2963</v>
      </c>
    </row>
    <row r="7" spans="1:25" s="2035" customFormat="1" ht="13.5" customHeight="1">
      <c r="A7" s="2294">
        <v>1</v>
      </c>
      <c r="B7" s="721" t="s">
        <v>587</v>
      </c>
      <c r="C7" s="722">
        <f>C8+C9</f>
        <v>8422</v>
      </c>
      <c r="D7" s="722"/>
      <c r="E7" s="723"/>
      <c r="F7" s="723"/>
      <c r="G7" s="2303"/>
    </row>
    <row r="8" spans="1:25" s="2035" customFormat="1" ht="13.5" customHeight="1">
      <c r="A8" s="2294" t="s">
        <v>2395</v>
      </c>
      <c r="B8" s="2297" t="s">
        <v>2397</v>
      </c>
      <c r="C8" s="3236">
        <f t="shared" ref="C8:C9" si="0">ROUND(D8*E8/10000,0)</f>
        <v>8422</v>
      </c>
      <c r="D8" s="3236">
        <f>'数据-取费表'!R6</f>
        <v>18388.8</v>
      </c>
      <c r="E8" s="3237">
        <f>成本案例比较法!M27</f>
        <v>4580</v>
      </c>
      <c r="F8" s="723"/>
      <c r="G8" s="724"/>
    </row>
    <row r="9" spans="1:25" s="2035" customFormat="1" ht="13.5" customHeight="1">
      <c r="A9" s="2294" t="s">
        <v>2396</v>
      </c>
      <c r="B9" s="2297" t="s">
        <v>2398</v>
      </c>
      <c r="C9" s="3236">
        <f t="shared" si="0"/>
        <v>0</v>
      </c>
      <c r="D9" s="3236">
        <v>0</v>
      </c>
      <c r="E9" s="3237">
        <v>0</v>
      </c>
      <c r="F9" s="723"/>
      <c r="G9" s="724"/>
    </row>
    <row r="10" spans="1:25" s="2035" customFormat="1" ht="36">
      <c r="A10" s="2294">
        <v>2</v>
      </c>
      <c r="B10" s="721" t="s">
        <v>591</v>
      </c>
      <c r="C10" s="722">
        <f>C11+C14+C15</f>
        <v>285</v>
      </c>
      <c r="D10" s="732"/>
      <c r="E10" s="722"/>
      <c r="F10" s="733"/>
      <c r="G10" s="731" t="s">
        <v>592</v>
      </c>
    </row>
    <row r="11" spans="1:25" s="2035" customFormat="1" ht="13.5" customHeight="1">
      <c r="A11" s="2294" t="s">
        <v>2395</v>
      </c>
      <c r="B11" s="725" t="s">
        <v>588</v>
      </c>
      <c r="C11" s="726">
        <f>'数据-取费表'!B29</f>
        <v>285</v>
      </c>
      <c r="D11" s="727"/>
      <c r="E11" s="726"/>
      <c r="F11" s="728"/>
      <c r="G11" s="2302" t="s">
        <v>2406</v>
      </c>
    </row>
    <row r="12" spans="1:25" s="2035" customFormat="1" ht="13.5" customHeight="1">
      <c r="A12" s="2300" t="s">
        <v>2403</v>
      </c>
      <c r="B12" s="729" t="s">
        <v>589</v>
      </c>
      <c r="C12" s="730">
        <f>ROUND(D12*E12/10000,0)</f>
        <v>0</v>
      </c>
      <c r="D12" s="3236">
        <f>'数据-汇总表'!E5</f>
        <v>0</v>
      </c>
      <c r="E12" s="3236">
        <f>'数据-取费表'!B27</f>
        <v>0</v>
      </c>
      <c r="F12" s="728"/>
      <c r="G12" s="731"/>
    </row>
    <row r="13" spans="1:25" s="2035" customFormat="1" ht="13.5" customHeight="1">
      <c r="A13" s="2300" t="s">
        <v>2402</v>
      </c>
      <c r="B13" s="729" t="s">
        <v>590</v>
      </c>
      <c r="C13" s="730">
        <f>ROUND(D13*E13/10000,0)</f>
        <v>285</v>
      </c>
      <c r="D13" s="3236">
        <f>'数据-汇总表'!E6</f>
        <v>18388.8</v>
      </c>
      <c r="E13" s="3236">
        <f>'数据-取费表'!B28</f>
        <v>155</v>
      </c>
      <c r="F13" s="728"/>
      <c r="G13" s="731"/>
    </row>
    <row r="14" spans="1:25" s="2035" customFormat="1" ht="13.5" customHeight="1">
      <c r="A14" s="2294" t="s">
        <v>2396</v>
      </c>
      <c r="B14" s="2299" t="s">
        <v>2399</v>
      </c>
      <c r="C14" s="3238">
        <f t="shared" ref="C14:C15" si="1">ROUND(D14*E14/10000,0)</f>
        <v>0</v>
      </c>
      <c r="D14" s="3236">
        <v>0</v>
      </c>
      <c r="E14" s="3237">
        <v>0</v>
      </c>
      <c r="F14" s="2298"/>
      <c r="G14" s="2301" t="s">
        <v>2404</v>
      </c>
    </row>
    <row r="15" spans="1:25" s="2035" customFormat="1" ht="13.5" customHeight="1">
      <c r="A15" s="2294" t="s">
        <v>2401</v>
      </c>
      <c r="B15" s="2299" t="s">
        <v>2400</v>
      </c>
      <c r="C15" s="3238">
        <f t="shared" si="1"/>
        <v>0</v>
      </c>
      <c r="D15" s="3236">
        <v>0</v>
      </c>
      <c r="E15" s="3237">
        <v>0</v>
      </c>
      <c r="F15" s="2298"/>
      <c r="G15" s="2301" t="s">
        <v>2405</v>
      </c>
    </row>
    <row r="16" spans="1:25" s="2036" customFormat="1" ht="48">
      <c r="A16" s="2294">
        <v>3</v>
      </c>
      <c r="B16" s="721" t="s">
        <v>593</v>
      </c>
      <c r="C16" s="3238">
        <f t="shared" ref="C16" si="2">ROUND(D16*E16/10000,0)</f>
        <v>0</v>
      </c>
      <c r="D16" s="3236">
        <v>0</v>
      </c>
      <c r="E16" s="3237">
        <v>0</v>
      </c>
      <c r="F16" s="733"/>
      <c r="G16" s="731" t="s">
        <v>2407</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1" t="s">
        <v>594</v>
      </c>
      <c r="C17" s="2393">
        <f ca="1">ROUND(IF('数据-取费表'!B19&lt;=1,((C7+C16)*'数据-取费表'!B19+C10*'数据-取费表'!B19/2)*F17,((C7+C16)*(POWER((1+F17),'数据-取费表'!B19)-1)+C10*(POWER((1+F17),'数据-取费表'!B19/2)-1))),0)</f>
        <v>373</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1045</v>
      </c>
      <c r="D18" s="734"/>
      <c r="E18" s="735"/>
      <c r="F18" s="3857">
        <v>0.12</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10125</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1" t="s">
        <v>599</v>
      </c>
      <c r="C20" s="722">
        <f ca="1">ROUND(C19*F20,0)</f>
        <v>0</v>
      </c>
      <c r="D20" s="732"/>
      <c r="E20" s="722"/>
      <c r="F20" s="1276">
        <v>0</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1" t="s">
        <v>601</v>
      </c>
      <c r="C21" s="722">
        <f ca="1">C19+C20</f>
        <v>10125</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f ca="1">ROUND(C21*F22,0)</f>
        <v>10125</v>
      </c>
      <c r="D22" s="732"/>
      <c r="E22" s="722"/>
      <c r="F22" s="738">
        <v>1</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605</v>
      </c>
      <c r="C23" s="740">
        <f ca="1">C22</f>
        <v>10125</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35" customFormat="1">
      <c r="A24" s="3234"/>
      <c r="D24" s="1856"/>
      <c r="E24" s="1856"/>
    </row>
    <row r="25" spans="1:25" s="3235" customFormat="1">
      <c r="A25" s="3234"/>
      <c r="D25" s="1856"/>
      <c r="E25" s="1856"/>
    </row>
    <row r="26" spans="1:25" s="3235" customFormat="1">
      <c r="A26" s="3234"/>
      <c r="D26" s="1856"/>
      <c r="E26" s="1856"/>
    </row>
    <row r="27" spans="1:25" s="3235" customFormat="1">
      <c r="A27" s="3234"/>
      <c r="D27" s="1856"/>
      <c r="E27" s="1856"/>
    </row>
    <row r="28" spans="1:25" s="3235" customFormat="1">
      <c r="A28" s="3234"/>
      <c r="D28" s="1856"/>
      <c r="E28" s="1856"/>
    </row>
    <row r="29" spans="1:25" s="3235" customFormat="1">
      <c r="A29" s="3234"/>
      <c r="D29" s="1856"/>
      <c r="E29" s="1856"/>
    </row>
    <row r="30" spans="1:25" s="3235" customFormat="1">
      <c r="A30" s="3234"/>
      <c r="D30" s="1856"/>
      <c r="E30" s="1856"/>
    </row>
    <row r="31" spans="1:25" s="3235" customFormat="1">
      <c r="A31" s="3234"/>
      <c r="D31" s="1856"/>
      <c r="E31" s="1856"/>
    </row>
    <row r="32" spans="1:25" s="3235" customFormat="1">
      <c r="A32" s="3234"/>
      <c r="D32" s="1856"/>
      <c r="E32" s="1856"/>
    </row>
    <row r="33" spans="1:5" s="3235" customFormat="1">
      <c r="A33" s="3234"/>
      <c r="D33" s="1856"/>
      <c r="E33" s="1856"/>
    </row>
    <row r="34" spans="1:5" s="3235" customFormat="1">
      <c r="A34" s="3234"/>
      <c r="D34" s="1856"/>
      <c r="E34" s="1856"/>
    </row>
    <row r="35" spans="1:5" s="3235" customFormat="1">
      <c r="A35" s="3234"/>
      <c r="D35" s="1856"/>
      <c r="E35" s="1856"/>
    </row>
    <row r="36" spans="1:5" s="3235" customFormat="1">
      <c r="A36" s="3234"/>
      <c r="D36" s="1856"/>
      <c r="E36" s="1856"/>
    </row>
    <row r="37" spans="1:5" s="3235" customFormat="1">
      <c r="A37" s="3234"/>
      <c r="D37" s="1856"/>
      <c r="E37" s="1856"/>
    </row>
    <row r="38" spans="1:5" s="3235" customFormat="1">
      <c r="A38" s="3234"/>
      <c r="D38" s="1856"/>
      <c r="E38" s="1856"/>
    </row>
    <row r="39" spans="1:5" s="3235" customFormat="1">
      <c r="A39" s="3234"/>
      <c r="D39" s="1856"/>
      <c r="E39" s="1856"/>
    </row>
    <row r="40" spans="1:5" s="3235" customFormat="1">
      <c r="A40" s="3234"/>
      <c r="D40" s="1856"/>
      <c r="E40" s="1856"/>
    </row>
    <row r="41" spans="1:5" s="3235" customFormat="1">
      <c r="A41" s="3234"/>
      <c r="D41" s="1856"/>
      <c r="E41" s="1856"/>
    </row>
    <row r="42" spans="1:5" s="3235" customFormat="1">
      <c r="A42" s="3234"/>
      <c r="D42" s="1856"/>
      <c r="E42" s="1856"/>
    </row>
    <row r="43" spans="1:5" s="3235" customFormat="1">
      <c r="A43" s="3234"/>
      <c r="D43" s="1856"/>
      <c r="E43" s="1856"/>
    </row>
    <row r="44" spans="1:5" s="3235" customFormat="1">
      <c r="A44" s="3234"/>
      <c r="D44" s="1856"/>
      <c r="E44" s="1856"/>
    </row>
    <row r="45" spans="1:5" s="3235" customFormat="1">
      <c r="A45" s="3234"/>
      <c r="D45" s="1856"/>
      <c r="E45" s="1856"/>
    </row>
    <row r="46" spans="1:5" s="3235" customFormat="1">
      <c r="A46" s="3234"/>
      <c r="D46" s="1856"/>
      <c r="E46" s="1856"/>
    </row>
    <row r="47" spans="1:5" s="3235" customFormat="1">
      <c r="A47" s="3234"/>
      <c r="D47" s="1856"/>
      <c r="E47" s="1856"/>
    </row>
    <row r="48" spans="1:5" s="3235" customFormat="1">
      <c r="A48" s="3234"/>
      <c r="D48" s="1856"/>
      <c r="E48" s="1856"/>
    </row>
    <row r="49" spans="1:5" s="3235" customFormat="1">
      <c r="A49" s="3234"/>
      <c r="D49" s="1856"/>
      <c r="E49" s="1856"/>
    </row>
    <row r="50" spans="1:5" s="3235" customFormat="1">
      <c r="A50" s="3234"/>
      <c r="D50" s="1856"/>
      <c r="E50" s="1856"/>
    </row>
    <row r="51" spans="1:5" s="3235" customFormat="1">
      <c r="A51" s="3234"/>
      <c r="D51" s="1856"/>
      <c r="E51" s="1856"/>
    </row>
    <row r="52" spans="1:5" s="3235" customFormat="1">
      <c r="A52" s="3234"/>
      <c r="D52" s="1856"/>
      <c r="E52" s="1856"/>
    </row>
    <row r="53" spans="1:5" s="3235" customFormat="1">
      <c r="A53" s="3234"/>
      <c r="D53" s="1856"/>
      <c r="E53" s="1856"/>
    </row>
    <row r="54" spans="1:5" s="3235" customFormat="1">
      <c r="A54" s="3234"/>
      <c r="D54" s="1856"/>
      <c r="E54" s="1856"/>
    </row>
    <row r="55" spans="1:5" s="3235" customFormat="1">
      <c r="A55" s="3234"/>
      <c r="D55" s="1856"/>
      <c r="E55" s="1856"/>
    </row>
    <row r="56" spans="1:5" s="3235" customFormat="1">
      <c r="A56" s="3234"/>
      <c r="D56" s="1856"/>
      <c r="E56" s="1856"/>
    </row>
    <row r="57" spans="1:5" s="3235" customFormat="1">
      <c r="A57" s="3234"/>
      <c r="D57" s="1856"/>
      <c r="E57" s="1856"/>
    </row>
    <row r="58" spans="1:5" s="3235" customFormat="1">
      <c r="A58" s="3234"/>
      <c r="D58" s="1856"/>
      <c r="E58" s="1856"/>
    </row>
    <row r="59" spans="1:5" s="3235" customFormat="1">
      <c r="A59" s="3234"/>
      <c r="D59" s="1856"/>
      <c r="E59" s="1856"/>
    </row>
    <row r="60" spans="1:5" s="3235" customFormat="1">
      <c r="A60" s="3234"/>
      <c r="D60" s="1856"/>
      <c r="E60" s="1856"/>
    </row>
    <row r="61" spans="1:5" s="3235" customFormat="1">
      <c r="A61" s="3234"/>
      <c r="D61" s="1856"/>
      <c r="E61" s="1856"/>
    </row>
    <row r="62" spans="1:5" s="3235" customFormat="1">
      <c r="A62" s="3234"/>
      <c r="D62" s="1856"/>
      <c r="E62" s="1856"/>
    </row>
    <row r="63" spans="1:5" s="3235" customFormat="1">
      <c r="A63" s="3234"/>
      <c r="D63" s="1856"/>
      <c r="E63" s="1856"/>
    </row>
  </sheetData>
  <sheetProtection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EFB7D-8A17-443B-956A-3872704D03EC}">
  <sheetPr>
    <tabColor rgb="FF92D050"/>
  </sheetPr>
  <dimension ref="A1:N7"/>
  <sheetViews>
    <sheetView workbookViewId="0">
      <selection activeCell="H2" sqref="H2:H3"/>
    </sheetView>
  </sheetViews>
  <sheetFormatPr defaultRowHeight="13.5"/>
  <cols>
    <col min="2" max="2" width="6.5" customWidth="1"/>
    <col min="3" max="3" width="5.5" customWidth="1"/>
    <col min="4" max="4" width="5.875" customWidth="1"/>
    <col min="7" max="7" width="25.75" customWidth="1"/>
    <col min="9" max="9" width="9.75" customWidth="1"/>
    <col min="13" max="13" width="11.875" customWidth="1"/>
    <col min="14" max="14" width="10" bestFit="1" customWidth="1"/>
  </cols>
  <sheetData>
    <row r="1" spans="1:14" s="2624" customFormat="1">
      <c r="B1" s="3448"/>
      <c r="C1" s="3825" t="s">
        <v>3149</v>
      </c>
      <c r="D1" s="3825"/>
      <c r="E1" s="3825"/>
      <c r="F1" s="3825"/>
      <c r="G1" s="3825"/>
      <c r="H1" s="3825"/>
      <c r="I1" s="3825"/>
      <c r="J1" s="3825"/>
      <c r="K1" s="3825"/>
      <c r="L1" s="3825"/>
    </row>
    <row r="2" spans="1:14" s="2624" customFormat="1">
      <c r="A2" s="3822" t="s">
        <v>3150</v>
      </c>
      <c r="B2" s="3822" t="s">
        <v>3151</v>
      </c>
      <c r="C2" s="3826" t="s">
        <v>3152</v>
      </c>
      <c r="D2" s="3822" t="s">
        <v>3153</v>
      </c>
      <c r="E2" s="3822" t="s">
        <v>3154</v>
      </c>
      <c r="F2" s="3824" t="s">
        <v>3155</v>
      </c>
      <c r="G2" s="3822" t="s">
        <v>3156</v>
      </c>
      <c r="H2" s="3822" t="s">
        <v>3157</v>
      </c>
      <c r="I2" s="3822" t="s">
        <v>3158</v>
      </c>
      <c r="J2" s="3823" t="s">
        <v>3159</v>
      </c>
      <c r="K2" s="3823"/>
      <c r="L2" s="3824" t="s">
        <v>3160</v>
      </c>
      <c r="M2" s="3820" t="s">
        <v>3161</v>
      </c>
      <c r="N2" s="3821"/>
    </row>
    <row r="3" spans="1:14" s="2624" customFormat="1" ht="40.5">
      <c r="A3" s="3822"/>
      <c r="B3" s="3822"/>
      <c r="C3" s="3826"/>
      <c r="D3" s="3822"/>
      <c r="E3" s="3822"/>
      <c r="F3" s="3824"/>
      <c r="G3" s="3822"/>
      <c r="H3" s="3822"/>
      <c r="I3" s="3822"/>
      <c r="J3" s="3449" t="s">
        <v>3162</v>
      </c>
      <c r="K3" s="3449" t="s">
        <v>3163</v>
      </c>
      <c r="L3" s="3824"/>
      <c r="M3" s="3450" t="s">
        <v>3252</v>
      </c>
      <c r="N3" s="3450" t="s">
        <v>3253</v>
      </c>
    </row>
    <row r="4" spans="1:14" s="2624" customFormat="1" ht="62.45" customHeight="1">
      <c r="A4" s="3451">
        <v>375</v>
      </c>
      <c r="B4" s="3452">
        <v>2019</v>
      </c>
      <c r="C4" s="3453">
        <v>5</v>
      </c>
      <c r="D4" s="3454">
        <v>3</v>
      </c>
      <c r="E4" s="3455" t="s">
        <v>3164</v>
      </c>
      <c r="F4" s="3455" t="s">
        <v>3165</v>
      </c>
      <c r="G4" s="3455" t="s">
        <v>3166</v>
      </c>
      <c r="H4" s="3455" t="s">
        <v>3167</v>
      </c>
      <c r="I4" s="3455" t="s">
        <v>3254</v>
      </c>
      <c r="J4" s="3455">
        <v>33.1</v>
      </c>
      <c r="K4" s="3455">
        <v>19.48</v>
      </c>
      <c r="L4" s="3455">
        <v>26.22</v>
      </c>
      <c r="M4" s="3455">
        <v>298401.45999999996</v>
      </c>
      <c r="N4" s="3455">
        <v>9015</v>
      </c>
    </row>
    <row r="5" spans="1:14" s="2624" customFormat="1" ht="55.7" customHeight="1">
      <c r="A5" s="3451">
        <v>411</v>
      </c>
      <c r="B5" s="3456">
        <v>2020</v>
      </c>
      <c r="C5" s="3457">
        <v>5</v>
      </c>
      <c r="D5" s="3456">
        <v>7</v>
      </c>
      <c r="E5" s="3458" t="s">
        <v>3168</v>
      </c>
      <c r="F5" s="3458" t="s">
        <v>3165</v>
      </c>
      <c r="G5" s="3458" t="s">
        <v>3169</v>
      </c>
      <c r="H5" s="3458" t="s">
        <v>3170</v>
      </c>
      <c r="I5" s="3459" t="s">
        <v>3255</v>
      </c>
      <c r="J5" s="3460">
        <v>54.78</v>
      </c>
      <c r="K5" s="3455">
        <v>54.78</v>
      </c>
      <c r="L5" s="3455">
        <v>37.621033672670301</v>
      </c>
      <c r="M5" s="2624">
        <v>168936.49</v>
      </c>
      <c r="N5" s="3455">
        <v>3084</v>
      </c>
    </row>
    <row r="6" spans="1:14" s="2624" customFormat="1" ht="81">
      <c r="A6" s="3451">
        <v>412</v>
      </c>
      <c r="B6" s="3456">
        <v>2020</v>
      </c>
      <c r="C6" s="3457">
        <v>5</v>
      </c>
      <c r="D6" s="3456">
        <v>8</v>
      </c>
      <c r="E6" s="3458" t="s">
        <v>3164</v>
      </c>
      <c r="F6" s="3458" t="s">
        <v>3165</v>
      </c>
      <c r="G6" s="3458" t="s">
        <v>3171</v>
      </c>
      <c r="H6" s="3458" t="s">
        <v>3172</v>
      </c>
      <c r="I6" s="3459" t="s">
        <v>3256</v>
      </c>
      <c r="J6" s="3461">
        <v>9.07</v>
      </c>
      <c r="K6" s="3461">
        <v>9.07</v>
      </c>
      <c r="L6" s="3455">
        <v>6.2289663273296796</v>
      </c>
      <c r="M6" s="2624">
        <v>36619.72</v>
      </c>
      <c r="N6" s="3455">
        <v>4037</v>
      </c>
    </row>
    <row r="7" spans="1:14" s="2624" customFormat="1" ht="54">
      <c r="A7" s="3451">
        <v>445</v>
      </c>
      <c r="B7" s="3456">
        <v>2021</v>
      </c>
      <c r="C7" s="3462">
        <v>5</v>
      </c>
      <c r="D7" s="3456">
        <v>5</v>
      </c>
      <c r="E7" s="3463" t="s">
        <v>3168</v>
      </c>
      <c r="F7" s="3463" t="s">
        <v>3165</v>
      </c>
      <c r="G7" s="3464" t="s">
        <v>3173</v>
      </c>
      <c r="H7" s="3456" t="s">
        <v>3174</v>
      </c>
      <c r="I7" s="3464" t="s">
        <v>3257</v>
      </c>
      <c r="J7" s="3465">
        <v>4.07</v>
      </c>
      <c r="K7" s="3465">
        <v>4.07</v>
      </c>
      <c r="L7" s="3465">
        <v>7.54</v>
      </c>
      <c r="M7" s="2624">
        <v>51899.03</v>
      </c>
      <c r="N7" s="3455">
        <v>12752</v>
      </c>
    </row>
  </sheetData>
  <mergeCells count="13">
    <mergeCell ref="C1:L1"/>
    <mergeCell ref="A2:A3"/>
    <mergeCell ref="B2:B3"/>
    <mergeCell ref="C2:C3"/>
    <mergeCell ref="D2:D3"/>
    <mergeCell ref="E2:E3"/>
    <mergeCell ref="F2:F3"/>
    <mergeCell ref="G2:G3"/>
    <mergeCell ref="M2:N2"/>
    <mergeCell ref="H2:H3"/>
    <mergeCell ref="I2:I3"/>
    <mergeCell ref="J2:K2"/>
    <mergeCell ref="L2:L3"/>
  </mergeCells>
  <phoneticPr fontId="225" type="noConversion"/>
  <dataValidations count="1">
    <dataValidation type="list" allowBlank="1" showInputMessage="1" showErrorMessage="1" sqref="F4:F7" xr:uid="{F3BA1940-06C3-4AD6-ADE8-25085813AF28}">
      <formula1>"公开出让,协议出让,划拨"</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EE3B5-CE1C-467D-98F9-3CAE61C07A35}">
  <sheetPr>
    <tabColor rgb="FF92D050"/>
  </sheetPr>
  <dimension ref="A1:V39"/>
  <sheetViews>
    <sheetView topLeftCell="A7" workbookViewId="0">
      <selection activeCell="F34" sqref="F34"/>
    </sheetView>
  </sheetViews>
  <sheetFormatPr defaultColWidth="8.875" defaultRowHeight="13.5"/>
  <cols>
    <col min="1" max="2" width="9" bestFit="1" customWidth="1"/>
    <col min="3" max="3" width="15.375" customWidth="1"/>
    <col min="4" max="4" width="9" bestFit="1" customWidth="1"/>
    <col min="5" max="5" width="10.75" customWidth="1"/>
    <col min="6" max="6" width="9" bestFit="1" customWidth="1"/>
    <col min="7" max="7" width="11.25" customWidth="1"/>
    <col min="8" max="8" width="9" bestFit="1" customWidth="1"/>
    <col min="9" max="9" width="12" hidden="1" customWidth="1"/>
    <col min="10" max="10" width="9" hidden="1" customWidth="1"/>
    <col min="11" max="11" width="11.25" hidden="1" customWidth="1"/>
    <col min="12" max="12" width="9" hidden="1" customWidth="1"/>
    <col min="13" max="13" width="12" customWidth="1"/>
    <col min="14" max="17" width="9" bestFit="1" customWidth="1"/>
    <col min="18" max="18" width="13.125" customWidth="1"/>
    <col min="19" max="20" width="9" bestFit="1" customWidth="1"/>
    <col min="21" max="21" width="12" customWidth="1"/>
    <col min="22" max="32" width="9" bestFit="1" customWidth="1"/>
    <col min="257" max="258" width="9" bestFit="1" customWidth="1"/>
    <col min="259" max="259" width="15.375" customWidth="1"/>
    <col min="260" max="260" width="9" bestFit="1" customWidth="1"/>
    <col min="261" max="261" width="10.75" customWidth="1"/>
    <col min="262" max="262" width="9" bestFit="1" customWidth="1"/>
    <col min="263" max="263" width="11.25" customWidth="1"/>
    <col min="264" max="264" width="9" bestFit="1" customWidth="1"/>
    <col min="265" max="265" width="12" customWidth="1"/>
    <col min="266" max="266" width="9" bestFit="1" customWidth="1"/>
    <col min="267" max="267" width="11.25" customWidth="1"/>
    <col min="268" max="268" width="9" bestFit="1" customWidth="1"/>
    <col min="269" max="269" width="12" customWidth="1"/>
    <col min="270" max="273" width="9" bestFit="1" customWidth="1"/>
    <col min="274" max="274" width="13.125" customWidth="1"/>
    <col min="275" max="276" width="9" bestFit="1" customWidth="1"/>
    <col min="277" max="277" width="9.625" customWidth="1"/>
    <col min="278" max="288" width="9" bestFit="1" customWidth="1"/>
    <col min="513" max="514" width="9" bestFit="1" customWidth="1"/>
    <col min="515" max="515" width="15.375" customWidth="1"/>
    <col min="516" max="516" width="9" bestFit="1" customWidth="1"/>
    <col min="517" max="517" width="10.75" customWidth="1"/>
    <col min="518" max="518" width="9" bestFit="1" customWidth="1"/>
    <col min="519" max="519" width="11.25" customWidth="1"/>
    <col min="520" max="520" width="9" bestFit="1" customWidth="1"/>
    <col min="521" max="521" width="12" customWidth="1"/>
    <col min="522" max="522" width="9" bestFit="1" customWidth="1"/>
    <col min="523" max="523" width="11.25" customWidth="1"/>
    <col min="524" max="524" width="9" bestFit="1" customWidth="1"/>
    <col min="525" max="525" width="12" customWidth="1"/>
    <col min="526" max="529" width="9" bestFit="1" customWidth="1"/>
    <col min="530" max="530" width="13.125" customWidth="1"/>
    <col min="531" max="532" width="9" bestFit="1" customWidth="1"/>
    <col min="533" max="533" width="9.625" customWidth="1"/>
    <col min="534" max="544" width="9" bestFit="1" customWidth="1"/>
    <col min="769" max="770" width="9" bestFit="1" customWidth="1"/>
    <col min="771" max="771" width="15.375" customWidth="1"/>
    <col min="772" max="772" width="9" bestFit="1" customWidth="1"/>
    <col min="773" max="773" width="10.75" customWidth="1"/>
    <col min="774" max="774" width="9" bestFit="1" customWidth="1"/>
    <col min="775" max="775" width="11.25" customWidth="1"/>
    <col min="776" max="776" width="9" bestFit="1" customWidth="1"/>
    <col min="777" max="777" width="12" customWidth="1"/>
    <col min="778" max="778" width="9" bestFit="1" customWidth="1"/>
    <col min="779" max="779" width="11.25" customWidth="1"/>
    <col min="780" max="780" width="9" bestFit="1" customWidth="1"/>
    <col min="781" max="781" width="12" customWidth="1"/>
    <col min="782" max="785" width="9" bestFit="1" customWidth="1"/>
    <col min="786" max="786" width="13.125" customWidth="1"/>
    <col min="787" max="788" width="9" bestFit="1" customWidth="1"/>
    <col min="789" max="789" width="9.625" customWidth="1"/>
    <col min="790" max="800" width="9" bestFit="1" customWidth="1"/>
    <col min="1025" max="1026" width="9" bestFit="1" customWidth="1"/>
    <col min="1027" max="1027" width="15.375" customWidth="1"/>
    <col min="1028" max="1028" width="9" bestFit="1" customWidth="1"/>
    <col min="1029" max="1029" width="10.75" customWidth="1"/>
    <col min="1030" max="1030" width="9" bestFit="1" customWidth="1"/>
    <col min="1031" max="1031" width="11.25" customWidth="1"/>
    <col min="1032" max="1032" width="9" bestFit="1" customWidth="1"/>
    <col min="1033" max="1033" width="12" customWidth="1"/>
    <col min="1034" max="1034" width="9" bestFit="1" customWidth="1"/>
    <col min="1035" max="1035" width="11.25" customWidth="1"/>
    <col min="1036" max="1036" width="9" bestFit="1" customWidth="1"/>
    <col min="1037" max="1037" width="12" customWidth="1"/>
    <col min="1038" max="1041" width="9" bestFit="1" customWidth="1"/>
    <col min="1042" max="1042" width="13.125" customWidth="1"/>
    <col min="1043" max="1044" width="9" bestFit="1" customWidth="1"/>
    <col min="1045" max="1045" width="9.625" customWidth="1"/>
    <col min="1046" max="1056" width="9" bestFit="1" customWidth="1"/>
    <col min="1281" max="1282" width="9" bestFit="1" customWidth="1"/>
    <col min="1283" max="1283" width="15.375" customWidth="1"/>
    <col min="1284" max="1284" width="9" bestFit="1" customWidth="1"/>
    <col min="1285" max="1285" width="10.75" customWidth="1"/>
    <col min="1286" max="1286" width="9" bestFit="1" customWidth="1"/>
    <col min="1287" max="1287" width="11.25" customWidth="1"/>
    <col min="1288" max="1288" width="9" bestFit="1" customWidth="1"/>
    <col min="1289" max="1289" width="12" customWidth="1"/>
    <col min="1290" max="1290" width="9" bestFit="1" customWidth="1"/>
    <col min="1291" max="1291" width="11.25" customWidth="1"/>
    <col min="1292" max="1292" width="9" bestFit="1" customWidth="1"/>
    <col min="1293" max="1293" width="12" customWidth="1"/>
    <col min="1294" max="1297" width="9" bestFit="1" customWidth="1"/>
    <col min="1298" max="1298" width="13.125" customWidth="1"/>
    <col min="1299" max="1300" width="9" bestFit="1" customWidth="1"/>
    <col min="1301" max="1301" width="9.625" customWidth="1"/>
    <col min="1302" max="1312" width="9" bestFit="1" customWidth="1"/>
    <col min="1537" max="1538" width="9" bestFit="1" customWidth="1"/>
    <col min="1539" max="1539" width="15.375" customWidth="1"/>
    <col min="1540" max="1540" width="9" bestFit="1" customWidth="1"/>
    <col min="1541" max="1541" width="10.75" customWidth="1"/>
    <col min="1542" max="1542" width="9" bestFit="1" customWidth="1"/>
    <col min="1543" max="1543" width="11.25" customWidth="1"/>
    <col min="1544" max="1544" width="9" bestFit="1" customWidth="1"/>
    <col min="1545" max="1545" width="12" customWidth="1"/>
    <col min="1546" max="1546" width="9" bestFit="1" customWidth="1"/>
    <col min="1547" max="1547" width="11.25" customWidth="1"/>
    <col min="1548" max="1548" width="9" bestFit="1" customWidth="1"/>
    <col min="1549" max="1549" width="12" customWidth="1"/>
    <col min="1550" max="1553" width="9" bestFit="1" customWidth="1"/>
    <col min="1554" max="1554" width="13.125" customWidth="1"/>
    <col min="1555" max="1556" width="9" bestFit="1" customWidth="1"/>
    <col min="1557" max="1557" width="9.625" customWidth="1"/>
    <col min="1558" max="1568" width="9" bestFit="1" customWidth="1"/>
    <col min="1793" max="1794" width="9" bestFit="1" customWidth="1"/>
    <col min="1795" max="1795" width="15.375" customWidth="1"/>
    <col min="1796" max="1796" width="9" bestFit="1" customWidth="1"/>
    <col min="1797" max="1797" width="10.75" customWidth="1"/>
    <col min="1798" max="1798" width="9" bestFit="1" customWidth="1"/>
    <col min="1799" max="1799" width="11.25" customWidth="1"/>
    <col min="1800" max="1800" width="9" bestFit="1" customWidth="1"/>
    <col min="1801" max="1801" width="12" customWidth="1"/>
    <col min="1802" max="1802" width="9" bestFit="1" customWidth="1"/>
    <col min="1803" max="1803" width="11.25" customWidth="1"/>
    <col min="1804" max="1804" width="9" bestFit="1" customWidth="1"/>
    <col min="1805" max="1805" width="12" customWidth="1"/>
    <col min="1806" max="1809" width="9" bestFit="1" customWidth="1"/>
    <col min="1810" max="1810" width="13.125" customWidth="1"/>
    <col min="1811" max="1812" width="9" bestFit="1" customWidth="1"/>
    <col min="1813" max="1813" width="9.625" customWidth="1"/>
    <col min="1814" max="1824" width="9" bestFit="1" customWidth="1"/>
    <col min="2049" max="2050" width="9" bestFit="1" customWidth="1"/>
    <col min="2051" max="2051" width="15.375" customWidth="1"/>
    <col min="2052" max="2052" width="9" bestFit="1" customWidth="1"/>
    <col min="2053" max="2053" width="10.75" customWidth="1"/>
    <col min="2054" max="2054" width="9" bestFit="1" customWidth="1"/>
    <col min="2055" max="2055" width="11.25" customWidth="1"/>
    <col min="2056" max="2056" width="9" bestFit="1" customWidth="1"/>
    <col min="2057" max="2057" width="12" customWidth="1"/>
    <col min="2058" max="2058" width="9" bestFit="1" customWidth="1"/>
    <col min="2059" max="2059" width="11.25" customWidth="1"/>
    <col min="2060" max="2060" width="9" bestFit="1" customWidth="1"/>
    <col min="2061" max="2061" width="12" customWidth="1"/>
    <col min="2062" max="2065" width="9" bestFit="1" customWidth="1"/>
    <col min="2066" max="2066" width="13.125" customWidth="1"/>
    <col min="2067" max="2068" width="9" bestFit="1" customWidth="1"/>
    <col min="2069" max="2069" width="9.625" customWidth="1"/>
    <col min="2070" max="2080" width="9" bestFit="1" customWidth="1"/>
    <col min="2305" max="2306" width="9" bestFit="1" customWidth="1"/>
    <col min="2307" max="2307" width="15.375" customWidth="1"/>
    <col min="2308" max="2308" width="9" bestFit="1" customWidth="1"/>
    <col min="2309" max="2309" width="10.75" customWidth="1"/>
    <col min="2310" max="2310" width="9" bestFit="1" customWidth="1"/>
    <col min="2311" max="2311" width="11.25" customWidth="1"/>
    <col min="2312" max="2312" width="9" bestFit="1" customWidth="1"/>
    <col min="2313" max="2313" width="12" customWidth="1"/>
    <col min="2314" max="2314" width="9" bestFit="1" customWidth="1"/>
    <col min="2315" max="2315" width="11.25" customWidth="1"/>
    <col min="2316" max="2316" width="9" bestFit="1" customWidth="1"/>
    <col min="2317" max="2317" width="12" customWidth="1"/>
    <col min="2318" max="2321" width="9" bestFit="1" customWidth="1"/>
    <col min="2322" max="2322" width="13.125" customWidth="1"/>
    <col min="2323" max="2324" width="9" bestFit="1" customWidth="1"/>
    <col min="2325" max="2325" width="9.625" customWidth="1"/>
    <col min="2326" max="2336" width="9" bestFit="1" customWidth="1"/>
    <col min="2561" max="2562" width="9" bestFit="1" customWidth="1"/>
    <col min="2563" max="2563" width="15.375" customWidth="1"/>
    <col min="2564" max="2564" width="9" bestFit="1" customWidth="1"/>
    <col min="2565" max="2565" width="10.75" customWidth="1"/>
    <col min="2566" max="2566" width="9" bestFit="1" customWidth="1"/>
    <col min="2567" max="2567" width="11.25" customWidth="1"/>
    <col min="2568" max="2568" width="9" bestFit="1" customWidth="1"/>
    <col min="2569" max="2569" width="12" customWidth="1"/>
    <col min="2570" max="2570" width="9" bestFit="1" customWidth="1"/>
    <col min="2571" max="2571" width="11.25" customWidth="1"/>
    <col min="2572" max="2572" width="9" bestFit="1" customWidth="1"/>
    <col min="2573" max="2573" width="12" customWidth="1"/>
    <col min="2574" max="2577" width="9" bestFit="1" customWidth="1"/>
    <col min="2578" max="2578" width="13.125" customWidth="1"/>
    <col min="2579" max="2580" width="9" bestFit="1" customWidth="1"/>
    <col min="2581" max="2581" width="9.625" customWidth="1"/>
    <col min="2582" max="2592" width="9" bestFit="1" customWidth="1"/>
    <col min="2817" max="2818" width="9" bestFit="1" customWidth="1"/>
    <col min="2819" max="2819" width="15.375" customWidth="1"/>
    <col min="2820" max="2820" width="9" bestFit="1" customWidth="1"/>
    <col min="2821" max="2821" width="10.75" customWidth="1"/>
    <col min="2822" max="2822" width="9" bestFit="1" customWidth="1"/>
    <col min="2823" max="2823" width="11.25" customWidth="1"/>
    <col min="2824" max="2824" width="9" bestFit="1" customWidth="1"/>
    <col min="2825" max="2825" width="12" customWidth="1"/>
    <col min="2826" max="2826" width="9" bestFit="1" customWidth="1"/>
    <col min="2827" max="2827" width="11.25" customWidth="1"/>
    <col min="2828" max="2828" width="9" bestFit="1" customWidth="1"/>
    <col min="2829" max="2829" width="12" customWidth="1"/>
    <col min="2830" max="2833" width="9" bestFit="1" customWidth="1"/>
    <col min="2834" max="2834" width="13.125" customWidth="1"/>
    <col min="2835" max="2836" width="9" bestFit="1" customWidth="1"/>
    <col min="2837" max="2837" width="9.625" customWidth="1"/>
    <col min="2838" max="2848" width="9" bestFit="1" customWidth="1"/>
    <col min="3073" max="3074" width="9" bestFit="1" customWidth="1"/>
    <col min="3075" max="3075" width="15.375" customWidth="1"/>
    <col min="3076" max="3076" width="9" bestFit="1" customWidth="1"/>
    <col min="3077" max="3077" width="10.75" customWidth="1"/>
    <col min="3078" max="3078" width="9" bestFit="1" customWidth="1"/>
    <col min="3079" max="3079" width="11.25" customWidth="1"/>
    <col min="3080" max="3080" width="9" bestFit="1" customWidth="1"/>
    <col min="3081" max="3081" width="12" customWidth="1"/>
    <col min="3082" max="3082" width="9" bestFit="1" customWidth="1"/>
    <col min="3083" max="3083" width="11.25" customWidth="1"/>
    <col min="3084" max="3084" width="9" bestFit="1" customWidth="1"/>
    <col min="3085" max="3085" width="12" customWidth="1"/>
    <col min="3086" max="3089" width="9" bestFit="1" customWidth="1"/>
    <col min="3090" max="3090" width="13.125" customWidth="1"/>
    <col min="3091" max="3092" width="9" bestFit="1" customWidth="1"/>
    <col min="3093" max="3093" width="9.625" customWidth="1"/>
    <col min="3094" max="3104" width="9" bestFit="1" customWidth="1"/>
    <col min="3329" max="3330" width="9" bestFit="1" customWidth="1"/>
    <col min="3331" max="3331" width="15.375" customWidth="1"/>
    <col min="3332" max="3332" width="9" bestFit="1" customWidth="1"/>
    <col min="3333" max="3333" width="10.75" customWidth="1"/>
    <col min="3334" max="3334" width="9" bestFit="1" customWidth="1"/>
    <col min="3335" max="3335" width="11.25" customWidth="1"/>
    <col min="3336" max="3336" width="9" bestFit="1" customWidth="1"/>
    <col min="3337" max="3337" width="12" customWidth="1"/>
    <col min="3338" max="3338" width="9" bestFit="1" customWidth="1"/>
    <col min="3339" max="3339" width="11.25" customWidth="1"/>
    <col min="3340" max="3340" width="9" bestFit="1" customWidth="1"/>
    <col min="3341" max="3341" width="12" customWidth="1"/>
    <col min="3342" max="3345" width="9" bestFit="1" customWidth="1"/>
    <col min="3346" max="3346" width="13.125" customWidth="1"/>
    <col min="3347" max="3348" width="9" bestFit="1" customWidth="1"/>
    <col min="3349" max="3349" width="9.625" customWidth="1"/>
    <col min="3350" max="3360" width="9" bestFit="1" customWidth="1"/>
    <col min="3585" max="3586" width="9" bestFit="1" customWidth="1"/>
    <col min="3587" max="3587" width="15.375" customWidth="1"/>
    <col min="3588" max="3588" width="9" bestFit="1" customWidth="1"/>
    <col min="3589" max="3589" width="10.75" customWidth="1"/>
    <col min="3590" max="3590" width="9" bestFit="1" customWidth="1"/>
    <col min="3591" max="3591" width="11.25" customWidth="1"/>
    <col min="3592" max="3592" width="9" bestFit="1" customWidth="1"/>
    <col min="3593" max="3593" width="12" customWidth="1"/>
    <col min="3594" max="3594" width="9" bestFit="1" customWidth="1"/>
    <col min="3595" max="3595" width="11.25" customWidth="1"/>
    <col min="3596" max="3596" width="9" bestFit="1" customWidth="1"/>
    <col min="3597" max="3597" width="12" customWidth="1"/>
    <col min="3598" max="3601" width="9" bestFit="1" customWidth="1"/>
    <col min="3602" max="3602" width="13.125" customWidth="1"/>
    <col min="3603" max="3604" width="9" bestFit="1" customWidth="1"/>
    <col min="3605" max="3605" width="9.625" customWidth="1"/>
    <col min="3606" max="3616" width="9" bestFit="1" customWidth="1"/>
    <col min="3841" max="3842" width="9" bestFit="1" customWidth="1"/>
    <col min="3843" max="3843" width="15.375" customWidth="1"/>
    <col min="3844" max="3844" width="9" bestFit="1" customWidth="1"/>
    <col min="3845" max="3845" width="10.75" customWidth="1"/>
    <col min="3846" max="3846" width="9" bestFit="1" customWidth="1"/>
    <col min="3847" max="3847" width="11.25" customWidth="1"/>
    <col min="3848" max="3848" width="9" bestFit="1" customWidth="1"/>
    <col min="3849" max="3849" width="12" customWidth="1"/>
    <col min="3850" max="3850" width="9" bestFit="1" customWidth="1"/>
    <col min="3851" max="3851" width="11.25" customWidth="1"/>
    <col min="3852" max="3852" width="9" bestFit="1" customWidth="1"/>
    <col min="3853" max="3853" width="12" customWidth="1"/>
    <col min="3854" max="3857" width="9" bestFit="1" customWidth="1"/>
    <col min="3858" max="3858" width="13.125" customWidth="1"/>
    <col min="3859" max="3860" width="9" bestFit="1" customWidth="1"/>
    <col min="3861" max="3861" width="9.625" customWidth="1"/>
    <col min="3862" max="3872" width="9" bestFit="1" customWidth="1"/>
    <col min="4097" max="4098" width="9" bestFit="1" customWidth="1"/>
    <col min="4099" max="4099" width="15.375" customWidth="1"/>
    <col min="4100" max="4100" width="9" bestFit="1" customWidth="1"/>
    <col min="4101" max="4101" width="10.75" customWidth="1"/>
    <col min="4102" max="4102" width="9" bestFit="1" customWidth="1"/>
    <col min="4103" max="4103" width="11.25" customWidth="1"/>
    <col min="4104" max="4104" width="9" bestFit="1" customWidth="1"/>
    <col min="4105" max="4105" width="12" customWidth="1"/>
    <col min="4106" max="4106" width="9" bestFit="1" customWidth="1"/>
    <col min="4107" max="4107" width="11.25" customWidth="1"/>
    <col min="4108" max="4108" width="9" bestFit="1" customWidth="1"/>
    <col min="4109" max="4109" width="12" customWidth="1"/>
    <col min="4110" max="4113" width="9" bestFit="1" customWidth="1"/>
    <col min="4114" max="4114" width="13.125" customWidth="1"/>
    <col min="4115" max="4116" width="9" bestFit="1" customWidth="1"/>
    <col min="4117" max="4117" width="9.625" customWidth="1"/>
    <col min="4118" max="4128" width="9" bestFit="1" customWidth="1"/>
    <col min="4353" max="4354" width="9" bestFit="1" customWidth="1"/>
    <col min="4355" max="4355" width="15.375" customWidth="1"/>
    <col min="4356" max="4356" width="9" bestFit="1" customWidth="1"/>
    <col min="4357" max="4357" width="10.75" customWidth="1"/>
    <col min="4358" max="4358" width="9" bestFit="1" customWidth="1"/>
    <col min="4359" max="4359" width="11.25" customWidth="1"/>
    <col min="4360" max="4360" width="9" bestFit="1" customWidth="1"/>
    <col min="4361" max="4361" width="12" customWidth="1"/>
    <col min="4362" max="4362" width="9" bestFit="1" customWidth="1"/>
    <col min="4363" max="4363" width="11.25" customWidth="1"/>
    <col min="4364" max="4364" width="9" bestFit="1" customWidth="1"/>
    <col min="4365" max="4365" width="12" customWidth="1"/>
    <col min="4366" max="4369" width="9" bestFit="1" customWidth="1"/>
    <col min="4370" max="4370" width="13.125" customWidth="1"/>
    <col min="4371" max="4372" width="9" bestFit="1" customWidth="1"/>
    <col min="4373" max="4373" width="9.625" customWidth="1"/>
    <col min="4374" max="4384" width="9" bestFit="1" customWidth="1"/>
    <col min="4609" max="4610" width="9" bestFit="1" customWidth="1"/>
    <col min="4611" max="4611" width="15.375" customWidth="1"/>
    <col min="4612" max="4612" width="9" bestFit="1" customWidth="1"/>
    <col min="4613" max="4613" width="10.75" customWidth="1"/>
    <col min="4614" max="4614" width="9" bestFit="1" customWidth="1"/>
    <col min="4615" max="4615" width="11.25" customWidth="1"/>
    <col min="4616" max="4616" width="9" bestFit="1" customWidth="1"/>
    <col min="4617" max="4617" width="12" customWidth="1"/>
    <col min="4618" max="4618" width="9" bestFit="1" customWidth="1"/>
    <col min="4619" max="4619" width="11.25" customWidth="1"/>
    <col min="4620" max="4620" width="9" bestFit="1" customWidth="1"/>
    <col min="4621" max="4621" width="12" customWidth="1"/>
    <col min="4622" max="4625" width="9" bestFit="1" customWidth="1"/>
    <col min="4626" max="4626" width="13.125" customWidth="1"/>
    <col min="4627" max="4628" width="9" bestFit="1" customWidth="1"/>
    <col min="4629" max="4629" width="9.625" customWidth="1"/>
    <col min="4630" max="4640" width="9" bestFit="1" customWidth="1"/>
    <col min="4865" max="4866" width="9" bestFit="1" customWidth="1"/>
    <col min="4867" max="4867" width="15.375" customWidth="1"/>
    <col min="4868" max="4868" width="9" bestFit="1" customWidth="1"/>
    <col min="4869" max="4869" width="10.75" customWidth="1"/>
    <col min="4870" max="4870" width="9" bestFit="1" customWidth="1"/>
    <col min="4871" max="4871" width="11.25" customWidth="1"/>
    <col min="4872" max="4872" width="9" bestFit="1" customWidth="1"/>
    <col min="4873" max="4873" width="12" customWidth="1"/>
    <col min="4874" max="4874" width="9" bestFit="1" customWidth="1"/>
    <col min="4875" max="4875" width="11.25" customWidth="1"/>
    <col min="4876" max="4876" width="9" bestFit="1" customWidth="1"/>
    <col min="4877" max="4877" width="12" customWidth="1"/>
    <col min="4878" max="4881" width="9" bestFit="1" customWidth="1"/>
    <col min="4882" max="4882" width="13.125" customWidth="1"/>
    <col min="4883" max="4884" width="9" bestFit="1" customWidth="1"/>
    <col min="4885" max="4885" width="9.625" customWidth="1"/>
    <col min="4886" max="4896" width="9" bestFit="1" customWidth="1"/>
    <col min="5121" max="5122" width="9" bestFit="1" customWidth="1"/>
    <col min="5123" max="5123" width="15.375" customWidth="1"/>
    <col min="5124" max="5124" width="9" bestFit="1" customWidth="1"/>
    <col min="5125" max="5125" width="10.75" customWidth="1"/>
    <col min="5126" max="5126" width="9" bestFit="1" customWidth="1"/>
    <col min="5127" max="5127" width="11.25" customWidth="1"/>
    <col min="5128" max="5128" width="9" bestFit="1" customWidth="1"/>
    <col min="5129" max="5129" width="12" customWidth="1"/>
    <col min="5130" max="5130" width="9" bestFit="1" customWidth="1"/>
    <col min="5131" max="5131" width="11.25" customWidth="1"/>
    <col min="5132" max="5132" width="9" bestFit="1" customWidth="1"/>
    <col min="5133" max="5133" width="12" customWidth="1"/>
    <col min="5134" max="5137" width="9" bestFit="1" customWidth="1"/>
    <col min="5138" max="5138" width="13.125" customWidth="1"/>
    <col min="5139" max="5140" width="9" bestFit="1" customWidth="1"/>
    <col min="5141" max="5141" width="9.625" customWidth="1"/>
    <col min="5142" max="5152" width="9" bestFit="1" customWidth="1"/>
    <col min="5377" max="5378" width="9" bestFit="1" customWidth="1"/>
    <col min="5379" max="5379" width="15.375" customWidth="1"/>
    <col min="5380" max="5380" width="9" bestFit="1" customWidth="1"/>
    <col min="5381" max="5381" width="10.75" customWidth="1"/>
    <col min="5382" max="5382" width="9" bestFit="1" customWidth="1"/>
    <col min="5383" max="5383" width="11.25" customWidth="1"/>
    <col min="5384" max="5384" width="9" bestFit="1" customWidth="1"/>
    <col min="5385" max="5385" width="12" customWidth="1"/>
    <col min="5386" max="5386" width="9" bestFit="1" customWidth="1"/>
    <col min="5387" max="5387" width="11.25" customWidth="1"/>
    <col min="5388" max="5388" width="9" bestFit="1" customWidth="1"/>
    <col min="5389" max="5389" width="12" customWidth="1"/>
    <col min="5390" max="5393" width="9" bestFit="1" customWidth="1"/>
    <col min="5394" max="5394" width="13.125" customWidth="1"/>
    <col min="5395" max="5396" width="9" bestFit="1" customWidth="1"/>
    <col min="5397" max="5397" width="9.625" customWidth="1"/>
    <col min="5398" max="5408" width="9" bestFit="1" customWidth="1"/>
    <col min="5633" max="5634" width="9" bestFit="1" customWidth="1"/>
    <col min="5635" max="5635" width="15.375" customWidth="1"/>
    <col min="5636" max="5636" width="9" bestFit="1" customWidth="1"/>
    <col min="5637" max="5637" width="10.75" customWidth="1"/>
    <col min="5638" max="5638" width="9" bestFit="1" customWidth="1"/>
    <col min="5639" max="5639" width="11.25" customWidth="1"/>
    <col min="5640" max="5640" width="9" bestFit="1" customWidth="1"/>
    <col min="5641" max="5641" width="12" customWidth="1"/>
    <col min="5642" max="5642" width="9" bestFit="1" customWidth="1"/>
    <col min="5643" max="5643" width="11.25" customWidth="1"/>
    <col min="5644" max="5644" width="9" bestFit="1" customWidth="1"/>
    <col min="5645" max="5645" width="12" customWidth="1"/>
    <col min="5646" max="5649" width="9" bestFit="1" customWidth="1"/>
    <col min="5650" max="5650" width="13.125" customWidth="1"/>
    <col min="5651" max="5652" width="9" bestFit="1" customWidth="1"/>
    <col min="5653" max="5653" width="9.625" customWidth="1"/>
    <col min="5654" max="5664" width="9" bestFit="1" customWidth="1"/>
    <col min="5889" max="5890" width="9" bestFit="1" customWidth="1"/>
    <col min="5891" max="5891" width="15.375" customWidth="1"/>
    <col min="5892" max="5892" width="9" bestFit="1" customWidth="1"/>
    <col min="5893" max="5893" width="10.75" customWidth="1"/>
    <col min="5894" max="5894" width="9" bestFit="1" customWidth="1"/>
    <col min="5895" max="5895" width="11.25" customWidth="1"/>
    <col min="5896" max="5896" width="9" bestFit="1" customWidth="1"/>
    <col min="5897" max="5897" width="12" customWidth="1"/>
    <col min="5898" max="5898" width="9" bestFit="1" customWidth="1"/>
    <col min="5899" max="5899" width="11.25" customWidth="1"/>
    <col min="5900" max="5900" width="9" bestFit="1" customWidth="1"/>
    <col min="5901" max="5901" width="12" customWidth="1"/>
    <col min="5902" max="5905" width="9" bestFit="1" customWidth="1"/>
    <col min="5906" max="5906" width="13.125" customWidth="1"/>
    <col min="5907" max="5908" width="9" bestFit="1" customWidth="1"/>
    <col min="5909" max="5909" width="9.625" customWidth="1"/>
    <col min="5910" max="5920" width="9" bestFit="1" customWidth="1"/>
    <col min="6145" max="6146" width="9" bestFit="1" customWidth="1"/>
    <col min="6147" max="6147" width="15.375" customWidth="1"/>
    <col min="6148" max="6148" width="9" bestFit="1" customWidth="1"/>
    <col min="6149" max="6149" width="10.75" customWidth="1"/>
    <col min="6150" max="6150" width="9" bestFit="1" customWidth="1"/>
    <col min="6151" max="6151" width="11.25" customWidth="1"/>
    <col min="6152" max="6152" width="9" bestFit="1" customWidth="1"/>
    <col min="6153" max="6153" width="12" customWidth="1"/>
    <col min="6154" max="6154" width="9" bestFit="1" customWidth="1"/>
    <col min="6155" max="6155" width="11.25" customWidth="1"/>
    <col min="6156" max="6156" width="9" bestFit="1" customWidth="1"/>
    <col min="6157" max="6157" width="12" customWidth="1"/>
    <col min="6158" max="6161" width="9" bestFit="1" customWidth="1"/>
    <col min="6162" max="6162" width="13.125" customWidth="1"/>
    <col min="6163" max="6164" width="9" bestFit="1" customWidth="1"/>
    <col min="6165" max="6165" width="9.625" customWidth="1"/>
    <col min="6166" max="6176" width="9" bestFit="1" customWidth="1"/>
    <col min="6401" max="6402" width="9" bestFit="1" customWidth="1"/>
    <col min="6403" max="6403" width="15.375" customWidth="1"/>
    <col min="6404" max="6404" width="9" bestFit="1" customWidth="1"/>
    <col min="6405" max="6405" width="10.75" customWidth="1"/>
    <col min="6406" max="6406" width="9" bestFit="1" customWidth="1"/>
    <col min="6407" max="6407" width="11.25" customWidth="1"/>
    <col min="6408" max="6408" width="9" bestFit="1" customWidth="1"/>
    <col min="6409" max="6409" width="12" customWidth="1"/>
    <col min="6410" max="6410" width="9" bestFit="1" customWidth="1"/>
    <col min="6411" max="6411" width="11.25" customWidth="1"/>
    <col min="6412" max="6412" width="9" bestFit="1" customWidth="1"/>
    <col min="6413" max="6413" width="12" customWidth="1"/>
    <col min="6414" max="6417" width="9" bestFit="1" customWidth="1"/>
    <col min="6418" max="6418" width="13.125" customWidth="1"/>
    <col min="6419" max="6420" width="9" bestFit="1" customWidth="1"/>
    <col min="6421" max="6421" width="9.625" customWidth="1"/>
    <col min="6422" max="6432" width="9" bestFit="1" customWidth="1"/>
    <col min="6657" max="6658" width="9" bestFit="1" customWidth="1"/>
    <col min="6659" max="6659" width="15.375" customWidth="1"/>
    <col min="6660" max="6660" width="9" bestFit="1" customWidth="1"/>
    <col min="6661" max="6661" width="10.75" customWidth="1"/>
    <col min="6662" max="6662" width="9" bestFit="1" customWidth="1"/>
    <col min="6663" max="6663" width="11.25" customWidth="1"/>
    <col min="6664" max="6664" width="9" bestFit="1" customWidth="1"/>
    <col min="6665" max="6665" width="12" customWidth="1"/>
    <col min="6666" max="6666" width="9" bestFit="1" customWidth="1"/>
    <col min="6667" max="6667" width="11.25" customWidth="1"/>
    <col min="6668" max="6668" width="9" bestFit="1" customWidth="1"/>
    <col min="6669" max="6669" width="12" customWidth="1"/>
    <col min="6670" max="6673" width="9" bestFit="1" customWidth="1"/>
    <col min="6674" max="6674" width="13.125" customWidth="1"/>
    <col min="6675" max="6676" width="9" bestFit="1" customWidth="1"/>
    <col min="6677" max="6677" width="9.625" customWidth="1"/>
    <col min="6678" max="6688" width="9" bestFit="1" customWidth="1"/>
    <col min="6913" max="6914" width="9" bestFit="1" customWidth="1"/>
    <col min="6915" max="6915" width="15.375" customWidth="1"/>
    <col min="6916" max="6916" width="9" bestFit="1" customWidth="1"/>
    <col min="6917" max="6917" width="10.75" customWidth="1"/>
    <col min="6918" max="6918" width="9" bestFit="1" customWidth="1"/>
    <col min="6919" max="6919" width="11.25" customWidth="1"/>
    <col min="6920" max="6920" width="9" bestFit="1" customWidth="1"/>
    <col min="6921" max="6921" width="12" customWidth="1"/>
    <col min="6922" max="6922" width="9" bestFit="1" customWidth="1"/>
    <col min="6923" max="6923" width="11.25" customWidth="1"/>
    <col min="6924" max="6924" width="9" bestFit="1" customWidth="1"/>
    <col min="6925" max="6925" width="12" customWidth="1"/>
    <col min="6926" max="6929" width="9" bestFit="1" customWidth="1"/>
    <col min="6930" max="6930" width="13.125" customWidth="1"/>
    <col min="6931" max="6932" width="9" bestFit="1" customWidth="1"/>
    <col min="6933" max="6933" width="9.625" customWidth="1"/>
    <col min="6934" max="6944" width="9" bestFit="1" customWidth="1"/>
    <col min="7169" max="7170" width="9" bestFit="1" customWidth="1"/>
    <col min="7171" max="7171" width="15.375" customWidth="1"/>
    <col min="7172" max="7172" width="9" bestFit="1" customWidth="1"/>
    <col min="7173" max="7173" width="10.75" customWidth="1"/>
    <col min="7174" max="7174" width="9" bestFit="1" customWidth="1"/>
    <col min="7175" max="7175" width="11.25" customWidth="1"/>
    <col min="7176" max="7176" width="9" bestFit="1" customWidth="1"/>
    <col min="7177" max="7177" width="12" customWidth="1"/>
    <col min="7178" max="7178" width="9" bestFit="1" customWidth="1"/>
    <col min="7179" max="7179" width="11.25" customWidth="1"/>
    <col min="7180" max="7180" width="9" bestFit="1" customWidth="1"/>
    <col min="7181" max="7181" width="12" customWidth="1"/>
    <col min="7182" max="7185" width="9" bestFit="1" customWidth="1"/>
    <col min="7186" max="7186" width="13.125" customWidth="1"/>
    <col min="7187" max="7188" width="9" bestFit="1" customWidth="1"/>
    <col min="7189" max="7189" width="9.625" customWidth="1"/>
    <col min="7190" max="7200" width="9" bestFit="1" customWidth="1"/>
    <col min="7425" max="7426" width="9" bestFit="1" customWidth="1"/>
    <col min="7427" max="7427" width="15.375" customWidth="1"/>
    <col min="7428" max="7428" width="9" bestFit="1" customWidth="1"/>
    <col min="7429" max="7429" width="10.75" customWidth="1"/>
    <col min="7430" max="7430" width="9" bestFit="1" customWidth="1"/>
    <col min="7431" max="7431" width="11.25" customWidth="1"/>
    <col min="7432" max="7432" width="9" bestFit="1" customWidth="1"/>
    <col min="7433" max="7433" width="12" customWidth="1"/>
    <col min="7434" max="7434" width="9" bestFit="1" customWidth="1"/>
    <col min="7435" max="7435" width="11.25" customWidth="1"/>
    <col min="7436" max="7436" width="9" bestFit="1" customWidth="1"/>
    <col min="7437" max="7437" width="12" customWidth="1"/>
    <col min="7438" max="7441" width="9" bestFit="1" customWidth="1"/>
    <col min="7442" max="7442" width="13.125" customWidth="1"/>
    <col min="7443" max="7444" width="9" bestFit="1" customWidth="1"/>
    <col min="7445" max="7445" width="9.625" customWidth="1"/>
    <col min="7446" max="7456" width="9" bestFit="1" customWidth="1"/>
    <col min="7681" max="7682" width="9" bestFit="1" customWidth="1"/>
    <col min="7683" max="7683" width="15.375" customWidth="1"/>
    <col min="7684" max="7684" width="9" bestFit="1" customWidth="1"/>
    <col min="7685" max="7685" width="10.75" customWidth="1"/>
    <col min="7686" max="7686" width="9" bestFit="1" customWidth="1"/>
    <col min="7687" max="7687" width="11.25" customWidth="1"/>
    <col min="7688" max="7688" width="9" bestFit="1" customWidth="1"/>
    <col min="7689" max="7689" width="12" customWidth="1"/>
    <col min="7690" max="7690" width="9" bestFit="1" customWidth="1"/>
    <col min="7691" max="7691" width="11.25" customWidth="1"/>
    <col min="7692" max="7692" width="9" bestFit="1" customWidth="1"/>
    <col min="7693" max="7693" width="12" customWidth="1"/>
    <col min="7694" max="7697" width="9" bestFit="1" customWidth="1"/>
    <col min="7698" max="7698" width="13.125" customWidth="1"/>
    <col min="7699" max="7700" width="9" bestFit="1" customWidth="1"/>
    <col min="7701" max="7701" width="9.625" customWidth="1"/>
    <col min="7702" max="7712" width="9" bestFit="1" customWidth="1"/>
    <col min="7937" max="7938" width="9" bestFit="1" customWidth="1"/>
    <col min="7939" max="7939" width="15.375" customWidth="1"/>
    <col min="7940" max="7940" width="9" bestFit="1" customWidth="1"/>
    <col min="7941" max="7941" width="10.75" customWidth="1"/>
    <col min="7942" max="7942" width="9" bestFit="1" customWidth="1"/>
    <col min="7943" max="7943" width="11.25" customWidth="1"/>
    <col min="7944" max="7944" width="9" bestFit="1" customWidth="1"/>
    <col min="7945" max="7945" width="12" customWidth="1"/>
    <col min="7946" max="7946" width="9" bestFit="1" customWidth="1"/>
    <col min="7947" max="7947" width="11.25" customWidth="1"/>
    <col min="7948" max="7948" width="9" bestFit="1" customWidth="1"/>
    <col min="7949" max="7949" width="12" customWidth="1"/>
    <col min="7950" max="7953" width="9" bestFit="1" customWidth="1"/>
    <col min="7954" max="7954" width="13.125" customWidth="1"/>
    <col min="7955" max="7956" width="9" bestFit="1" customWidth="1"/>
    <col min="7957" max="7957" width="9.625" customWidth="1"/>
    <col min="7958" max="7968" width="9" bestFit="1" customWidth="1"/>
    <col min="8193" max="8194" width="9" bestFit="1" customWidth="1"/>
    <col min="8195" max="8195" width="15.375" customWidth="1"/>
    <col min="8196" max="8196" width="9" bestFit="1" customWidth="1"/>
    <col min="8197" max="8197" width="10.75" customWidth="1"/>
    <col min="8198" max="8198" width="9" bestFit="1" customWidth="1"/>
    <col min="8199" max="8199" width="11.25" customWidth="1"/>
    <col min="8200" max="8200" width="9" bestFit="1" customWidth="1"/>
    <col min="8201" max="8201" width="12" customWidth="1"/>
    <col min="8202" max="8202" width="9" bestFit="1" customWidth="1"/>
    <col min="8203" max="8203" width="11.25" customWidth="1"/>
    <col min="8204" max="8204" width="9" bestFit="1" customWidth="1"/>
    <col min="8205" max="8205" width="12" customWidth="1"/>
    <col min="8206" max="8209" width="9" bestFit="1" customWidth="1"/>
    <col min="8210" max="8210" width="13.125" customWidth="1"/>
    <col min="8211" max="8212" width="9" bestFit="1" customWidth="1"/>
    <col min="8213" max="8213" width="9.625" customWidth="1"/>
    <col min="8214" max="8224" width="9" bestFit="1" customWidth="1"/>
    <col min="8449" max="8450" width="9" bestFit="1" customWidth="1"/>
    <col min="8451" max="8451" width="15.375" customWidth="1"/>
    <col min="8452" max="8452" width="9" bestFit="1" customWidth="1"/>
    <col min="8453" max="8453" width="10.75" customWidth="1"/>
    <col min="8454" max="8454" width="9" bestFit="1" customWidth="1"/>
    <col min="8455" max="8455" width="11.25" customWidth="1"/>
    <col min="8456" max="8456" width="9" bestFit="1" customWidth="1"/>
    <col min="8457" max="8457" width="12" customWidth="1"/>
    <col min="8458" max="8458" width="9" bestFit="1" customWidth="1"/>
    <col min="8459" max="8459" width="11.25" customWidth="1"/>
    <col min="8460" max="8460" width="9" bestFit="1" customWidth="1"/>
    <col min="8461" max="8461" width="12" customWidth="1"/>
    <col min="8462" max="8465" width="9" bestFit="1" customWidth="1"/>
    <col min="8466" max="8466" width="13.125" customWidth="1"/>
    <col min="8467" max="8468" width="9" bestFit="1" customWidth="1"/>
    <col min="8469" max="8469" width="9.625" customWidth="1"/>
    <col min="8470" max="8480" width="9" bestFit="1" customWidth="1"/>
    <col min="8705" max="8706" width="9" bestFit="1" customWidth="1"/>
    <col min="8707" max="8707" width="15.375" customWidth="1"/>
    <col min="8708" max="8708" width="9" bestFit="1" customWidth="1"/>
    <col min="8709" max="8709" width="10.75" customWidth="1"/>
    <col min="8710" max="8710" width="9" bestFit="1" customWidth="1"/>
    <col min="8711" max="8711" width="11.25" customWidth="1"/>
    <col min="8712" max="8712" width="9" bestFit="1" customWidth="1"/>
    <col min="8713" max="8713" width="12" customWidth="1"/>
    <col min="8714" max="8714" width="9" bestFit="1" customWidth="1"/>
    <col min="8715" max="8715" width="11.25" customWidth="1"/>
    <col min="8716" max="8716" width="9" bestFit="1" customWidth="1"/>
    <col min="8717" max="8717" width="12" customWidth="1"/>
    <col min="8718" max="8721" width="9" bestFit="1" customWidth="1"/>
    <col min="8722" max="8722" width="13.125" customWidth="1"/>
    <col min="8723" max="8724" width="9" bestFit="1" customWidth="1"/>
    <col min="8725" max="8725" width="9.625" customWidth="1"/>
    <col min="8726" max="8736" width="9" bestFit="1" customWidth="1"/>
    <col min="8961" max="8962" width="9" bestFit="1" customWidth="1"/>
    <col min="8963" max="8963" width="15.375" customWidth="1"/>
    <col min="8964" max="8964" width="9" bestFit="1" customWidth="1"/>
    <col min="8965" max="8965" width="10.75" customWidth="1"/>
    <col min="8966" max="8966" width="9" bestFit="1" customWidth="1"/>
    <col min="8967" max="8967" width="11.25" customWidth="1"/>
    <col min="8968" max="8968" width="9" bestFit="1" customWidth="1"/>
    <col min="8969" max="8969" width="12" customWidth="1"/>
    <col min="8970" max="8970" width="9" bestFit="1" customWidth="1"/>
    <col min="8971" max="8971" width="11.25" customWidth="1"/>
    <col min="8972" max="8972" width="9" bestFit="1" customWidth="1"/>
    <col min="8973" max="8973" width="12" customWidth="1"/>
    <col min="8974" max="8977" width="9" bestFit="1" customWidth="1"/>
    <col min="8978" max="8978" width="13.125" customWidth="1"/>
    <col min="8979" max="8980" width="9" bestFit="1" customWidth="1"/>
    <col min="8981" max="8981" width="9.625" customWidth="1"/>
    <col min="8982" max="8992" width="9" bestFit="1" customWidth="1"/>
    <col min="9217" max="9218" width="9" bestFit="1" customWidth="1"/>
    <col min="9219" max="9219" width="15.375" customWidth="1"/>
    <col min="9220" max="9220" width="9" bestFit="1" customWidth="1"/>
    <col min="9221" max="9221" width="10.75" customWidth="1"/>
    <col min="9222" max="9222" width="9" bestFit="1" customWidth="1"/>
    <col min="9223" max="9223" width="11.25" customWidth="1"/>
    <col min="9224" max="9224" width="9" bestFit="1" customWidth="1"/>
    <col min="9225" max="9225" width="12" customWidth="1"/>
    <col min="9226" max="9226" width="9" bestFit="1" customWidth="1"/>
    <col min="9227" max="9227" width="11.25" customWidth="1"/>
    <col min="9228" max="9228" width="9" bestFit="1" customWidth="1"/>
    <col min="9229" max="9229" width="12" customWidth="1"/>
    <col min="9230" max="9233" width="9" bestFit="1" customWidth="1"/>
    <col min="9234" max="9234" width="13.125" customWidth="1"/>
    <col min="9235" max="9236" width="9" bestFit="1" customWidth="1"/>
    <col min="9237" max="9237" width="9.625" customWidth="1"/>
    <col min="9238" max="9248" width="9" bestFit="1" customWidth="1"/>
    <col min="9473" max="9474" width="9" bestFit="1" customWidth="1"/>
    <col min="9475" max="9475" width="15.375" customWidth="1"/>
    <col min="9476" max="9476" width="9" bestFit="1" customWidth="1"/>
    <col min="9477" max="9477" width="10.75" customWidth="1"/>
    <col min="9478" max="9478" width="9" bestFit="1" customWidth="1"/>
    <col min="9479" max="9479" width="11.25" customWidth="1"/>
    <col min="9480" max="9480" width="9" bestFit="1" customWidth="1"/>
    <col min="9481" max="9481" width="12" customWidth="1"/>
    <col min="9482" max="9482" width="9" bestFit="1" customWidth="1"/>
    <col min="9483" max="9483" width="11.25" customWidth="1"/>
    <col min="9484" max="9484" width="9" bestFit="1" customWidth="1"/>
    <col min="9485" max="9485" width="12" customWidth="1"/>
    <col min="9486" max="9489" width="9" bestFit="1" customWidth="1"/>
    <col min="9490" max="9490" width="13.125" customWidth="1"/>
    <col min="9491" max="9492" width="9" bestFit="1" customWidth="1"/>
    <col min="9493" max="9493" width="9.625" customWidth="1"/>
    <col min="9494" max="9504" width="9" bestFit="1" customWidth="1"/>
    <col min="9729" max="9730" width="9" bestFit="1" customWidth="1"/>
    <col min="9731" max="9731" width="15.375" customWidth="1"/>
    <col min="9732" max="9732" width="9" bestFit="1" customWidth="1"/>
    <col min="9733" max="9733" width="10.75" customWidth="1"/>
    <col min="9734" max="9734" width="9" bestFit="1" customWidth="1"/>
    <col min="9735" max="9735" width="11.25" customWidth="1"/>
    <col min="9736" max="9736" width="9" bestFit="1" customWidth="1"/>
    <col min="9737" max="9737" width="12" customWidth="1"/>
    <col min="9738" max="9738" width="9" bestFit="1" customWidth="1"/>
    <col min="9739" max="9739" width="11.25" customWidth="1"/>
    <col min="9740" max="9740" width="9" bestFit="1" customWidth="1"/>
    <col min="9741" max="9741" width="12" customWidth="1"/>
    <col min="9742" max="9745" width="9" bestFit="1" customWidth="1"/>
    <col min="9746" max="9746" width="13.125" customWidth="1"/>
    <col min="9747" max="9748" width="9" bestFit="1" customWidth="1"/>
    <col min="9749" max="9749" width="9.625" customWidth="1"/>
    <col min="9750" max="9760" width="9" bestFit="1" customWidth="1"/>
    <col min="9985" max="9986" width="9" bestFit="1" customWidth="1"/>
    <col min="9987" max="9987" width="15.375" customWidth="1"/>
    <col min="9988" max="9988" width="9" bestFit="1" customWidth="1"/>
    <col min="9989" max="9989" width="10.75" customWidth="1"/>
    <col min="9990" max="9990" width="9" bestFit="1" customWidth="1"/>
    <col min="9991" max="9991" width="11.25" customWidth="1"/>
    <col min="9992" max="9992" width="9" bestFit="1" customWidth="1"/>
    <col min="9993" max="9993" width="12" customWidth="1"/>
    <col min="9994" max="9994" width="9" bestFit="1" customWidth="1"/>
    <col min="9995" max="9995" width="11.25" customWidth="1"/>
    <col min="9996" max="9996" width="9" bestFit="1" customWidth="1"/>
    <col min="9997" max="9997" width="12" customWidth="1"/>
    <col min="9998" max="10001" width="9" bestFit="1" customWidth="1"/>
    <col min="10002" max="10002" width="13.125" customWidth="1"/>
    <col min="10003" max="10004" width="9" bestFit="1" customWidth="1"/>
    <col min="10005" max="10005" width="9.625" customWidth="1"/>
    <col min="10006" max="10016" width="9" bestFit="1" customWidth="1"/>
    <col min="10241" max="10242" width="9" bestFit="1" customWidth="1"/>
    <col min="10243" max="10243" width="15.375" customWidth="1"/>
    <col min="10244" max="10244" width="9" bestFit="1" customWidth="1"/>
    <col min="10245" max="10245" width="10.75" customWidth="1"/>
    <col min="10246" max="10246" width="9" bestFit="1" customWidth="1"/>
    <col min="10247" max="10247" width="11.25" customWidth="1"/>
    <col min="10248" max="10248" width="9" bestFit="1" customWidth="1"/>
    <col min="10249" max="10249" width="12" customWidth="1"/>
    <col min="10250" max="10250" width="9" bestFit="1" customWidth="1"/>
    <col min="10251" max="10251" width="11.25" customWidth="1"/>
    <col min="10252" max="10252" width="9" bestFit="1" customWidth="1"/>
    <col min="10253" max="10253" width="12" customWidth="1"/>
    <col min="10254" max="10257" width="9" bestFit="1" customWidth="1"/>
    <col min="10258" max="10258" width="13.125" customWidth="1"/>
    <col min="10259" max="10260" width="9" bestFit="1" customWidth="1"/>
    <col min="10261" max="10261" width="9.625" customWidth="1"/>
    <col min="10262" max="10272" width="9" bestFit="1" customWidth="1"/>
    <col min="10497" max="10498" width="9" bestFit="1" customWidth="1"/>
    <col min="10499" max="10499" width="15.375" customWidth="1"/>
    <col min="10500" max="10500" width="9" bestFit="1" customWidth="1"/>
    <col min="10501" max="10501" width="10.75" customWidth="1"/>
    <col min="10502" max="10502" width="9" bestFit="1" customWidth="1"/>
    <col min="10503" max="10503" width="11.25" customWidth="1"/>
    <col min="10504" max="10504" width="9" bestFit="1" customWidth="1"/>
    <col min="10505" max="10505" width="12" customWidth="1"/>
    <col min="10506" max="10506" width="9" bestFit="1" customWidth="1"/>
    <col min="10507" max="10507" width="11.25" customWidth="1"/>
    <col min="10508" max="10508" width="9" bestFit="1" customWidth="1"/>
    <col min="10509" max="10509" width="12" customWidth="1"/>
    <col min="10510" max="10513" width="9" bestFit="1" customWidth="1"/>
    <col min="10514" max="10514" width="13.125" customWidth="1"/>
    <col min="10515" max="10516" width="9" bestFit="1" customWidth="1"/>
    <col min="10517" max="10517" width="9.625" customWidth="1"/>
    <col min="10518" max="10528" width="9" bestFit="1" customWidth="1"/>
    <col min="10753" max="10754" width="9" bestFit="1" customWidth="1"/>
    <col min="10755" max="10755" width="15.375" customWidth="1"/>
    <col min="10756" max="10756" width="9" bestFit="1" customWidth="1"/>
    <col min="10757" max="10757" width="10.75" customWidth="1"/>
    <col min="10758" max="10758" width="9" bestFit="1" customWidth="1"/>
    <col min="10759" max="10759" width="11.25" customWidth="1"/>
    <col min="10760" max="10760" width="9" bestFit="1" customWidth="1"/>
    <col min="10761" max="10761" width="12" customWidth="1"/>
    <col min="10762" max="10762" width="9" bestFit="1" customWidth="1"/>
    <col min="10763" max="10763" width="11.25" customWidth="1"/>
    <col min="10764" max="10764" width="9" bestFit="1" customWidth="1"/>
    <col min="10765" max="10765" width="12" customWidth="1"/>
    <col min="10766" max="10769" width="9" bestFit="1" customWidth="1"/>
    <col min="10770" max="10770" width="13.125" customWidth="1"/>
    <col min="10771" max="10772" width="9" bestFit="1" customWidth="1"/>
    <col min="10773" max="10773" width="9.625" customWidth="1"/>
    <col min="10774" max="10784" width="9" bestFit="1" customWidth="1"/>
    <col min="11009" max="11010" width="9" bestFit="1" customWidth="1"/>
    <col min="11011" max="11011" width="15.375" customWidth="1"/>
    <col min="11012" max="11012" width="9" bestFit="1" customWidth="1"/>
    <col min="11013" max="11013" width="10.75" customWidth="1"/>
    <col min="11014" max="11014" width="9" bestFit="1" customWidth="1"/>
    <col min="11015" max="11015" width="11.25" customWidth="1"/>
    <col min="11016" max="11016" width="9" bestFit="1" customWidth="1"/>
    <col min="11017" max="11017" width="12" customWidth="1"/>
    <col min="11018" max="11018" width="9" bestFit="1" customWidth="1"/>
    <col min="11019" max="11019" width="11.25" customWidth="1"/>
    <col min="11020" max="11020" width="9" bestFit="1" customWidth="1"/>
    <col min="11021" max="11021" width="12" customWidth="1"/>
    <col min="11022" max="11025" width="9" bestFit="1" customWidth="1"/>
    <col min="11026" max="11026" width="13.125" customWidth="1"/>
    <col min="11027" max="11028" width="9" bestFit="1" customWidth="1"/>
    <col min="11029" max="11029" width="9.625" customWidth="1"/>
    <col min="11030" max="11040" width="9" bestFit="1" customWidth="1"/>
    <col min="11265" max="11266" width="9" bestFit="1" customWidth="1"/>
    <col min="11267" max="11267" width="15.375" customWidth="1"/>
    <col min="11268" max="11268" width="9" bestFit="1" customWidth="1"/>
    <col min="11269" max="11269" width="10.75" customWidth="1"/>
    <col min="11270" max="11270" width="9" bestFit="1" customWidth="1"/>
    <col min="11271" max="11271" width="11.25" customWidth="1"/>
    <col min="11272" max="11272" width="9" bestFit="1" customWidth="1"/>
    <col min="11273" max="11273" width="12" customWidth="1"/>
    <col min="11274" max="11274" width="9" bestFit="1" customWidth="1"/>
    <col min="11275" max="11275" width="11.25" customWidth="1"/>
    <col min="11276" max="11276" width="9" bestFit="1" customWidth="1"/>
    <col min="11277" max="11277" width="12" customWidth="1"/>
    <col min="11278" max="11281" width="9" bestFit="1" customWidth="1"/>
    <col min="11282" max="11282" width="13.125" customWidth="1"/>
    <col min="11283" max="11284" width="9" bestFit="1" customWidth="1"/>
    <col min="11285" max="11285" width="9.625" customWidth="1"/>
    <col min="11286" max="11296" width="9" bestFit="1" customWidth="1"/>
    <col min="11521" max="11522" width="9" bestFit="1" customWidth="1"/>
    <col min="11523" max="11523" width="15.375" customWidth="1"/>
    <col min="11524" max="11524" width="9" bestFit="1" customWidth="1"/>
    <col min="11525" max="11525" width="10.75" customWidth="1"/>
    <col min="11526" max="11526" width="9" bestFit="1" customWidth="1"/>
    <col min="11527" max="11527" width="11.25" customWidth="1"/>
    <col min="11528" max="11528" width="9" bestFit="1" customWidth="1"/>
    <col min="11529" max="11529" width="12" customWidth="1"/>
    <col min="11530" max="11530" width="9" bestFit="1" customWidth="1"/>
    <col min="11531" max="11531" width="11.25" customWidth="1"/>
    <col min="11532" max="11532" width="9" bestFit="1" customWidth="1"/>
    <col min="11533" max="11533" width="12" customWidth="1"/>
    <col min="11534" max="11537" width="9" bestFit="1" customWidth="1"/>
    <col min="11538" max="11538" width="13.125" customWidth="1"/>
    <col min="11539" max="11540" width="9" bestFit="1" customWidth="1"/>
    <col min="11541" max="11541" width="9.625" customWidth="1"/>
    <col min="11542" max="11552" width="9" bestFit="1" customWidth="1"/>
    <col min="11777" max="11778" width="9" bestFit="1" customWidth="1"/>
    <col min="11779" max="11779" width="15.375" customWidth="1"/>
    <col min="11780" max="11780" width="9" bestFit="1" customWidth="1"/>
    <col min="11781" max="11781" width="10.75" customWidth="1"/>
    <col min="11782" max="11782" width="9" bestFit="1" customWidth="1"/>
    <col min="11783" max="11783" width="11.25" customWidth="1"/>
    <col min="11784" max="11784" width="9" bestFit="1" customWidth="1"/>
    <col min="11785" max="11785" width="12" customWidth="1"/>
    <col min="11786" max="11786" width="9" bestFit="1" customWidth="1"/>
    <col min="11787" max="11787" width="11.25" customWidth="1"/>
    <col min="11788" max="11788" width="9" bestFit="1" customWidth="1"/>
    <col min="11789" max="11789" width="12" customWidth="1"/>
    <col min="11790" max="11793" width="9" bestFit="1" customWidth="1"/>
    <col min="11794" max="11794" width="13.125" customWidth="1"/>
    <col min="11795" max="11796" width="9" bestFit="1" customWidth="1"/>
    <col min="11797" max="11797" width="9.625" customWidth="1"/>
    <col min="11798" max="11808" width="9" bestFit="1" customWidth="1"/>
    <col min="12033" max="12034" width="9" bestFit="1" customWidth="1"/>
    <col min="12035" max="12035" width="15.375" customWidth="1"/>
    <col min="12036" max="12036" width="9" bestFit="1" customWidth="1"/>
    <col min="12037" max="12037" width="10.75" customWidth="1"/>
    <col min="12038" max="12038" width="9" bestFit="1" customWidth="1"/>
    <col min="12039" max="12039" width="11.25" customWidth="1"/>
    <col min="12040" max="12040" width="9" bestFit="1" customWidth="1"/>
    <col min="12041" max="12041" width="12" customWidth="1"/>
    <col min="12042" max="12042" width="9" bestFit="1" customWidth="1"/>
    <col min="12043" max="12043" width="11.25" customWidth="1"/>
    <col min="12044" max="12044" width="9" bestFit="1" customWidth="1"/>
    <col min="12045" max="12045" width="12" customWidth="1"/>
    <col min="12046" max="12049" width="9" bestFit="1" customWidth="1"/>
    <col min="12050" max="12050" width="13.125" customWidth="1"/>
    <col min="12051" max="12052" width="9" bestFit="1" customWidth="1"/>
    <col min="12053" max="12053" width="9.625" customWidth="1"/>
    <col min="12054" max="12064" width="9" bestFit="1" customWidth="1"/>
    <col min="12289" max="12290" width="9" bestFit="1" customWidth="1"/>
    <col min="12291" max="12291" width="15.375" customWidth="1"/>
    <col min="12292" max="12292" width="9" bestFit="1" customWidth="1"/>
    <col min="12293" max="12293" width="10.75" customWidth="1"/>
    <col min="12294" max="12294" width="9" bestFit="1" customWidth="1"/>
    <col min="12295" max="12295" width="11.25" customWidth="1"/>
    <col min="12296" max="12296" width="9" bestFit="1" customWidth="1"/>
    <col min="12297" max="12297" width="12" customWidth="1"/>
    <col min="12298" max="12298" width="9" bestFit="1" customWidth="1"/>
    <col min="12299" max="12299" width="11.25" customWidth="1"/>
    <col min="12300" max="12300" width="9" bestFit="1" customWidth="1"/>
    <col min="12301" max="12301" width="12" customWidth="1"/>
    <col min="12302" max="12305" width="9" bestFit="1" customWidth="1"/>
    <col min="12306" max="12306" width="13.125" customWidth="1"/>
    <col min="12307" max="12308" width="9" bestFit="1" customWidth="1"/>
    <col min="12309" max="12309" width="9.625" customWidth="1"/>
    <col min="12310" max="12320" width="9" bestFit="1" customWidth="1"/>
    <col min="12545" max="12546" width="9" bestFit="1" customWidth="1"/>
    <col min="12547" max="12547" width="15.375" customWidth="1"/>
    <col min="12548" max="12548" width="9" bestFit="1" customWidth="1"/>
    <col min="12549" max="12549" width="10.75" customWidth="1"/>
    <col min="12550" max="12550" width="9" bestFit="1" customWidth="1"/>
    <col min="12551" max="12551" width="11.25" customWidth="1"/>
    <col min="12552" max="12552" width="9" bestFit="1" customWidth="1"/>
    <col min="12553" max="12553" width="12" customWidth="1"/>
    <col min="12554" max="12554" width="9" bestFit="1" customWidth="1"/>
    <col min="12555" max="12555" width="11.25" customWidth="1"/>
    <col min="12556" max="12556" width="9" bestFit="1" customWidth="1"/>
    <col min="12557" max="12557" width="12" customWidth="1"/>
    <col min="12558" max="12561" width="9" bestFit="1" customWidth="1"/>
    <col min="12562" max="12562" width="13.125" customWidth="1"/>
    <col min="12563" max="12564" width="9" bestFit="1" customWidth="1"/>
    <col min="12565" max="12565" width="9.625" customWidth="1"/>
    <col min="12566" max="12576" width="9" bestFit="1" customWidth="1"/>
    <col min="12801" max="12802" width="9" bestFit="1" customWidth="1"/>
    <col min="12803" max="12803" width="15.375" customWidth="1"/>
    <col min="12804" max="12804" width="9" bestFit="1" customWidth="1"/>
    <col min="12805" max="12805" width="10.75" customWidth="1"/>
    <col min="12806" max="12806" width="9" bestFit="1" customWidth="1"/>
    <col min="12807" max="12807" width="11.25" customWidth="1"/>
    <col min="12808" max="12808" width="9" bestFit="1" customWidth="1"/>
    <col min="12809" max="12809" width="12" customWidth="1"/>
    <col min="12810" max="12810" width="9" bestFit="1" customWidth="1"/>
    <col min="12811" max="12811" width="11.25" customWidth="1"/>
    <col min="12812" max="12812" width="9" bestFit="1" customWidth="1"/>
    <col min="12813" max="12813" width="12" customWidth="1"/>
    <col min="12814" max="12817" width="9" bestFit="1" customWidth="1"/>
    <col min="12818" max="12818" width="13.125" customWidth="1"/>
    <col min="12819" max="12820" width="9" bestFit="1" customWidth="1"/>
    <col min="12821" max="12821" width="9.625" customWidth="1"/>
    <col min="12822" max="12832" width="9" bestFit="1" customWidth="1"/>
    <col min="13057" max="13058" width="9" bestFit="1" customWidth="1"/>
    <col min="13059" max="13059" width="15.375" customWidth="1"/>
    <col min="13060" max="13060" width="9" bestFit="1" customWidth="1"/>
    <col min="13061" max="13061" width="10.75" customWidth="1"/>
    <col min="13062" max="13062" width="9" bestFit="1" customWidth="1"/>
    <col min="13063" max="13063" width="11.25" customWidth="1"/>
    <col min="13064" max="13064" width="9" bestFit="1" customWidth="1"/>
    <col min="13065" max="13065" width="12" customWidth="1"/>
    <col min="13066" max="13066" width="9" bestFit="1" customWidth="1"/>
    <col min="13067" max="13067" width="11.25" customWidth="1"/>
    <col min="13068" max="13068" width="9" bestFit="1" customWidth="1"/>
    <col min="13069" max="13069" width="12" customWidth="1"/>
    <col min="13070" max="13073" width="9" bestFit="1" customWidth="1"/>
    <col min="13074" max="13074" width="13.125" customWidth="1"/>
    <col min="13075" max="13076" width="9" bestFit="1" customWidth="1"/>
    <col min="13077" max="13077" width="9.625" customWidth="1"/>
    <col min="13078" max="13088" width="9" bestFit="1" customWidth="1"/>
    <col min="13313" max="13314" width="9" bestFit="1" customWidth="1"/>
    <col min="13315" max="13315" width="15.375" customWidth="1"/>
    <col min="13316" max="13316" width="9" bestFit="1" customWidth="1"/>
    <col min="13317" max="13317" width="10.75" customWidth="1"/>
    <col min="13318" max="13318" width="9" bestFit="1" customWidth="1"/>
    <col min="13319" max="13319" width="11.25" customWidth="1"/>
    <col min="13320" max="13320" width="9" bestFit="1" customWidth="1"/>
    <col min="13321" max="13321" width="12" customWidth="1"/>
    <col min="13322" max="13322" width="9" bestFit="1" customWidth="1"/>
    <col min="13323" max="13323" width="11.25" customWidth="1"/>
    <col min="13324" max="13324" width="9" bestFit="1" customWidth="1"/>
    <col min="13325" max="13325" width="12" customWidth="1"/>
    <col min="13326" max="13329" width="9" bestFit="1" customWidth="1"/>
    <col min="13330" max="13330" width="13.125" customWidth="1"/>
    <col min="13331" max="13332" width="9" bestFit="1" customWidth="1"/>
    <col min="13333" max="13333" width="9.625" customWidth="1"/>
    <col min="13334" max="13344" width="9" bestFit="1" customWidth="1"/>
    <col min="13569" max="13570" width="9" bestFit="1" customWidth="1"/>
    <col min="13571" max="13571" width="15.375" customWidth="1"/>
    <col min="13572" max="13572" width="9" bestFit="1" customWidth="1"/>
    <col min="13573" max="13573" width="10.75" customWidth="1"/>
    <col min="13574" max="13574" width="9" bestFit="1" customWidth="1"/>
    <col min="13575" max="13575" width="11.25" customWidth="1"/>
    <col min="13576" max="13576" width="9" bestFit="1" customWidth="1"/>
    <col min="13577" max="13577" width="12" customWidth="1"/>
    <col min="13578" max="13578" width="9" bestFit="1" customWidth="1"/>
    <col min="13579" max="13579" width="11.25" customWidth="1"/>
    <col min="13580" max="13580" width="9" bestFit="1" customWidth="1"/>
    <col min="13581" max="13581" width="12" customWidth="1"/>
    <col min="13582" max="13585" width="9" bestFit="1" customWidth="1"/>
    <col min="13586" max="13586" width="13.125" customWidth="1"/>
    <col min="13587" max="13588" width="9" bestFit="1" customWidth="1"/>
    <col min="13589" max="13589" width="9.625" customWidth="1"/>
    <col min="13590" max="13600" width="9" bestFit="1" customWidth="1"/>
    <col min="13825" max="13826" width="9" bestFit="1" customWidth="1"/>
    <col min="13827" max="13827" width="15.375" customWidth="1"/>
    <col min="13828" max="13828" width="9" bestFit="1" customWidth="1"/>
    <col min="13829" max="13829" width="10.75" customWidth="1"/>
    <col min="13830" max="13830" width="9" bestFit="1" customWidth="1"/>
    <col min="13831" max="13831" width="11.25" customWidth="1"/>
    <col min="13832" max="13832" width="9" bestFit="1" customWidth="1"/>
    <col min="13833" max="13833" width="12" customWidth="1"/>
    <col min="13834" max="13834" width="9" bestFit="1" customWidth="1"/>
    <col min="13835" max="13835" width="11.25" customWidth="1"/>
    <col min="13836" max="13836" width="9" bestFit="1" customWidth="1"/>
    <col min="13837" max="13837" width="12" customWidth="1"/>
    <col min="13838" max="13841" width="9" bestFit="1" customWidth="1"/>
    <col min="13842" max="13842" width="13.125" customWidth="1"/>
    <col min="13843" max="13844" width="9" bestFit="1" customWidth="1"/>
    <col min="13845" max="13845" width="9.625" customWidth="1"/>
    <col min="13846" max="13856" width="9" bestFit="1" customWidth="1"/>
    <col min="14081" max="14082" width="9" bestFit="1" customWidth="1"/>
    <col min="14083" max="14083" width="15.375" customWidth="1"/>
    <col min="14084" max="14084" width="9" bestFit="1" customWidth="1"/>
    <col min="14085" max="14085" width="10.75" customWidth="1"/>
    <col min="14086" max="14086" width="9" bestFit="1" customWidth="1"/>
    <col min="14087" max="14087" width="11.25" customWidth="1"/>
    <col min="14088" max="14088" width="9" bestFit="1" customWidth="1"/>
    <col min="14089" max="14089" width="12" customWidth="1"/>
    <col min="14090" max="14090" width="9" bestFit="1" customWidth="1"/>
    <col min="14091" max="14091" width="11.25" customWidth="1"/>
    <col min="14092" max="14092" width="9" bestFit="1" customWidth="1"/>
    <col min="14093" max="14093" width="12" customWidth="1"/>
    <col min="14094" max="14097" width="9" bestFit="1" customWidth="1"/>
    <col min="14098" max="14098" width="13.125" customWidth="1"/>
    <col min="14099" max="14100" width="9" bestFit="1" customWidth="1"/>
    <col min="14101" max="14101" width="9.625" customWidth="1"/>
    <col min="14102" max="14112" width="9" bestFit="1" customWidth="1"/>
    <col min="14337" max="14338" width="9" bestFit="1" customWidth="1"/>
    <col min="14339" max="14339" width="15.375" customWidth="1"/>
    <col min="14340" max="14340" width="9" bestFit="1" customWidth="1"/>
    <col min="14341" max="14341" width="10.75" customWidth="1"/>
    <col min="14342" max="14342" width="9" bestFit="1" customWidth="1"/>
    <col min="14343" max="14343" width="11.25" customWidth="1"/>
    <col min="14344" max="14344" width="9" bestFit="1" customWidth="1"/>
    <col min="14345" max="14345" width="12" customWidth="1"/>
    <col min="14346" max="14346" width="9" bestFit="1" customWidth="1"/>
    <col min="14347" max="14347" width="11.25" customWidth="1"/>
    <col min="14348" max="14348" width="9" bestFit="1" customWidth="1"/>
    <col min="14349" max="14349" width="12" customWidth="1"/>
    <col min="14350" max="14353" width="9" bestFit="1" customWidth="1"/>
    <col min="14354" max="14354" width="13.125" customWidth="1"/>
    <col min="14355" max="14356" width="9" bestFit="1" customWidth="1"/>
    <col min="14357" max="14357" width="9.625" customWidth="1"/>
    <col min="14358" max="14368" width="9" bestFit="1" customWidth="1"/>
    <col min="14593" max="14594" width="9" bestFit="1" customWidth="1"/>
    <col min="14595" max="14595" width="15.375" customWidth="1"/>
    <col min="14596" max="14596" width="9" bestFit="1" customWidth="1"/>
    <col min="14597" max="14597" width="10.75" customWidth="1"/>
    <col min="14598" max="14598" width="9" bestFit="1" customWidth="1"/>
    <col min="14599" max="14599" width="11.25" customWidth="1"/>
    <col min="14600" max="14600" width="9" bestFit="1" customWidth="1"/>
    <col min="14601" max="14601" width="12" customWidth="1"/>
    <col min="14602" max="14602" width="9" bestFit="1" customWidth="1"/>
    <col min="14603" max="14603" width="11.25" customWidth="1"/>
    <col min="14604" max="14604" width="9" bestFit="1" customWidth="1"/>
    <col min="14605" max="14605" width="12" customWidth="1"/>
    <col min="14606" max="14609" width="9" bestFit="1" customWidth="1"/>
    <col min="14610" max="14610" width="13.125" customWidth="1"/>
    <col min="14611" max="14612" width="9" bestFit="1" customWidth="1"/>
    <col min="14613" max="14613" width="9.625" customWidth="1"/>
    <col min="14614" max="14624" width="9" bestFit="1" customWidth="1"/>
    <col min="14849" max="14850" width="9" bestFit="1" customWidth="1"/>
    <col min="14851" max="14851" width="15.375" customWidth="1"/>
    <col min="14852" max="14852" width="9" bestFit="1" customWidth="1"/>
    <col min="14853" max="14853" width="10.75" customWidth="1"/>
    <col min="14854" max="14854" width="9" bestFit="1" customWidth="1"/>
    <col min="14855" max="14855" width="11.25" customWidth="1"/>
    <col min="14856" max="14856" width="9" bestFit="1" customWidth="1"/>
    <col min="14857" max="14857" width="12" customWidth="1"/>
    <col min="14858" max="14858" width="9" bestFit="1" customWidth="1"/>
    <col min="14859" max="14859" width="11.25" customWidth="1"/>
    <col min="14860" max="14860" width="9" bestFit="1" customWidth="1"/>
    <col min="14861" max="14861" width="12" customWidth="1"/>
    <col min="14862" max="14865" width="9" bestFit="1" customWidth="1"/>
    <col min="14866" max="14866" width="13.125" customWidth="1"/>
    <col min="14867" max="14868" width="9" bestFit="1" customWidth="1"/>
    <col min="14869" max="14869" width="9.625" customWidth="1"/>
    <col min="14870" max="14880" width="9" bestFit="1" customWidth="1"/>
    <col min="15105" max="15106" width="9" bestFit="1" customWidth="1"/>
    <col min="15107" max="15107" width="15.375" customWidth="1"/>
    <col min="15108" max="15108" width="9" bestFit="1" customWidth="1"/>
    <col min="15109" max="15109" width="10.75" customWidth="1"/>
    <col min="15110" max="15110" width="9" bestFit="1" customWidth="1"/>
    <col min="15111" max="15111" width="11.25" customWidth="1"/>
    <col min="15112" max="15112" width="9" bestFit="1" customWidth="1"/>
    <col min="15113" max="15113" width="12" customWidth="1"/>
    <col min="15114" max="15114" width="9" bestFit="1" customWidth="1"/>
    <col min="15115" max="15115" width="11.25" customWidth="1"/>
    <col min="15116" max="15116" width="9" bestFit="1" customWidth="1"/>
    <col min="15117" max="15117" width="12" customWidth="1"/>
    <col min="15118" max="15121" width="9" bestFit="1" customWidth="1"/>
    <col min="15122" max="15122" width="13.125" customWidth="1"/>
    <col min="15123" max="15124" width="9" bestFit="1" customWidth="1"/>
    <col min="15125" max="15125" width="9.625" customWidth="1"/>
    <col min="15126" max="15136" width="9" bestFit="1" customWidth="1"/>
    <col min="15361" max="15362" width="9" bestFit="1" customWidth="1"/>
    <col min="15363" max="15363" width="15.375" customWidth="1"/>
    <col min="15364" max="15364" width="9" bestFit="1" customWidth="1"/>
    <col min="15365" max="15365" width="10.75" customWidth="1"/>
    <col min="15366" max="15366" width="9" bestFit="1" customWidth="1"/>
    <col min="15367" max="15367" width="11.25" customWidth="1"/>
    <col min="15368" max="15368" width="9" bestFit="1" customWidth="1"/>
    <col min="15369" max="15369" width="12" customWidth="1"/>
    <col min="15370" max="15370" width="9" bestFit="1" customWidth="1"/>
    <col min="15371" max="15371" width="11.25" customWidth="1"/>
    <col min="15372" max="15372" width="9" bestFit="1" customWidth="1"/>
    <col min="15373" max="15373" width="12" customWidth="1"/>
    <col min="15374" max="15377" width="9" bestFit="1" customWidth="1"/>
    <col min="15378" max="15378" width="13.125" customWidth="1"/>
    <col min="15379" max="15380" width="9" bestFit="1" customWidth="1"/>
    <col min="15381" max="15381" width="9.625" customWidth="1"/>
    <col min="15382" max="15392" width="9" bestFit="1" customWidth="1"/>
    <col min="15617" max="15618" width="9" bestFit="1" customWidth="1"/>
    <col min="15619" max="15619" width="15.375" customWidth="1"/>
    <col min="15620" max="15620" width="9" bestFit="1" customWidth="1"/>
    <col min="15621" max="15621" width="10.75" customWidth="1"/>
    <col min="15622" max="15622" width="9" bestFit="1" customWidth="1"/>
    <col min="15623" max="15623" width="11.25" customWidth="1"/>
    <col min="15624" max="15624" width="9" bestFit="1" customWidth="1"/>
    <col min="15625" max="15625" width="12" customWidth="1"/>
    <col min="15626" max="15626" width="9" bestFit="1" customWidth="1"/>
    <col min="15627" max="15627" width="11.25" customWidth="1"/>
    <col min="15628" max="15628" width="9" bestFit="1" customWidth="1"/>
    <col min="15629" max="15629" width="12" customWidth="1"/>
    <col min="15630" max="15633" width="9" bestFit="1" customWidth="1"/>
    <col min="15634" max="15634" width="13.125" customWidth="1"/>
    <col min="15635" max="15636" width="9" bestFit="1" customWidth="1"/>
    <col min="15637" max="15637" width="9.625" customWidth="1"/>
    <col min="15638" max="15648" width="9" bestFit="1" customWidth="1"/>
    <col min="15873" max="15874" width="9" bestFit="1" customWidth="1"/>
    <col min="15875" max="15875" width="15.375" customWidth="1"/>
    <col min="15876" max="15876" width="9" bestFit="1" customWidth="1"/>
    <col min="15877" max="15877" width="10.75" customWidth="1"/>
    <col min="15878" max="15878" width="9" bestFit="1" customWidth="1"/>
    <col min="15879" max="15879" width="11.25" customWidth="1"/>
    <col min="15880" max="15880" width="9" bestFit="1" customWidth="1"/>
    <col min="15881" max="15881" width="12" customWidth="1"/>
    <col min="15882" max="15882" width="9" bestFit="1" customWidth="1"/>
    <col min="15883" max="15883" width="11.25" customWidth="1"/>
    <col min="15884" max="15884" width="9" bestFit="1" customWidth="1"/>
    <col min="15885" max="15885" width="12" customWidth="1"/>
    <col min="15886" max="15889" width="9" bestFit="1" customWidth="1"/>
    <col min="15890" max="15890" width="13.125" customWidth="1"/>
    <col min="15891" max="15892" width="9" bestFit="1" customWidth="1"/>
    <col min="15893" max="15893" width="9.625" customWidth="1"/>
    <col min="15894" max="15904" width="9" bestFit="1" customWidth="1"/>
    <col min="16129" max="16130" width="9" bestFit="1" customWidth="1"/>
    <col min="16131" max="16131" width="15.375" customWidth="1"/>
    <col min="16132" max="16132" width="9" bestFit="1" customWidth="1"/>
    <col min="16133" max="16133" width="10.75" customWidth="1"/>
    <col min="16134" max="16134" width="9" bestFit="1" customWidth="1"/>
    <col min="16135" max="16135" width="11.25" customWidth="1"/>
    <col min="16136" max="16136" width="9" bestFit="1" customWidth="1"/>
    <col min="16137" max="16137" width="12" customWidth="1"/>
    <col min="16138" max="16138" width="9" bestFit="1" customWidth="1"/>
    <col min="16139" max="16139" width="11.25" customWidth="1"/>
    <col min="16140" max="16140" width="9" bestFit="1" customWidth="1"/>
    <col min="16141" max="16141" width="12" customWidth="1"/>
    <col min="16142" max="16145" width="9" bestFit="1" customWidth="1"/>
    <col min="16146" max="16146" width="13.125" customWidth="1"/>
    <col min="16147" max="16148" width="9" bestFit="1" customWidth="1"/>
    <col min="16149" max="16149" width="9.625" customWidth="1"/>
    <col min="16150" max="16160" width="9" bestFit="1" customWidth="1"/>
  </cols>
  <sheetData>
    <row r="1" spans="1:22">
      <c r="A1" s="3843" t="s">
        <v>3175</v>
      </c>
      <c r="B1" s="3843"/>
      <c r="C1" s="3843"/>
      <c r="D1" s="3843"/>
      <c r="E1" s="3843"/>
      <c r="F1" s="3843"/>
      <c r="G1" s="3843"/>
      <c r="H1" s="3843"/>
      <c r="I1" s="3843"/>
      <c r="J1" s="3843"/>
    </row>
    <row r="2" spans="1:22">
      <c r="A2" s="3466"/>
      <c r="B2" s="3466"/>
      <c r="C2" s="3466"/>
      <c r="D2" s="3466"/>
      <c r="E2" s="3466"/>
      <c r="F2" s="3466"/>
      <c r="G2" s="3466"/>
      <c r="H2" s="3466"/>
      <c r="I2" s="3466"/>
      <c r="J2" s="3466"/>
      <c r="K2" s="3466"/>
      <c r="L2" s="3466"/>
      <c r="M2" s="3466"/>
      <c r="N2" s="3466"/>
    </row>
    <row r="3" spans="1:22" ht="15">
      <c r="A3" s="3829" t="s">
        <v>2338</v>
      </c>
      <c r="B3" s="3829"/>
      <c r="C3" s="3830" t="s">
        <v>3176</v>
      </c>
      <c r="D3" s="3830"/>
      <c r="E3" s="3830" t="s">
        <v>3177</v>
      </c>
      <c r="F3" s="3830"/>
      <c r="G3" s="3830" t="s">
        <v>3178</v>
      </c>
      <c r="H3" s="3830"/>
      <c r="I3" s="3830" t="s">
        <v>3179</v>
      </c>
      <c r="J3" s="3830"/>
      <c r="K3" s="3830" t="s">
        <v>3180</v>
      </c>
      <c r="L3" s="3830"/>
      <c r="M3" s="3830" t="s">
        <v>3181</v>
      </c>
      <c r="N3" s="3830"/>
      <c r="P3" s="3467"/>
      <c r="Q3" s="3467"/>
      <c r="R3" s="3467"/>
      <c r="S3" s="3467"/>
      <c r="T3" s="3468"/>
      <c r="U3" s="3469"/>
      <c r="V3" s="3467"/>
    </row>
    <row r="4" spans="1:22" ht="48.75" customHeight="1">
      <c r="A4" s="3829" t="s">
        <v>3156</v>
      </c>
      <c r="B4" s="3829"/>
      <c r="C4" s="3842"/>
      <c r="D4" s="3838"/>
      <c r="E4" s="3837" t="str">
        <f>土地案例!G4</f>
        <v>顺义新城项目用地一级开发项目SY00-0013-6028、6032等地块、SY00-0013-6039、6040等地块</v>
      </c>
      <c r="F4" s="3838"/>
      <c r="G4" s="3837" t="str">
        <f>土地案例!G5</f>
        <v>顺义区M15号线新国展北站土地一级开发项目01-1地块</v>
      </c>
      <c r="H4" s="3838"/>
      <c r="I4" s="3837" t="str">
        <f>[3]土地案例!F14</f>
        <v>顺义区国际鲜花港土地一级开发项目A-01地块</v>
      </c>
      <c r="J4" s="3838"/>
      <c r="K4" s="3837" t="str">
        <f>[3]土地案例!F19</f>
        <v>顺义卫星城牛栏山组团东南部土地一级开发项目SY00-0017-6001、1103、1202等地块</v>
      </c>
      <c r="L4" s="3838"/>
      <c r="M4" s="3837" t="str">
        <f>土地案例!G6</f>
        <v>顺义区国展预留地剩余地块土地一级开发项目SY00-0022-6005-1、SY00-0023-6002地块</v>
      </c>
      <c r="N4" s="3838"/>
      <c r="P4" s="3470"/>
      <c r="Q4" s="3467"/>
      <c r="R4" s="3470"/>
      <c r="S4" s="3467"/>
      <c r="T4" s="3468"/>
      <c r="U4" s="3469"/>
      <c r="V4" s="3469"/>
    </row>
    <row r="5" spans="1:22" ht="10.5" customHeight="1">
      <c r="A5" s="3829" t="s">
        <v>3182</v>
      </c>
      <c r="B5" s="3829"/>
      <c r="C5" s="3839" t="s">
        <v>3183</v>
      </c>
      <c r="D5" s="3838"/>
      <c r="E5" s="3840"/>
      <c r="F5" s="3841"/>
      <c r="G5" s="3840"/>
      <c r="H5" s="3841"/>
      <c r="I5" s="3842">
        <f>[4]毛纺厂西数据!H6</f>
        <v>110.5</v>
      </c>
      <c r="J5" s="3838"/>
      <c r="K5" s="3842">
        <f>[4]专家国际花园数据!H6</f>
        <v>102</v>
      </c>
      <c r="L5" s="3838"/>
      <c r="M5" s="3840"/>
      <c r="N5" s="3841"/>
      <c r="P5" s="3471"/>
      <c r="Q5" s="3472"/>
      <c r="R5" s="3473"/>
      <c r="S5" s="3472"/>
      <c r="T5" s="3468"/>
      <c r="U5" s="3469"/>
      <c r="V5" s="3469"/>
    </row>
    <row r="6" spans="1:22" ht="15">
      <c r="A6" s="3829" t="s">
        <v>3184</v>
      </c>
      <c r="B6" s="3829"/>
      <c r="C6" s="3474">
        <v>44623</v>
      </c>
      <c r="D6" s="3475">
        <v>100</v>
      </c>
      <c r="E6" s="3476" t="s">
        <v>3258</v>
      </c>
      <c r="F6" s="3475">
        <f>ROUND(S30,2)</f>
        <v>98.77</v>
      </c>
      <c r="G6" s="3476" t="s">
        <v>3259</v>
      </c>
      <c r="H6" s="3475">
        <f>ROUND(S26,2)</f>
        <v>99.53</v>
      </c>
      <c r="I6" s="3476" t="s">
        <v>3185</v>
      </c>
      <c r="J6" s="3475">
        <f>T38</f>
        <v>98.3</v>
      </c>
      <c r="K6" s="3476" t="s">
        <v>3186</v>
      </c>
      <c r="L6" s="3475">
        <f>T37</f>
        <v>98.3</v>
      </c>
      <c r="M6" s="3476" t="s">
        <v>3259</v>
      </c>
      <c r="N6" s="3475">
        <f>H6</f>
        <v>99.53</v>
      </c>
      <c r="P6" s="3477"/>
      <c r="Q6" s="3472"/>
      <c r="R6" s="3473"/>
      <c r="S6" s="3472"/>
      <c r="T6" s="3468"/>
      <c r="U6" s="3469"/>
      <c r="V6" s="3469"/>
    </row>
    <row r="7" spans="1:22" ht="15">
      <c r="A7" s="3829" t="s">
        <v>3187</v>
      </c>
      <c r="B7" s="3829"/>
      <c r="C7" s="3478" t="s">
        <v>3188</v>
      </c>
      <c r="D7" s="3479">
        <v>100</v>
      </c>
      <c r="E7" s="3478" t="s">
        <v>3188</v>
      </c>
      <c r="F7" s="3479">
        <v>100</v>
      </c>
      <c r="G7" s="3478" t="s">
        <v>3188</v>
      </c>
      <c r="H7" s="3479">
        <f>IF(G7=C7,100,"请调整")</f>
        <v>100</v>
      </c>
      <c r="I7" s="3478" t="s">
        <v>3188</v>
      </c>
      <c r="J7" s="3479">
        <f>IF(I7=C7,100,"请调整")</f>
        <v>100</v>
      </c>
      <c r="K7" s="3478" t="s">
        <v>3188</v>
      </c>
      <c r="L7" s="3479">
        <f>IF(K7=G7,100,"请调整")</f>
        <v>100</v>
      </c>
      <c r="M7" s="3478" t="s">
        <v>3188</v>
      </c>
      <c r="N7" s="3479">
        <f>IF(M7=G7,100,"请调整")</f>
        <v>100</v>
      </c>
      <c r="P7" s="3477"/>
      <c r="Q7" s="3472"/>
      <c r="R7" s="3473"/>
      <c r="S7" s="3472"/>
      <c r="T7" s="3468"/>
      <c r="U7" s="3469"/>
      <c r="V7" s="3469"/>
    </row>
    <row r="8" spans="1:22" ht="24">
      <c r="A8" s="3831" t="s">
        <v>3189</v>
      </c>
      <c r="B8" s="3480" t="s">
        <v>1630</v>
      </c>
      <c r="C8" s="3478" t="s">
        <v>3190</v>
      </c>
      <c r="D8" s="3478">
        <v>100</v>
      </c>
      <c r="E8" s="3481" t="s">
        <v>3191</v>
      </c>
      <c r="F8" s="3481">
        <v>105</v>
      </c>
      <c r="G8" s="3499" t="s">
        <v>3260</v>
      </c>
      <c r="H8" s="3481">
        <f>F8</f>
        <v>105</v>
      </c>
      <c r="I8" s="3478" t="s">
        <v>3191</v>
      </c>
      <c r="J8" s="3478">
        <f>H8</f>
        <v>105</v>
      </c>
      <c r="K8" s="3478" t="s">
        <v>3191</v>
      </c>
      <c r="L8" s="3478">
        <f>J8</f>
        <v>105</v>
      </c>
      <c r="M8" s="3499" t="s">
        <v>3260</v>
      </c>
      <c r="N8" s="3481">
        <f>H8</f>
        <v>105</v>
      </c>
      <c r="P8" s="3477"/>
      <c r="Q8" s="3472"/>
      <c r="R8" s="3482"/>
      <c r="S8" s="3472"/>
      <c r="T8" s="3468"/>
      <c r="U8" s="3469"/>
      <c r="V8" s="3469"/>
    </row>
    <row r="9" spans="1:22" ht="24">
      <c r="A9" s="3832"/>
      <c r="B9" s="3480" t="s">
        <v>3261</v>
      </c>
      <c r="C9" s="3478" t="s">
        <v>3190</v>
      </c>
      <c r="D9" s="3478">
        <v>100</v>
      </c>
      <c r="E9" s="3478" t="s">
        <v>3190</v>
      </c>
      <c r="F9" s="3478">
        <v>100</v>
      </c>
      <c r="G9" s="3478" t="s">
        <v>3190</v>
      </c>
      <c r="H9" s="3478">
        <v>100</v>
      </c>
      <c r="I9" s="3478" t="s">
        <v>3190</v>
      </c>
      <c r="J9" s="3478">
        <v>100</v>
      </c>
      <c r="K9" s="3478" t="s">
        <v>3190</v>
      </c>
      <c r="L9" s="3478">
        <v>100</v>
      </c>
      <c r="M9" s="3478" t="s">
        <v>3190</v>
      </c>
      <c r="N9" s="3479">
        <v>100</v>
      </c>
      <c r="P9" s="3477"/>
      <c r="Q9" s="3472"/>
      <c r="R9" s="3482"/>
      <c r="S9" s="3472"/>
      <c r="T9" s="3468"/>
      <c r="U9" s="3469"/>
      <c r="V9" s="3469"/>
    </row>
    <row r="10" spans="1:22" ht="24">
      <c r="A10" s="3832"/>
      <c r="B10" s="3480" t="s">
        <v>3192</v>
      </c>
      <c r="C10" s="3478" t="s">
        <v>3193</v>
      </c>
      <c r="D10" s="3478">
        <v>100</v>
      </c>
      <c r="E10" s="3478" t="s">
        <v>3193</v>
      </c>
      <c r="F10" s="3478">
        <v>100</v>
      </c>
      <c r="G10" s="3478" t="s">
        <v>3193</v>
      </c>
      <c r="H10" s="3478">
        <v>100</v>
      </c>
      <c r="I10" s="3478" t="s">
        <v>3195</v>
      </c>
      <c r="J10" s="3478">
        <v>115</v>
      </c>
      <c r="K10" s="3478" t="s">
        <v>3195</v>
      </c>
      <c r="L10" s="3478">
        <v>115</v>
      </c>
      <c r="M10" s="3478" t="s">
        <v>3193</v>
      </c>
      <c r="N10" s="3478">
        <v>100</v>
      </c>
      <c r="P10" s="3472"/>
      <c r="Q10" s="3472"/>
      <c r="R10" s="3472"/>
      <c r="S10" s="3472"/>
      <c r="T10" s="3468"/>
      <c r="U10" s="3469"/>
      <c r="V10" s="3469"/>
    </row>
    <row r="11" spans="1:22" ht="36">
      <c r="A11" s="3832"/>
      <c r="B11" s="3484" t="s">
        <v>3196</v>
      </c>
      <c r="C11" s="3480" t="s">
        <v>3197</v>
      </c>
      <c r="D11" s="3478">
        <v>100</v>
      </c>
      <c r="E11" s="3481" t="s">
        <v>3198</v>
      </c>
      <c r="F11" s="3481">
        <v>110</v>
      </c>
      <c r="G11" s="3481" t="s">
        <v>3198</v>
      </c>
      <c r="H11" s="3481">
        <f>F11</f>
        <v>110</v>
      </c>
      <c r="I11" s="3481" t="s">
        <v>3198</v>
      </c>
      <c r="J11" s="3481">
        <f>H11</f>
        <v>110</v>
      </c>
      <c r="K11" s="3481" t="s">
        <v>3198</v>
      </c>
      <c r="L11" s="3481">
        <f>J11</f>
        <v>110</v>
      </c>
      <c r="M11" s="3481" t="str">
        <f>G11</f>
        <v>公用服务设施较好，较能满足需要</v>
      </c>
      <c r="N11" s="3485">
        <f>H11</f>
        <v>110</v>
      </c>
      <c r="P11" s="3486" t="s">
        <v>3199</v>
      </c>
      <c r="Q11" s="3472"/>
      <c r="R11" s="3473"/>
      <c r="S11" s="3472"/>
      <c r="T11" s="3468"/>
      <c r="U11" s="3469"/>
      <c r="V11" s="3469"/>
    </row>
    <row r="12" spans="1:22" ht="31.5" hidden="1" customHeight="1">
      <c r="A12" s="3832"/>
      <c r="B12" s="3480" t="s">
        <v>3192</v>
      </c>
      <c r="C12" s="3478" t="s">
        <v>3193</v>
      </c>
      <c r="D12" s="3479">
        <v>100</v>
      </c>
      <c r="E12" s="3478" t="s">
        <v>3194</v>
      </c>
      <c r="F12" s="3479">
        <v>100</v>
      </c>
      <c r="G12" s="3478" t="s">
        <v>3193</v>
      </c>
      <c r="H12" s="3479">
        <v>100</v>
      </c>
      <c r="I12" s="3478" t="s">
        <v>3195</v>
      </c>
      <c r="J12" s="3479">
        <v>100</v>
      </c>
      <c r="K12" s="3478" t="s">
        <v>3195</v>
      </c>
      <c r="L12" s="3478">
        <v>100</v>
      </c>
      <c r="M12" s="3478" t="s">
        <v>3193</v>
      </c>
      <c r="N12" s="3479">
        <v>100</v>
      </c>
      <c r="P12" s="3486"/>
    </row>
    <row r="13" spans="1:22" ht="24">
      <c r="A13" s="3833"/>
      <c r="B13" s="3480" t="s">
        <v>3200</v>
      </c>
      <c r="C13" s="3478" t="s">
        <v>3191</v>
      </c>
      <c r="D13" s="3479">
        <v>100</v>
      </c>
      <c r="E13" s="3478" t="s">
        <v>3191</v>
      </c>
      <c r="F13" s="3479">
        <v>100</v>
      </c>
      <c r="G13" s="3478" t="s">
        <v>3191</v>
      </c>
      <c r="H13" s="3479">
        <v>100</v>
      </c>
      <c r="I13" s="3478" t="s">
        <v>3191</v>
      </c>
      <c r="J13" s="3479">
        <v>100</v>
      </c>
      <c r="K13" s="3478" t="s">
        <v>3191</v>
      </c>
      <c r="L13" s="3478">
        <v>100</v>
      </c>
      <c r="M13" s="3478" t="s">
        <v>3191</v>
      </c>
      <c r="N13" s="3479">
        <v>100</v>
      </c>
      <c r="P13" s="3486" t="s">
        <v>3201</v>
      </c>
      <c r="Q13" s="3487">
        <v>4.7999999999999996E-3</v>
      </c>
      <c r="R13" s="3487">
        <f>1+Q13</f>
        <v>1.0047999999999999</v>
      </c>
      <c r="S13">
        <f>100/R13</f>
        <v>99.522292993630586</v>
      </c>
    </row>
    <row r="14" spans="1:22">
      <c r="A14" s="3834" t="s">
        <v>3202</v>
      </c>
      <c r="B14" s="3484" t="s">
        <v>3203</v>
      </c>
      <c r="C14" s="3478" t="s">
        <v>3204</v>
      </c>
      <c r="D14" s="3479">
        <v>100</v>
      </c>
      <c r="E14" s="3478" t="s">
        <v>3205</v>
      </c>
      <c r="F14" s="3479">
        <v>120</v>
      </c>
      <c r="G14" s="3478" t="s">
        <v>3205</v>
      </c>
      <c r="H14" s="3479">
        <f>F14</f>
        <v>120</v>
      </c>
      <c r="I14" s="3478" t="s">
        <v>3205</v>
      </c>
      <c r="J14" s="3479">
        <f>H14</f>
        <v>120</v>
      </c>
      <c r="K14" s="3478" t="s">
        <v>3205</v>
      </c>
      <c r="L14" s="3479">
        <f>J14</f>
        <v>120</v>
      </c>
      <c r="M14" s="3478" t="s">
        <v>3205</v>
      </c>
      <c r="N14" s="3479">
        <f>L14</f>
        <v>120</v>
      </c>
      <c r="P14" s="3486" t="s">
        <v>3206</v>
      </c>
      <c r="Q14" s="3487">
        <v>1.01E-2</v>
      </c>
      <c r="R14" s="3487">
        <f>Q14+1</f>
        <v>1.0101</v>
      </c>
      <c r="S14">
        <f t="shared" ref="S14:S15" si="0">100/R14</f>
        <v>99.000099000098999</v>
      </c>
    </row>
    <row r="15" spans="1:22" ht="24" customHeight="1">
      <c r="A15" s="3835"/>
      <c r="B15" s="3484" t="s">
        <v>3207</v>
      </c>
      <c r="C15" s="3478" t="s">
        <v>3208</v>
      </c>
      <c r="D15" s="3479">
        <v>100</v>
      </c>
      <c r="E15" s="3483" t="str">
        <f>土地案例!I4</f>
        <v>六通</v>
      </c>
      <c r="F15" s="3488">
        <v>102</v>
      </c>
      <c r="G15" s="3483" t="str">
        <f>土地案例!I5</f>
        <v>五通</v>
      </c>
      <c r="H15" s="3488">
        <v>100</v>
      </c>
      <c r="I15" s="3478" t="s">
        <v>3209</v>
      </c>
      <c r="J15" s="3479">
        <f>F15</f>
        <v>102</v>
      </c>
      <c r="K15" s="3478" t="s">
        <v>3209</v>
      </c>
      <c r="L15" s="3479">
        <f>F15</f>
        <v>102</v>
      </c>
      <c r="M15" s="3483" t="str">
        <f>土地案例!I6</f>
        <v>临时三通</v>
      </c>
      <c r="N15" s="3488">
        <v>96</v>
      </c>
      <c r="P15" s="3486" t="s">
        <v>3210</v>
      </c>
      <c r="Q15" s="3487">
        <v>3.5999999999999999E-3</v>
      </c>
      <c r="R15" s="3487">
        <f>1+Q15</f>
        <v>1.0036</v>
      </c>
      <c r="S15">
        <f t="shared" si="0"/>
        <v>99.641291351135905</v>
      </c>
    </row>
    <row r="16" spans="1:22">
      <c r="A16" s="3835"/>
      <c r="B16" s="3484" t="s">
        <v>3211</v>
      </c>
      <c r="C16" s="3478" t="s">
        <v>3212</v>
      </c>
      <c r="D16" s="3479">
        <v>100</v>
      </c>
      <c r="E16" s="3478" t="s">
        <v>3212</v>
      </c>
      <c r="F16" s="3485">
        <v>100</v>
      </c>
      <c r="G16" s="3478" t="s">
        <v>3212</v>
      </c>
      <c r="H16" s="3485">
        <f>F16</f>
        <v>100</v>
      </c>
      <c r="I16" s="3478" t="s">
        <v>3212</v>
      </c>
      <c r="J16" s="3479">
        <f>H16</f>
        <v>100</v>
      </c>
      <c r="K16" s="3478" t="s">
        <v>3212</v>
      </c>
      <c r="L16" s="3479">
        <f>J16</f>
        <v>100</v>
      </c>
      <c r="M16" s="3478" t="s">
        <v>3212</v>
      </c>
      <c r="N16" s="3485">
        <f>L16</f>
        <v>100</v>
      </c>
      <c r="P16" s="3489" t="s">
        <v>3213</v>
      </c>
      <c r="Q16" s="3490"/>
      <c r="R16" s="3490"/>
      <c r="S16" s="3489" t="s">
        <v>3214</v>
      </c>
      <c r="T16" s="3490"/>
    </row>
    <row r="17" spans="1:20" ht="24">
      <c r="A17" s="3836"/>
      <c r="B17" s="3484" t="s">
        <v>3215</v>
      </c>
      <c r="C17" s="3478">
        <f>'数据-基础表'!A3/10000</f>
        <v>1.8388799999999998</v>
      </c>
      <c r="D17" s="3479">
        <v>100</v>
      </c>
      <c r="E17" s="3478">
        <f>土地案例!K4</f>
        <v>19.48</v>
      </c>
      <c r="F17" s="3485">
        <v>104</v>
      </c>
      <c r="G17" s="3478">
        <f>土地案例!K5</f>
        <v>54.78</v>
      </c>
      <c r="H17" s="3485">
        <v>110</v>
      </c>
      <c r="I17" s="3478">
        <v>19.989999999999998</v>
      </c>
      <c r="J17" s="3479">
        <v>98</v>
      </c>
      <c r="K17" s="3478">
        <v>132.25</v>
      </c>
      <c r="L17" s="3479">
        <v>104</v>
      </c>
      <c r="M17" s="3478">
        <f>土地案例!J6</f>
        <v>9.07</v>
      </c>
      <c r="N17" s="3485">
        <v>102</v>
      </c>
      <c r="P17" s="3486" t="s">
        <v>3216</v>
      </c>
      <c r="Q17" s="3491">
        <f>[5]地价!Q10</f>
        <v>2.69E-2</v>
      </c>
      <c r="R17" s="3491">
        <f>1+Q17</f>
        <v>1.0268999999999999</v>
      </c>
      <c r="S17" s="3492">
        <f>100/R17</f>
        <v>97.380465478624998</v>
      </c>
      <c r="T17" s="3490"/>
    </row>
    <row r="18" spans="1:20" ht="36" hidden="1">
      <c r="A18" s="3831" t="s">
        <v>3217</v>
      </c>
      <c r="B18" s="3480" t="s">
        <v>3218</v>
      </c>
      <c r="C18" s="3478" t="s">
        <v>3219</v>
      </c>
      <c r="D18" s="3479">
        <v>100</v>
      </c>
      <c r="E18" s="3478" t="s">
        <v>3219</v>
      </c>
      <c r="F18" s="3479">
        <v>100</v>
      </c>
      <c r="G18" s="3478" t="s">
        <v>3219</v>
      </c>
      <c r="H18" s="3479">
        <v>100</v>
      </c>
      <c r="I18" s="3478" t="s">
        <v>3219</v>
      </c>
      <c r="J18" s="3479">
        <v>100</v>
      </c>
      <c r="K18" s="3478" t="s">
        <v>3219</v>
      </c>
      <c r="L18" s="3479">
        <v>100</v>
      </c>
      <c r="M18" s="3478" t="s">
        <v>3219</v>
      </c>
      <c r="N18" s="3479">
        <v>100</v>
      </c>
      <c r="P18" s="3493"/>
      <c r="Q18" s="3494">
        <f>[5]地价!Q11</f>
        <v>7.000000000000001E-4</v>
      </c>
      <c r="R18" s="3494">
        <f t="shared" ref="R18:R39" si="1">1+Q18</f>
        <v>1.0006999999999999</v>
      </c>
      <c r="S18" s="3490">
        <f t="shared" ref="S18:S39" si="2">100/R18</f>
        <v>99.930048965723998</v>
      </c>
      <c r="T18" s="3490"/>
    </row>
    <row r="19" spans="1:20" ht="24" hidden="1">
      <c r="A19" s="3832"/>
      <c r="B19" s="3480" t="s">
        <v>3220</v>
      </c>
      <c r="C19" s="3495" t="s">
        <v>3221</v>
      </c>
      <c r="D19" s="3479">
        <v>100</v>
      </c>
      <c r="E19" s="3495" t="s">
        <v>3221</v>
      </c>
      <c r="F19" s="3479">
        <v>100</v>
      </c>
      <c r="G19" s="3495" t="s">
        <v>3221</v>
      </c>
      <c r="H19" s="3479">
        <v>100</v>
      </c>
      <c r="I19" s="3495" t="s">
        <v>3221</v>
      </c>
      <c r="J19" s="3479">
        <v>100</v>
      </c>
      <c r="K19" s="3495" t="s">
        <v>3221</v>
      </c>
      <c r="L19" s="3479">
        <v>100</v>
      </c>
      <c r="M19" s="3495" t="s">
        <v>3221</v>
      </c>
      <c r="N19" s="3479">
        <v>100</v>
      </c>
      <c r="P19" s="3493"/>
      <c r="Q19" s="3494">
        <f>[5]地价!Q12</f>
        <v>4.6999999999999993E-3</v>
      </c>
      <c r="R19" s="3494">
        <f t="shared" si="1"/>
        <v>1.0046999999999999</v>
      </c>
      <c r="S19" s="3490">
        <f t="shared" si="2"/>
        <v>99.532198666268542</v>
      </c>
      <c r="T19" s="3490"/>
    </row>
    <row r="20" spans="1:20" ht="24" hidden="1">
      <c r="A20" s="3832"/>
      <c r="B20" s="3480" t="s">
        <v>3222</v>
      </c>
      <c r="C20" s="3478" t="s">
        <v>3223</v>
      </c>
      <c r="D20" s="3479">
        <v>100</v>
      </c>
      <c r="E20" s="3478" t="s">
        <v>3223</v>
      </c>
      <c r="F20" s="3479">
        <v>100</v>
      </c>
      <c r="G20" s="3478" t="s">
        <v>3223</v>
      </c>
      <c r="H20" s="3479">
        <v>100</v>
      </c>
      <c r="I20" s="3478" t="s">
        <v>3223</v>
      </c>
      <c r="J20" s="3479">
        <v>100</v>
      </c>
      <c r="K20" s="3478" t="s">
        <v>3223</v>
      </c>
      <c r="L20" s="3479">
        <v>100</v>
      </c>
      <c r="M20" s="3478" t="s">
        <v>3223</v>
      </c>
      <c r="N20" s="3479">
        <v>100</v>
      </c>
      <c r="P20" s="3493"/>
      <c r="Q20" s="3494">
        <f>[5]地价!Q13</f>
        <v>2.7000000000000001E-3</v>
      </c>
      <c r="R20" s="3494">
        <f t="shared" si="1"/>
        <v>1.0026999999999999</v>
      </c>
      <c r="S20" s="3490">
        <f t="shared" si="2"/>
        <v>99.730727037000108</v>
      </c>
      <c r="T20" s="3490"/>
    </row>
    <row r="21" spans="1:20" ht="48" hidden="1">
      <c r="A21" s="3832"/>
      <c r="B21" s="3480" t="s">
        <v>3224</v>
      </c>
      <c r="C21" s="3478" t="s">
        <v>3225</v>
      </c>
      <c r="D21" s="3479">
        <v>100</v>
      </c>
      <c r="E21" s="3478" t="s">
        <v>3226</v>
      </c>
      <c r="F21" s="3496">
        <v>100</v>
      </c>
      <c r="G21" s="3478" t="s">
        <v>3226</v>
      </c>
      <c r="H21" s="3496">
        <v>100</v>
      </c>
      <c r="I21" s="3478" t="s">
        <v>3226</v>
      </c>
      <c r="J21" s="3496">
        <v>100</v>
      </c>
      <c r="K21" s="3478" t="s">
        <v>3226</v>
      </c>
      <c r="L21" s="3496">
        <v>100</v>
      </c>
      <c r="M21" s="3478" t="s">
        <v>3226</v>
      </c>
      <c r="N21" s="3496">
        <v>100</v>
      </c>
      <c r="P21" s="3493"/>
      <c r="Q21" s="3494">
        <f>[5]地价!Q14</f>
        <v>4.7999999999999996E-3</v>
      </c>
      <c r="R21" s="3494">
        <f t="shared" si="1"/>
        <v>1.0047999999999999</v>
      </c>
      <c r="S21" s="3490">
        <f t="shared" si="2"/>
        <v>99.522292993630586</v>
      </c>
      <c r="T21" s="3490"/>
    </row>
    <row r="22" spans="1:20" ht="36" hidden="1">
      <c r="A22" s="3832"/>
      <c r="B22" s="3480" t="s">
        <v>3227</v>
      </c>
      <c r="C22" s="3478" t="s">
        <v>3228</v>
      </c>
      <c r="D22" s="3479">
        <v>100</v>
      </c>
      <c r="E22" s="3478" t="s">
        <v>3228</v>
      </c>
      <c r="F22" s="3479">
        <v>100</v>
      </c>
      <c r="G22" s="3478" t="s">
        <v>3228</v>
      </c>
      <c r="H22" s="3479">
        <v>100</v>
      </c>
      <c r="I22" s="3478" t="s">
        <v>3228</v>
      </c>
      <c r="J22" s="3479">
        <v>100</v>
      </c>
      <c r="K22" s="3478" t="s">
        <v>3228</v>
      </c>
      <c r="L22" s="3479">
        <v>100</v>
      </c>
      <c r="M22" s="3478" t="s">
        <v>3228</v>
      </c>
      <c r="N22" s="3479">
        <v>100</v>
      </c>
      <c r="P22" s="3493"/>
      <c r="Q22" s="3494">
        <f>[5]地价!Q15</f>
        <v>1.03E-2</v>
      </c>
      <c r="R22" s="3494">
        <f t="shared" si="1"/>
        <v>1.0103</v>
      </c>
      <c r="S22" s="3490">
        <f t="shared" si="2"/>
        <v>98.980500841334262</v>
      </c>
      <c r="T22" s="3490"/>
    </row>
    <row r="23" spans="1:20" ht="24" hidden="1">
      <c r="A23" s="3832"/>
      <c r="B23" s="3480" t="s">
        <v>3229</v>
      </c>
      <c r="C23" s="3478" t="s">
        <v>3230</v>
      </c>
      <c r="D23" s="3479">
        <v>100</v>
      </c>
      <c r="E23" s="3478" t="s">
        <v>3230</v>
      </c>
      <c r="F23" s="3479">
        <v>100</v>
      </c>
      <c r="G23" s="3478" t="s">
        <v>3230</v>
      </c>
      <c r="H23" s="3479">
        <v>100</v>
      </c>
      <c r="I23" s="3478" t="s">
        <v>3230</v>
      </c>
      <c r="J23" s="3479">
        <v>100</v>
      </c>
      <c r="K23" s="3478" t="s">
        <v>3230</v>
      </c>
      <c r="L23" s="3479">
        <v>100</v>
      </c>
      <c r="M23" s="3478" t="s">
        <v>3230</v>
      </c>
      <c r="N23" s="3479">
        <v>100</v>
      </c>
      <c r="P23" s="3493"/>
      <c r="Q23" s="3494">
        <f>[5]地价!Q16</f>
        <v>1.2500000000000001E-2</v>
      </c>
      <c r="R23" s="3494">
        <f t="shared" si="1"/>
        <v>1.0125</v>
      </c>
      <c r="S23" s="3490">
        <f t="shared" si="2"/>
        <v>98.76543209876543</v>
      </c>
      <c r="T23" s="3490"/>
    </row>
    <row r="24" spans="1:20" ht="36" hidden="1">
      <c r="A24" s="3833"/>
      <c r="B24" s="3480" t="s">
        <v>3231</v>
      </c>
      <c r="C24" s="3478" t="s">
        <v>3232</v>
      </c>
      <c r="D24" s="3479">
        <v>100</v>
      </c>
      <c r="E24" s="3478" t="s">
        <v>3233</v>
      </c>
      <c r="F24" s="3496">
        <v>100</v>
      </c>
      <c r="G24" s="3478" t="s">
        <v>3233</v>
      </c>
      <c r="H24" s="3496">
        <v>100</v>
      </c>
      <c r="I24" s="3478" t="s">
        <v>3233</v>
      </c>
      <c r="J24" s="3496">
        <v>100</v>
      </c>
      <c r="K24" s="3478" t="s">
        <v>3233</v>
      </c>
      <c r="L24" s="3496">
        <v>100</v>
      </c>
      <c r="M24" s="3478" t="s">
        <v>3233</v>
      </c>
      <c r="N24" s="3496">
        <v>100</v>
      </c>
      <c r="P24" s="3493"/>
      <c r="Q24" s="3494">
        <f>[5]地价!Q17</f>
        <v>1.1299999999999999E-2</v>
      </c>
      <c r="R24" s="3494">
        <f t="shared" si="1"/>
        <v>1.0113000000000001</v>
      </c>
      <c r="S24" s="3490">
        <f t="shared" si="2"/>
        <v>98.882626322555112</v>
      </c>
      <c r="T24" s="3490"/>
    </row>
    <row r="25" spans="1:20">
      <c r="A25" s="3829" t="s">
        <v>3234</v>
      </c>
      <c r="B25" s="3829"/>
      <c r="C25" s="3830" t="s">
        <v>3235</v>
      </c>
      <c r="D25" s="3830"/>
      <c r="E25" s="3830">
        <f>土地案例!N4</f>
        <v>9015</v>
      </c>
      <c r="F25" s="3830"/>
      <c r="G25" s="3830">
        <f>土地案例!N5</f>
        <v>3084</v>
      </c>
      <c r="H25" s="3830"/>
      <c r="I25" s="3830">
        <v>0</v>
      </c>
      <c r="J25" s="3830"/>
      <c r="K25" s="3830">
        <v>0</v>
      </c>
      <c r="L25" s="3830"/>
      <c r="M25" s="3830">
        <f>土地案例!N6</f>
        <v>4037</v>
      </c>
      <c r="N25" s="3830"/>
      <c r="P25" s="3497" t="s">
        <v>3236</v>
      </c>
      <c r="Q25" s="3494">
        <f>[5]地价!Q11</f>
        <v>7.000000000000001E-4</v>
      </c>
      <c r="R25" s="3494">
        <f t="shared" si="1"/>
        <v>1.0006999999999999</v>
      </c>
      <c r="S25" s="3490">
        <f t="shared" si="2"/>
        <v>99.930048965723998</v>
      </c>
      <c r="T25" s="3490"/>
    </row>
    <row r="26" spans="1:20">
      <c r="A26" s="3829" t="s">
        <v>3237</v>
      </c>
      <c r="B26" s="3829"/>
      <c r="C26" s="3830" t="s">
        <v>3235</v>
      </c>
      <c r="D26" s="3830"/>
      <c r="E26" s="3827">
        <f>ROUND(E25*POWER(100,COUNT(F6:F24))/PRODUCT(F6:F24),0)</f>
        <v>6208</v>
      </c>
      <c r="F26" s="3827"/>
      <c r="G26" s="3827">
        <f>ROUND(G25*POWER(100,COUNT(H6:H24))/PRODUCT(H6:H24),0)</f>
        <v>2032</v>
      </c>
      <c r="H26" s="3827"/>
      <c r="I26" s="3827">
        <f>ROUND(I25*POWER(100,COUNT(J6:J24))/PRODUCT(J6:J24),0)</f>
        <v>0</v>
      </c>
      <c r="J26" s="3827"/>
      <c r="K26" s="3827">
        <f>ROUND(K25*POWER(100,COUNT(L6:L24))/PRODUCT(L6:L24),0)</f>
        <v>0</v>
      </c>
      <c r="L26" s="3827"/>
      <c r="M26" s="3827">
        <f>ROUND(M25*POWER(100,COUNT(N6:N24))/PRODUCT(N6:N24),0)</f>
        <v>2989</v>
      </c>
      <c r="N26" s="3827"/>
      <c r="P26" s="3497" t="s">
        <v>3238</v>
      </c>
      <c r="Q26" s="3494">
        <f>[5]地价!Q12</f>
        <v>4.6999999999999993E-3</v>
      </c>
      <c r="R26" s="3494">
        <f t="shared" si="1"/>
        <v>1.0046999999999999</v>
      </c>
      <c r="S26" s="3490">
        <f t="shared" si="2"/>
        <v>99.532198666268542</v>
      </c>
      <c r="T26" s="3490"/>
    </row>
    <row r="27" spans="1:20">
      <c r="A27" s="3828" t="str">
        <f>CONCATENATE("估价对象比较价值=(",TEXT(E26,"G/通用格式"),"+",TEXT(G26,"G/通用格式"),"+",TEXT(I26,"G/通用格式"),"+",TEXT(K26,"G/通用格式"),"+",TEXT(M26,"G/通用格式"),")","/",3,"=",ROUND((E26+G26+I26+K26+M26)/3,0))</f>
        <v>估价对象比较价值=(6208+2032+0+0+2989)/3=3743</v>
      </c>
      <c r="B27" s="3828"/>
      <c r="C27" s="3828"/>
      <c r="D27" s="3828"/>
      <c r="E27" s="3828"/>
      <c r="F27" s="3828"/>
      <c r="G27" s="3828"/>
      <c r="H27" s="3828"/>
      <c r="I27" s="3828"/>
      <c r="J27" s="3828"/>
      <c r="M27" s="3858">
        <f>[6]成本案例比较法!$M$27</f>
        <v>4580</v>
      </c>
      <c r="P27" s="3497" t="s">
        <v>3239</v>
      </c>
      <c r="Q27" s="3494">
        <f>[5]地价!Q13</f>
        <v>2.7000000000000001E-3</v>
      </c>
      <c r="R27" s="3494">
        <f t="shared" si="1"/>
        <v>1.0026999999999999</v>
      </c>
      <c r="S27" s="3490">
        <f t="shared" si="2"/>
        <v>99.730727037000108</v>
      </c>
      <c r="T27" s="3490"/>
    </row>
    <row r="28" spans="1:20">
      <c r="F28">
        <v>0</v>
      </c>
      <c r="G28">
        <v>30</v>
      </c>
      <c r="H28">
        <v>60</v>
      </c>
      <c r="I28">
        <v>120</v>
      </c>
      <c r="L28">
        <f>(E26+G26+I26+K26)/4</f>
        <v>2060</v>
      </c>
      <c r="M28">
        <v>90</v>
      </c>
      <c r="N28">
        <v>120</v>
      </c>
      <c r="P28" s="3497" t="s">
        <v>3240</v>
      </c>
      <c r="Q28" s="3494">
        <f>[5]地价!Q14</f>
        <v>4.7999999999999996E-3</v>
      </c>
      <c r="R28" s="3494">
        <f t="shared" si="1"/>
        <v>1.0047999999999999</v>
      </c>
      <c r="S28" s="3490">
        <f t="shared" si="2"/>
        <v>99.522292993630586</v>
      </c>
      <c r="T28" s="3490"/>
    </row>
    <row r="29" spans="1:20">
      <c r="F29">
        <v>100</v>
      </c>
      <c r="G29">
        <v>99</v>
      </c>
      <c r="H29">
        <v>98</v>
      </c>
      <c r="I29">
        <v>97</v>
      </c>
      <c r="M29">
        <v>97</v>
      </c>
      <c r="N29">
        <v>96</v>
      </c>
      <c r="P29" s="3497" t="s">
        <v>3241</v>
      </c>
      <c r="Q29" s="3494">
        <f>[5]地价!Q15</f>
        <v>1.03E-2</v>
      </c>
      <c r="R29" s="3494">
        <f t="shared" si="1"/>
        <v>1.0103</v>
      </c>
      <c r="S29" s="3490">
        <f t="shared" si="2"/>
        <v>98.980500841334262</v>
      </c>
      <c r="T29" s="3490"/>
    </row>
    <row r="30" spans="1:20">
      <c r="P30" s="3497" t="s">
        <v>3242</v>
      </c>
      <c r="Q30" s="3494">
        <f>[5]地价!Q16</f>
        <v>1.2500000000000001E-2</v>
      </c>
      <c r="R30" s="3494">
        <f t="shared" si="1"/>
        <v>1.0125</v>
      </c>
      <c r="S30" s="3490">
        <f t="shared" si="2"/>
        <v>98.76543209876543</v>
      </c>
      <c r="T30" s="3490"/>
    </row>
    <row r="31" spans="1:20">
      <c r="M31" s="3498">
        <v>1661</v>
      </c>
      <c r="P31" s="3497" t="s">
        <v>3243</v>
      </c>
      <c r="Q31" s="3494">
        <f>[5]地价!Q17</f>
        <v>1.1299999999999999E-2</v>
      </c>
      <c r="R31" s="3494">
        <f t="shared" si="1"/>
        <v>1.0113000000000001</v>
      </c>
      <c r="S31" s="3490">
        <f t="shared" si="2"/>
        <v>98.882626322555112</v>
      </c>
      <c r="T31" s="3490"/>
    </row>
    <row r="32" spans="1:20">
      <c r="P32" s="3486" t="s">
        <v>3244</v>
      </c>
      <c r="Q32" s="3491">
        <f>[5]地价!Q18</f>
        <v>1.29E-2</v>
      </c>
      <c r="R32" s="3491">
        <f t="shared" si="1"/>
        <v>1.0128999999999999</v>
      </c>
      <c r="S32" s="3492">
        <f t="shared" si="2"/>
        <v>98.726429065060728</v>
      </c>
      <c r="T32" s="3490">
        <v>98.7</v>
      </c>
    </row>
    <row r="33" spans="10:20">
      <c r="P33" s="3497" t="s">
        <v>3245</v>
      </c>
      <c r="Q33" s="3494">
        <f>[5]地价!Q19</f>
        <v>1.7399999999999999E-2</v>
      </c>
      <c r="R33" s="3494">
        <f t="shared" si="1"/>
        <v>1.0174000000000001</v>
      </c>
      <c r="S33" s="3490">
        <f t="shared" si="2"/>
        <v>98.289758207194808</v>
      </c>
      <c r="T33" s="3490"/>
    </row>
    <row r="34" spans="10:20">
      <c r="P34" s="3497" t="s">
        <v>3246</v>
      </c>
      <c r="Q34" s="3494">
        <f>[5]地价!Q20</f>
        <v>2.4399999999999998E-2</v>
      </c>
      <c r="R34" s="3494">
        <f t="shared" si="1"/>
        <v>1.0244</v>
      </c>
      <c r="S34" s="3490">
        <f t="shared" si="2"/>
        <v>97.618117922686451</v>
      </c>
      <c r="T34" s="3490"/>
    </row>
    <row r="35" spans="10:20">
      <c r="J35" s="3447"/>
      <c r="P35" s="3497" t="s">
        <v>3247</v>
      </c>
      <c r="Q35" s="3494">
        <f>[5]地价!Q21</f>
        <v>2.0099999999999996E-2</v>
      </c>
      <c r="R35" s="3494">
        <f t="shared" si="1"/>
        <v>1.0201</v>
      </c>
      <c r="S35" s="3490">
        <f t="shared" si="2"/>
        <v>98.029604940692082</v>
      </c>
      <c r="T35" s="3490"/>
    </row>
    <row r="36" spans="10:20">
      <c r="P36" s="3497" t="s">
        <v>3248</v>
      </c>
      <c r="Q36" s="3494">
        <f>[5]地价!Q22</f>
        <v>1.43E-2</v>
      </c>
      <c r="R36" s="3494">
        <f t="shared" si="1"/>
        <v>1.0143</v>
      </c>
      <c r="S36" s="3490">
        <f t="shared" si="2"/>
        <v>98.590160701961949</v>
      </c>
      <c r="T36" s="3490"/>
    </row>
    <row r="37" spans="10:20">
      <c r="P37" s="3486" t="s">
        <v>3249</v>
      </c>
      <c r="Q37" s="3491">
        <f>[5]地价!Q23</f>
        <v>1.72E-2</v>
      </c>
      <c r="R37" s="3491">
        <f t="shared" si="1"/>
        <v>1.0172000000000001</v>
      </c>
      <c r="S37" s="3492">
        <f t="shared" si="2"/>
        <v>98.309083759339359</v>
      </c>
      <c r="T37" s="3490">
        <v>98.3</v>
      </c>
    </row>
    <row r="38" spans="10:20">
      <c r="P38" s="3486" t="s">
        <v>3250</v>
      </c>
      <c r="Q38" s="3491">
        <f>[5]地价!Q24</f>
        <v>1.6799999999999999E-2</v>
      </c>
      <c r="R38" s="3491">
        <f t="shared" si="1"/>
        <v>1.0167999999999999</v>
      </c>
      <c r="S38" s="3492">
        <f t="shared" si="2"/>
        <v>98.347757671125109</v>
      </c>
      <c r="T38" s="3490">
        <v>98.3</v>
      </c>
    </row>
    <row r="39" spans="10:20">
      <c r="P39" s="3486" t="s">
        <v>3251</v>
      </c>
      <c r="Q39" s="3491">
        <f>[5]地价!Q25</f>
        <v>1.5800000000000002E-2</v>
      </c>
      <c r="R39" s="3491">
        <f t="shared" si="1"/>
        <v>1.0158</v>
      </c>
      <c r="S39" s="3492">
        <f t="shared" si="2"/>
        <v>98.444575703878712</v>
      </c>
      <c r="T39" s="3490">
        <v>98.4</v>
      </c>
    </row>
  </sheetData>
  <mergeCells count="42">
    <mergeCell ref="K3:L3"/>
    <mergeCell ref="M3:N3"/>
    <mergeCell ref="A1:J1"/>
    <mergeCell ref="A3:B3"/>
    <mergeCell ref="C3:D3"/>
    <mergeCell ref="E3:F3"/>
    <mergeCell ref="G3:H3"/>
    <mergeCell ref="I3:J3"/>
    <mergeCell ref="M4:N4"/>
    <mergeCell ref="A5:B5"/>
    <mergeCell ref="C5:D5"/>
    <mergeCell ref="E5:F5"/>
    <mergeCell ref="G5:H5"/>
    <mergeCell ref="I5:J5"/>
    <mergeCell ref="K5:L5"/>
    <mergeCell ref="M5:N5"/>
    <mergeCell ref="A4:B4"/>
    <mergeCell ref="C4:D4"/>
    <mergeCell ref="E4:F4"/>
    <mergeCell ref="G4:H4"/>
    <mergeCell ref="I4:J4"/>
    <mergeCell ref="K4:L4"/>
    <mergeCell ref="M25:N25"/>
    <mergeCell ref="A6:B6"/>
    <mergeCell ref="A7:B7"/>
    <mergeCell ref="A8:A13"/>
    <mergeCell ref="A14:A17"/>
    <mergeCell ref="A18:A24"/>
    <mergeCell ref="A25:B25"/>
    <mergeCell ref="C25:D25"/>
    <mergeCell ref="E25:F25"/>
    <mergeCell ref="G25:H25"/>
    <mergeCell ref="I25:J25"/>
    <mergeCell ref="K25:L25"/>
    <mergeCell ref="M26:N26"/>
    <mergeCell ref="A27:J27"/>
    <mergeCell ref="A26:B26"/>
    <mergeCell ref="C26:D26"/>
    <mergeCell ref="E26:F26"/>
    <mergeCell ref="G26:H26"/>
    <mergeCell ref="I26:J26"/>
    <mergeCell ref="K26:L26"/>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37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75"/>
      <c r="M1" s="3176"/>
      <c r="N1" s="3176"/>
      <c r="O1" s="3176"/>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ht="15">
      <c r="A4" s="488" t="s">
        <v>499</v>
      </c>
      <c r="B4" s="489"/>
      <c r="C4" s="3709" t="s">
        <v>500</v>
      </c>
      <c r="D4" s="3710"/>
      <c r="E4" s="3814" t="s">
        <v>501</v>
      </c>
      <c r="F4" s="3815"/>
      <c r="G4" s="3709" t="s">
        <v>502</v>
      </c>
      <c r="H4" s="3710"/>
      <c r="I4" s="3709" t="s">
        <v>503</v>
      </c>
      <c r="J4" s="3710"/>
      <c r="K4" s="824" t="s">
        <v>504</v>
      </c>
      <c r="L4" s="1986"/>
      <c r="M4" s="1987"/>
      <c r="N4" s="1987"/>
      <c r="O4" s="1987"/>
      <c r="P4" s="3711" t="s">
        <v>505</v>
      </c>
      <c r="Q4" s="3712"/>
      <c r="R4" s="3697" t="s">
        <v>501</v>
      </c>
      <c r="S4" s="3698"/>
      <c r="T4" s="3697" t="s">
        <v>502</v>
      </c>
      <c r="U4" s="3698"/>
      <c r="V4" s="3717" t="s">
        <v>503</v>
      </c>
      <c r="W4" s="3717"/>
      <c r="X4" s="1476"/>
      <c r="Y4" s="3697" t="s">
        <v>505</v>
      </c>
      <c r="Z4" s="3698"/>
      <c r="AA4" s="3692" t="s">
        <v>501</v>
      </c>
      <c r="AB4" s="3692" t="s">
        <v>502</v>
      </c>
      <c r="AC4" s="3692" t="s">
        <v>503</v>
      </c>
    </row>
    <row r="5" spans="1:29" ht="15">
      <c r="A5" s="491"/>
      <c r="B5" s="492"/>
      <c r="C5" s="3720" t="s">
        <v>2867</v>
      </c>
      <c r="D5" s="3721"/>
      <c r="E5" s="3816" t="s">
        <v>2868</v>
      </c>
      <c r="F5" s="3817"/>
      <c r="G5" s="3720" t="s">
        <v>2869</v>
      </c>
      <c r="H5" s="3721"/>
      <c r="I5" s="3720" t="s">
        <v>2870</v>
      </c>
      <c r="J5" s="3721"/>
      <c r="K5" s="825"/>
      <c r="L5" s="1986"/>
      <c r="M5" s="1987"/>
      <c r="N5" s="1987"/>
      <c r="O5" s="1987"/>
      <c r="P5" s="3713"/>
      <c r="Q5" s="3714"/>
      <c r="R5" s="3699"/>
      <c r="S5" s="3700"/>
      <c r="T5" s="3699"/>
      <c r="U5" s="3700"/>
      <c r="V5" s="3717"/>
      <c r="W5" s="3717"/>
      <c r="X5" s="1476"/>
      <c r="Y5" s="3699"/>
      <c r="Z5" s="3700"/>
      <c r="AA5" s="3693"/>
      <c r="AB5" s="3693"/>
      <c r="AC5" s="3693"/>
    </row>
    <row r="6" spans="1:29" ht="15.75" thickBot="1">
      <c r="A6" s="493"/>
      <c r="B6" s="494"/>
      <c r="C6" s="3718" t="s">
        <v>2871</v>
      </c>
      <c r="D6" s="3719"/>
      <c r="E6" s="3818" t="s">
        <v>2871</v>
      </c>
      <c r="F6" s="3819"/>
      <c r="G6" s="3718" t="s">
        <v>2871</v>
      </c>
      <c r="H6" s="3719"/>
      <c r="I6" s="3718" t="s">
        <v>2871</v>
      </c>
      <c r="J6" s="3719"/>
      <c r="K6" s="825" t="s">
        <v>506</v>
      </c>
      <c r="L6" s="1986"/>
      <c r="M6" s="1987"/>
      <c r="N6" s="1987"/>
      <c r="O6" s="1987"/>
      <c r="P6" s="3715"/>
      <c r="Q6" s="3716"/>
      <c r="R6" s="3699"/>
      <c r="S6" s="3700"/>
      <c r="T6" s="3701"/>
      <c r="U6" s="3702"/>
      <c r="V6" s="3717"/>
      <c r="W6" s="3717"/>
      <c r="X6" s="1476"/>
      <c r="Y6" s="3701"/>
      <c r="Z6" s="3702"/>
      <c r="AA6" s="3694"/>
      <c r="AB6" s="3694"/>
      <c r="AC6" s="3694"/>
    </row>
    <row r="7" spans="1:29" s="1185" customFormat="1" ht="15.75" thickBot="1">
      <c r="A7" s="2597"/>
      <c r="B7" s="2604" t="s">
        <v>507</v>
      </c>
      <c r="C7" s="495">
        <f>'数据-取费表'!B2</f>
        <v>44623</v>
      </c>
      <c r="D7" s="496">
        <v>100</v>
      </c>
      <c r="E7" s="497"/>
      <c r="F7" s="498">
        <f>SUMIF(58:58,YEAR(E7)&amp;"-"&amp;MONTH(E7),59:59)</f>
        <v>0</v>
      </c>
      <c r="G7" s="499"/>
      <c r="H7" s="496">
        <f>SUMIF(58:58,YEAR(G7)&amp;"-"&amp;MONTH(G7),59:59)</f>
        <v>0</v>
      </c>
      <c r="I7" s="499"/>
      <c r="J7" s="496">
        <f>SUMIF(58:58,YEAR(I7)&amp;"-"&amp;MONTH(I7),59:59)</f>
        <v>0</v>
      </c>
      <c r="K7" s="826"/>
      <c r="L7" s="1988"/>
      <c r="M7" s="1989"/>
      <c r="N7" s="1989"/>
      <c r="O7" s="1989"/>
      <c r="P7" s="3695" t="s">
        <v>508</v>
      </c>
      <c r="Q7" s="3704"/>
      <c r="R7" s="1477" t="s">
        <v>13</v>
      </c>
      <c r="S7" s="1478">
        <f t="shared" ref="S7:S15" si="0">F7</f>
        <v>0</v>
      </c>
      <c r="T7" s="1477" t="s">
        <v>13</v>
      </c>
      <c r="U7" s="1478">
        <f t="shared" ref="U7:U15" si="1">H7</f>
        <v>0</v>
      </c>
      <c r="V7" s="1477" t="s">
        <v>13</v>
      </c>
      <c r="W7" s="1478">
        <f t="shared" ref="W7:W15" si="2">J7</f>
        <v>0</v>
      </c>
      <c r="X7" s="1479"/>
      <c r="Y7" s="3695" t="s">
        <v>508</v>
      </c>
      <c r="Z7" s="3696"/>
      <c r="AA7" s="1480" t="e">
        <f>D7/F7</f>
        <v>#DIV/0!</v>
      </c>
      <c r="AB7" s="1480" t="e">
        <f>D7/H7</f>
        <v>#DIV/0!</v>
      </c>
      <c r="AC7" s="1480" t="e">
        <f>D7/J7</f>
        <v>#DIV/0!</v>
      </c>
    </row>
    <row r="8" spans="1:29" s="1185" customFormat="1" ht="15.7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695" t="s">
        <v>511</v>
      </c>
      <c r="Q8" s="3696"/>
      <c r="R8" s="1477" t="s">
        <v>13</v>
      </c>
      <c r="S8" s="1478">
        <f t="shared" si="0"/>
        <v>0</v>
      </c>
      <c r="T8" s="1477" t="s">
        <v>13</v>
      </c>
      <c r="U8" s="1478">
        <f t="shared" si="1"/>
        <v>0</v>
      </c>
      <c r="V8" s="1477" t="s">
        <v>13</v>
      </c>
      <c r="W8" s="1478">
        <f t="shared" si="2"/>
        <v>0</v>
      </c>
      <c r="X8" s="1479"/>
      <c r="Y8" s="3695" t="s">
        <v>511</v>
      </c>
      <c r="Z8" s="3696"/>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703" t="s">
        <v>513</v>
      </c>
      <c r="Q9" s="1116" t="str">
        <f t="shared" ref="Q9:Q15" si="6">B9</f>
        <v>用途</v>
      </c>
      <c r="R9" s="1477" t="s">
        <v>8</v>
      </c>
      <c r="S9" s="1478">
        <f t="shared" si="0"/>
        <v>100</v>
      </c>
      <c r="T9" s="1477" t="s">
        <v>8</v>
      </c>
      <c r="U9" s="1478">
        <f t="shared" si="1"/>
        <v>100</v>
      </c>
      <c r="V9" s="1477" t="s">
        <v>8</v>
      </c>
      <c r="W9" s="1478">
        <f t="shared" si="2"/>
        <v>100</v>
      </c>
      <c r="X9" s="1479"/>
      <c r="Y9" s="3644"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703"/>
      <c r="Q10" s="1116" t="str">
        <f t="shared" si="6"/>
        <v>土地使用年限（年）</v>
      </c>
      <c r="R10" s="1477" t="s">
        <v>8</v>
      </c>
      <c r="S10" s="1478">
        <f t="shared" si="0"/>
        <v>100</v>
      </c>
      <c r="T10" s="1477" t="s">
        <v>8</v>
      </c>
      <c r="U10" s="1478">
        <f t="shared" si="1"/>
        <v>100</v>
      </c>
      <c r="V10" s="1477" t="s">
        <v>8</v>
      </c>
      <c r="W10" s="1478">
        <f t="shared" si="2"/>
        <v>100</v>
      </c>
      <c r="X10" s="1479"/>
      <c r="Y10" s="3644"/>
      <c r="Z10" s="1115" t="str">
        <f t="shared" si="7"/>
        <v>土地使用年限（年）</v>
      </c>
      <c r="AA10" s="1480">
        <f t="shared" si="3"/>
        <v>1</v>
      </c>
      <c r="AB10" s="1480">
        <f t="shared" si="4"/>
        <v>1</v>
      </c>
      <c r="AC10" s="1480">
        <f t="shared" si="5"/>
        <v>1</v>
      </c>
    </row>
    <row r="11" spans="1:29" ht="15">
      <c r="A11" s="2601"/>
      <c r="B11" s="2605"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703"/>
      <c r="Q11" s="1116" t="str">
        <f t="shared" si="6"/>
        <v>容积率</v>
      </c>
      <c r="R11" s="1477" t="s">
        <v>11</v>
      </c>
      <c r="S11" s="1478" t="e">
        <f t="shared" si="0"/>
        <v>#N/A</v>
      </c>
      <c r="T11" s="1477" t="s">
        <v>11</v>
      </c>
      <c r="U11" s="1478" t="e">
        <f t="shared" si="1"/>
        <v>#N/A</v>
      </c>
      <c r="V11" s="1477" t="s">
        <v>11</v>
      </c>
      <c r="W11" s="1478" t="e">
        <f t="shared" si="2"/>
        <v>#N/A</v>
      </c>
      <c r="X11" s="1479"/>
      <c r="Y11" s="3644"/>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703"/>
      <c r="Q12" s="1116">
        <f t="shared" si="6"/>
        <v>111</v>
      </c>
      <c r="R12" s="1477" t="s">
        <v>11</v>
      </c>
      <c r="S12" s="1478">
        <f t="shared" si="0"/>
        <v>100</v>
      </c>
      <c r="T12" s="1477" t="s">
        <v>11</v>
      </c>
      <c r="U12" s="1478">
        <f t="shared" si="1"/>
        <v>100</v>
      </c>
      <c r="V12" s="1477" t="s">
        <v>11</v>
      </c>
      <c r="W12" s="1478">
        <f t="shared" si="2"/>
        <v>100</v>
      </c>
      <c r="X12" s="1479"/>
      <c r="Y12" s="3644"/>
      <c r="Z12" s="1115">
        <f t="shared" si="7"/>
        <v>111</v>
      </c>
      <c r="AA12" s="1480">
        <f>D12/F12</f>
        <v>1</v>
      </c>
      <c r="AB12" s="1480">
        <f>D12/H12</f>
        <v>1</v>
      </c>
      <c r="AC12" s="1480">
        <f>D12/J12</f>
        <v>1</v>
      </c>
    </row>
    <row r="13" spans="1:29" ht="1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703"/>
      <c r="Q13" s="1116">
        <f t="shared" si="6"/>
        <v>111</v>
      </c>
      <c r="R13" s="1477" t="s">
        <v>11</v>
      </c>
      <c r="S13" s="1478">
        <f t="shared" si="0"/>
        <v>100</v>
      </c>
      <c r="T13" s="1477" t="s">
        <v>11</v>
      </c>
      <c r="U13" s="1478">
        <f t="shared" si="1"/>
        <v>100</v>
      </c>
      <c r="V13" s="1477" t="s">
        <v>11</v>
      </c>
      <c r="W13" s="1478">
        <f t="shared" si="2"/>
        <v>100</v>
      </c>
      <c r="X13" s="1479"/>
      <c r="Y13" s="3644"/>
      <c r="Z13" s="1115">
        <f t="shared" si="7"/>
        <v>111</v>
      </c>
      <c r="AA13" s="1480">
        <f t="shared" si="3"/>
        <v>1</v>
      </c>
      <c r="AB13" s="1480">
        <f t="shared" si="4"/>
        <v>1</v>
      </c>
      <c r="AC13" s="1480">
        <f t="shared" si="5"/>
        <v>1</v>
      </c>
    </row>
    <row r="14" spans="1:29" ht="15.75"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703"/>
      <c r="Q14" s="1116">
        <f t="shared" si="6"/>
        <v>111</v>
      </c>
      <c r="R14" s="1477" t="s">
        <v>11</v>
      </c>
      <c r="S14" s="1478">
        <f t="shared" si="0"/>
        <v>100</v>
      </c>
      <c r="T14" s="1477" t="s">
        <v>11</v>
      </c>
      <c r="U14" s="1478">
        <f t="shared" si="1"/>
        <v>100</v>
      </c>
      <c r="V14" s="1477" t="s">
        <v>11</v>
      </c>
      <c r="W14" s="1478">
        <f t="shared" si="2"/>
        <v>100</v>
      </c>
      <c r="X14" s="1479"/>
      <c r="Y14" s="3644"/>
      <c r="Z14" s="1115">
        <f t="shared" si="7"/>
        <v>111</v>
      </c>
      <c r="AA14" s="1480">
        <f t="shared" si="3"/>
        <v>1</v>
      </c>
      <c r="AB14" s="1480">
        <f t="shared" si="4"/>
        <v>1</v>
      </c>
      <c r="AC14" s="1480">
        <f t="shared" si="5"/>
        <v>1</v>
      </c>
    </row>
    <row r="15" spans="1:29" ht="99.75">
      <c r="A15" s="2595"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705" t="s">
        <v>518</v>
      </c>
      <c r="Q15" s="1481" t="str">
        <f t="shared" si="6"/>
        <v>居住社区成熟度</v>
      </c>
      <c r="R15" s="1482" t="s">
        <v>11</v>
      </c>
      <c r="S15" s="1483">
        <f t="shared" si="0"/>
        <v>100</v>
      </c>
      <c r="T15" s="1482" t="s">
        <v>11</v>
      </c>
      <c r="U15" s="1483">
        <f t="shared" si="1"/>
        <v>100</v>
      </c>
      <c r="V15" s="1482" t="s">
        <v>11</v>
      </c>
      <c r="W15" s="1483">
        <f t="shared" si="2"/>
        <v>100</v>
      </c>
      <c r="X15" s="1476"/>
      <c r="Y15" s="3705" t="s">
        <v>518</v>
      </c>
      <c r="Z15" s="1484" t="str">
        <f t="shared" si="7"/>
        <v>居住社区成熟度</v>
      </c>
      <c r="AA15" s="1485">
        <f t="shared" si="3"/>
        <v>1</v>
      </c>
      <c r="AB15" s="1485">
        <f t="shared" si="4"/>
        <v>1</v>
      </c>
      <c r="AC15" s="1485">
        <f t="shared" si="5"/>
        <v>1</v>
      </c>
    </row>
    <row r="16" spans="1:29" ht="15">
      <c r="A16" s="508"/>
      <c r="B16" s="840"/>
      <c r="C16" s="552"/>
      <c r="D16" s="531"/>
      <c r="E16" s="532"/>
      <c r="F16" s="533"/>
      <c r="G16" s="534"/>
      <c r="H16" s="535"/>
      <c r="I16" s="532"/>
      <c r="J16" s="531"/>
      <c r="K16" s="841"/>
      <c r="L16" s="1995"/>
      <c r="M16" s="1987"/>
      <c r="N16" s="1987"/>
      <c r="O16" s="1994"/>
      <c r="P16" s="3706"/>
      <c r="Q16" s="1481"/>
      <c r="R16" s="1482"/>
      <c r="S16" s="1483"/>
      <c r="T16" s="1482"/>
      <c r="U16" s="1483"/>
      <c r="V16" s="1482"/>
      <c r="W16" s="1483"/>
      <c r="X16" s="1476"/>
      <c r="Y16" s="3706"/>
      <c r="Z16" s="1484"/>
      <c r="AA16" s="1485">
        <v>1</v>
      </c>
      <c r="AB16" s="1485">
        <v>1</v>
      </c>
      <c r="AC16" s="148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706"/>
      <c r="Q17" s="1481" t="str">
        <f>B17</f>
        <v>交通便捷度</v>
      </c>
      <c r="R17" s="1482" t="s">
        <v>11</v>
      </c>
      <c r="S17" s="1483">
        <f>F17</f>
        <v>100</v>
      </c>
      <c r="T17" s="1482" t="s">
        <v>11</v>
      </c>
      <c r="U17" s="1483">
        <f>H17</f>
        <v>100</v>
      </c>
      <c r="V17" s="1482" t="s">
        <v>11</v>
      </c>
      <c r="W17" s="1483">
        <f>J17</f>
        <v>100</v>
      </c>
      <c r="X17" s="1476"/>
      <c r="Y17" s="3706"/>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41"/>
      <c r="L18" s="1995"/>
      <c r="M18" s="1987"/>
      <c r="N18" s="1987"/>
      <c r="O18" s="1994"/>
      <c r="P18" s="3706"/>
      <c r="Q18" s="1481"/>
      <c r="R18" s="1482"/>
      <c r="S18" s="1483"/>
      <c r="T18" s="1482"/>
      <c r="U18" s="1483"/>
      <c r="V18" s="1482"/>
      <c r="W18" s="1483"/>
      <c r="X18" s="1476"/>
      <c r="Y18" s="3706"/>
      <c r="Z18" s="1484"/>
      <c r="AA18" s="1485">
        <v>1</v>
      </c>
      <c r="AB18" s="1485">
        <v>1</v>
      </c>
      <c r="AC18" s="1485">
        <v>1</v>
      </c>
    </row>
    <row r="19" spans="1:29" ht="42.75">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706"/>
      <c r="Q19" s="1481" t="str">
        <f>B19</f>
        <v>公共配套设施</v>
      </c>
      <c r="R19" s="1482" t="s">
        <v>11</v>
      </c>
      <c r="S19" s="1483">
        <f>F19</f>
        <v>100</v>
      </c>
      <c r="T19" s="1482" t="s">
        <v>11</v>
      </c>
      <c r="U19" s="1483">
        <f>H19</f>
        <v>100</v>
      </c>
      <c r="V19" s="1482" t="s">
        <v>11</v>
      </c>
      <c r="W19" s="1483">
        <f>J19</f>
        <v>100</v>
      </c>
      <c r="X19" s="1476"/>
      <c r="Y19" s="3706"/>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41"/>
      <c r="L20" s="1995"/>
      <c r="M20" s="1987"/>
      <c r="N20" s="1987"/>
      <c r="O20" s="1994"/>
      <c r="P20" s="3706"/>
      <c r="Q20" s="1481"/>
      <c r="R20" s="1482"/>
      <c r="S20" s="1483"/>
      <c r="T20" s="1482"/>
      <c r="U20" s="1483"/>
      <c r="V20" s="1482"/>
      <c r="W20" s="1483"/>
      <c r="X20" s="1476"/>
      <c r="Y20" s="3706"/>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706"/>
      <c r="Q21" s="2397" t="str">
        <f>B21</f>
        <v>基础设施水平</v>
      </c>
      <c r="R21" s="1482" t="s">
        <v>11</v>
      </c>
      <c r="S21" s="1483">
        <f>F21</f>
        <v>100</v>
      </c>
      <c r="T21" s="1482" t="s">
        <v>11</v>
      </c>
      <c r="U21" s="1483">
        <f>H21</f>
        <v>100</v>
      </c>
      <c r="V21" s="1482" t="s">
        <v>11</v>
      </c>
      <c r="W21" s="1483">
        <f>J21</f>
        <v>100</v>
      </c>
      <c r="X21" s="2399"/>
      <c r="Y21" s="3706"/>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1"/>
      <c r="L22" s="1995"/>
      <c r="M22" s="1987"/>
      <c r="N22" s="1987"/>
      <c r="O22" s="1994"/>
      <c r="P22" s="3706"/>
      <c r="Q22" s="2397"/>
      <c r="R22" s="1482"/>
      <c r="S22" s="1483"/>
      <c r="T22" s="1482"/>
      <c r="U22" s="1483"/>
      <c r="V22" s="1482"/>
      <c r="W22" s="1483"/>
      <c r="X22" s="2399"/>
      <c r="Y22" s="3706"/>
      <c r="Z22" s="2398"/>
      <c r="AA22" s="1485">
        <v>1</v>
      </c>
      <c r="AB22" s="1485">
        <v>1</v>
      </c>
      <c r="AC22" s="1485">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706"/>
      <c r="Q23" s="1481" t="str">
        <f>B23</f>
        <v>自然及人文环境</v>
      </c>
      <c r="R23" s="1482" t="s">
        <v>11</v>
      </c>
      <c r="S23" s="1483">
        <f>F23</f>
        <v>100</v>
      </c>
      <c r="T23" s="1482" t="s">
        <v>11</v>
      </c>
      <c r="U23" s="1483">
        <f>H23</f>
        <v>100</v>
      </c>
      <c r="V23" s="1482" t="s">
        <v>11</v>
      </c>
      <c r="W23" s="1483">
        <f>J23</f>
        <v>100</v>
      </c>
      <c r="X23" s="1476"/>
      <c r="Y23" s="3706"/>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41"/>
      <c r="L24" s="1995"/>
      <c r="M24" s="1987"/>
      <c r="N24" s="1987"/>
      <c r="O24" s="1994"/>
      <c r="P24" s="3706"/>
      <c r="Q24" s="1481"/>
      <c r="R24" s="1482"/>
      <c r="S24" s="1483"/>
      <c r="T24" s="1482"/>
      <c r="U24" s="1483"/>
      <c r="V24" s="1482"/>
      <c r="W24" s="1483"/>
      <c r="X24" s="1476"/>
      <c r="Y24" s="3706"/>
      <c r="Z24" s="1484"/>
      <c r="AA24" s="1485">
        <v>1</v>
      </c>
      <c r="AB24" s="1485">
        <v>1</v>
      </c>
      <c r="AC24" s="1485">
        <v>1</v>
      </c>
    </row>
    <row r="25" spans="1:29" ht="15">
      <c r="A25" s="508"/>
      <c r="B25" s="1782" t="s">
        <v>2223</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706"/>
      <c r="Q25" s="1481" t="str">
        <f t="shared" ref="Q25:Q46" si="11">B25</f>
        <v>楼层-1</v>
      </c>
      <c r="R25" s="1482" t="s">
        <v>11</v>
      </c>
      <c r="S25" s="1483">
        <f>F25</f>
        <v>100</v>
      </c>
      <c r="T25" s="1482" t="s">
        <v>11</v>
      </c>
      <c r="U25" s="1483">
        <f>H25</f>
        <v>100</v>
      </c>
      <c r="V25" s="1482" t="s">
        <v>11</v>
      </c>
      <c r="W25" s="1483">
        <f>J25</f>
        <v>100</v>
      </c>
      <c r="X25" s="1476"/>
      <c r="Y25" s="3706"/>
      <c r="Z25" s="1484" t="str">
        <f>Q25</f>
        <v>楼层-1</v>
      </c>
      <c r="AA25" s="1485">
        <f t="shared" si="3"/>
        <v>1</v>
      </c>
      <c r="AB25" s="1485">
        <f t="shared" si="4"/>
        <v>1</v>
      </c>
      <c r="AC25" s="1485">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706"/>
      <c r="Q26" s="1481" t="str">
        <f t="shared" si="11"/>
        <v>朝向</v>
      </c>
      <c r="R26" s="1482" t="s">
        <v>11</v>
      </c>
      <c r="S26" s="1483">
        <f>F26</f>
        <v>100</v>
      </c>
      <c r="T26" s="1482" t="s">
        <v>11</v>
      </c>
      <c r="U26" s="1483">
        <f>H26</f>
        <v>100</v>
      </c>
      <c r="V26" s="1482" t="s">
        <v>11</v>
      </c>
      <c r="W26" s="1483">
        <f>J26</f>
        <v>100</v>
      </c>
      <c r="X26" s="1476"/>
      <c r="Y26" s="3706"/>
      <c r="Z26" s="1484" t="str">
        <f>Q26</f>
        <v>朝向</v>
      </c>
      <c r="AA26" s="1485">
        <f t="shared" si="3"/>
        <v>1</v>
      </c>
      <c r="AB26" s="1485">
        <f t="shared" si="4"/>
        <v>1</v>
      </c>
      <c r="AC26" s="1485">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706"/>
      <c r="Q27" s="1116" t="str">
        <f t="shared" si="11"/>
        <v>道路级别</v>
      </c>
      <c r="R27" s="1477" t="s">
        <v>11</v>
      </c>
      <c r="S27" s="1478">
        <f>F27</f>
        <v>100</v>
      </c>
      <c r="T27" s="1477" t="s">
        <v>11</v>
      </c>
      <c r="U27" s="1478">
        <f>H27</f>
        <v>100</v>
      </c>
      <c r="V27" s="1477" t="s">
        <v>11</v>
      </c>
      <c r="W27" s="1478">
        <f>J27</f>
        <v>100</v>
      </c>
      <c r="X27" s="1479"/>
      <c r="Y27" s="3706"/>
      <c r="Z27" s="1115" t="str">
        <f>Q27</f>
        <v>道路级别</v>
      </c>
      <c r="AA27" s="1485">
        <f>D27/F27</f>
        <v>1</v>
      </c>
      <c r="AB27" s="1485">
        <f>D27/H27</f>
        <v>1</v>
      </c>
      <c r="AC27" s="148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706"/>
      <c r="Q28" s="1481">
        <f t="shared" si="11"/>
        <v>111</v>
      </c>
      <c r="R28" s="1482" t="s">
        <v>11</v>
      </c>
      <c r="S28" s="1483">
        <f t="shared" ref="S28:S46" si="12">F28</f>
        <v>100</v>
      </c>
      <c r="T28" s="1482" t="s">
        <v>11</v>
      </c>
      <c r="U28" s="1483">
        <f t="shared" ref="U28:U46" si="13">H28</f>
        <v>100</v>
      </c>
      <c r="V28" s="1482" t="s">
        <v>11</v>
      </c>
      <c r="W28" s="1483">
        <f t="shared" ref="W28:W46" si="14">J28</f>
        <v>100</v>
      </c>
      <c r="X28" s="1476"/>
      <c r="Y28" s="3706"/>
      <c r="Z28" s="1484">
        <f t="shared" ref="Z28:Z46" si="15">Q28</f>
        <v>111</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706"/>
      <c r="Q29" s="1481">
        <f t="shared" si="11"/>
        <v>111</v>
      </c>
      <c r="R29" s="1482" t="s">
        <v>11</v>
      </c>
      <c r="S29" s="1483">
        <f t="shared" si="12"/>
        <v>100</v>
      </c>
      <c r="T29" s="1482" t="s">
        <v>11</v>
      </c>
      <c r="U29" s="1483">
        <f t="shared" si="13"/>
        <v>100</v>
      </c>
      <c r="V29" s="1482" t="s">
        <v>11</v>
      </c>
      <c r="W29" s="1483">
        <f t="shared" si="14"/>
        <v>100</v>
      </c>
      <c r="X29" s="1476"/>
      <c r="Y29" s="3706"/>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706"/>
      <c r="Q30" s="1481">
        <f t="shared" si="11"/>
        <v>111</v>
      </c>
      <c r="R30" s="1482" t="s">
        <v>11</v>
      </c>
      <c r="S30" s="1483">
        <f t="shared" si="12"/>
        <v>100</v>
      </c>
      <c r="T30" s="1482" t="s">
        <v>11</v>
      </c>
      <c r="U30" s="1483">
        <f t="shared" si="13"/>
        <v>100</v>
      </c>
      <c r="V30" s="1482" t="s">
        <v>11</v>
      </c>
      <c r="W30" s="1483">
        <f t="shared" si="14"/>
        <v>100</v>
      </c>
      <c r="X30" s="1476"/>
      <c r="Y30" s="3706"/>
      <c r="Z30" s="1484">
        <f t="shared" si="15"/>
        <v>111</v>
      </c>
      <c r="AA30" s="1485">
        <f t="shared" si="3"/>
        <v>1</v>
      </c>
      <c r="AB30" s="1485">
        <f t="shared" si="4"/>
        <v>1</v>
      </c>
      <c r="AC30" s="148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706"/>
      <c r="Q31" s="1481">
        <f t="shared" si="11"/>
        <v>111</v>
      </c>
      <c r="R31" s="1482" t="s">
        <v>11</v>
      </c>
      <c r="S31" s="1483">
        <f t="shared" si="12"/>
        <v>100</v>
      </c>
      <c r="T31" s="1482" t="s">
        <v>11</v>
      </c>
      <c r="U31" s="1483">
        <f t="shared" si="13"/>
        <v>100</v>
      </c>
      <c r="V31" s="1482" t="s">
        <v>11</v>
      </c>
      <c r="W31" s="1483">
        <f t="shared" si="14"/>
        <v>100</v>
      </c>
      <c r="X31" s="1476"/>
      <c r="Y31" s="3706"/>
      <c r="Z31" s="1484">
        <f t="shared" si="15"/>
        <v>111</v>
      </c>
      <c r="AA31" s="1485">
        <f t="shared" si="3"/>
        <v>1</v>
      </c>
      <c r="AB31" s="1485">
        <f t="shared" si="4"/>
        <v>1</v>
      </c>
      <c r="AC31" s="1485">
        <f t="shared" si="5"/>
        <v>1</v>
      </c>
    </row>
    <row r="32" spans="1:29" ht="15">
      <c r="A32" s="2592"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707" t="s">
        <v>528</v>
      </c>
      <c r="Q32" s="1481" t="str">
        <f t="shared" si="11"/>
        <v>建筑类型</v>
      </c>
      <c r="R32" s="1482" t="s">
        <v>11</v>
      </c>
      <c r="S32" s="1483">
        <f t="shared" si="12"/>
        <v>100</v>
      </c>
      <c r="T32" s="1482" t="s">
        <v>11</v>
      </c>
      <c r="U32" s="1483">
        <f t="shared" si="13"/>
        <v>100</v>
      </c>
      <c r="V32" s="1482" t="s">
        <v>11</v>
      </c>
      <c r="W32" s="1483">
        <f t="shared" si="14"/>
        <v>100</v>
      </c>
      <c r="X32" s="1476"/>
      <c r="Y32" s="3708" t="s">
        <v>528</v>
      </c>
      <c r="Z32" s="1484" t="str">
        <f t="shared" si="15"/>
        <v>建筑类型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708"/>
      <c r="Q33" s="1510" t="str">
        <f t="shared" si="11"/>
        <v>项目建筑规模</v>
      </c>
      <c r="R33" s="1486" t="s">
        <v>11</v>
      </c>
      <c r="S33" s="1487" t="e">
        <f t="shared" si="12"/>
        <v>#N/A</v>
      </c>
      <c r="T33" s="1486" t="s">
        <v>11</v>
      </c>
      <c r="U33" s="1487" t="e">
        <f t="shared" si="13"/>
        <v>#N/A</v>
      </c>
      <c r="V33" s="1486" t="s">
        <v>11</v>
      </c>
      <c r="W33" s="1487" t="e">
        <f t="shared" si="14"/>
        <v>#N/A</v>
      </c>
      <c r="X33" s="1488"/>
      <c r="Y33" s="3708"/>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708"/>
      <c r="Q34" s="1481" t="str">
        <f t="shared" si="11"/>
        <v>建筑结构</v>
      </c>
      <c r="R34" s="1482" t="s">
        <v>11</v>
      </c>
      <c r="S34" s="1483">
        <f t="shared" si="12"/>
        <v>100</v>
      </c>
      <c r="T34" s="1482" t="s">
        <v>11</v>
      </c>
      <c r="U34" s="1483">
        <f t="shared" si="13"/>
        <v>100</v>
      </c>
      <c r="V34" s="1482" t="s">
        <v>11</v>
      </c>
      <c r="W34" s="1483">
        <f t="shared" si="14"/>
        <v>100</v>
      </c>
      <c r="X34" s="1476"/>
      <c r="Y34" s="3708"/>
      <c r="Z34" s="1484" t="str">
        <f t="shared" si="15"/>
        <v>建筑结构</v>
      </c>
      <c r="AA34" s="1485">
        <f t="shared" si="3"/>
        <v>1</v>
      </c>
      <c r="AB34" s="1485">
        <f t="shared" si="4"/>
        <v>1</v>
      </c>
      <c r="AC34" s="1485">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708"/>
      <c r="Q35" s="1481" t="str">
        <f t="shared" si="11"/>
        <v>建筑品质</v>
      </c>
      <c r="R35" s="1482" t="s">
        <v>11</v>
      </c>
      <c r="S35" s="1483">
        <f t="shared" si="12"/>
        <v>100</v>
      </c>
      <c r="T35" s="1482" t="s">
        <v>11</v>
      </c>
      <c r="U35" s="1483">
        <f t="shared" si="13"/>
        <v>100</v>
      </c>
      <c r="V35" s="1482" t="s">
        <v>11</v>
      </c>
      <c r="W35" s="1483">
        <f t="shared" si="14"/>
        <v>100</v>
      </c>
      <c r="X35" s="1476"/>
      <c r="Y35" s="3708"/>
      <c r="Z35" s="1484" t="str">
        <f t="shared" si="15"/>
        <v>建筑品质</v>
      </c>
      <c r="AA35" s="1485">
        <f t="shared" si="3"/>
        <v>1</v>
      </c>
      <c r="AB35" s="1485">
        <f t="shared" si="4"/>
        <v>1</v>
      </c>
      <c r="AC35" s="1485">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708"/>
      <c r="Q36" s="1481" t="str">
        <f t="shared" si="11"/>
        <v>公共部分装修</v>
      </c>
      <c r="R36" s="1482" t="s">
        <v>11</v>
      </c>
      <c r="S36" s="1483">
        <f t="shared" si="12"/>
        <v>100</v>
      </c>
      <c r="T36" s="1482" t="s">
        <v>11</v>
      </c>
      <c r="U36" s="1483">
        <f t="shared" si="13"/>
        <v>100</v>
      </c>
      <c r="V36" s="1482" t="s">
        <v>11</v>
      </c>
      <c r="W36" s="1483">
        <f t="shared" si="14"/>
        <v>100</v>
      </c>
      <c r="X36" s="1476"/>
      <c r="Y36" s="3708"/>
      <c r="Z36" s="1484" t="str">
        <f t="shared" si="15"/>
        <v>公共部分装修</v>
      </c>
      <c r="AA36" s="1485">
        <f t="shared" si="3"/>
        <v>1</v>
      </c>
      <c r="AB36" s="1485">
        <f t="shared" si="4"/>
        <v>1</v>
      </c>
      <c r="AC36" s="1485">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708"/>
      <c r="Q37" s="1116" t="str">
        <f t="shared" si="11"/>
        <v>成新度</v>
      </c>
      <c r="R37" s="1477" t="s">
        <v>11</v>
      </c>
      <c r="S37" s="1478" t="e">
        <f t="shared" si="12"/>
        <v>#N/A</v>
      </c>
      <c r="T37" s="1477" t="s">
        <v>11</v>
      </c>
      <c r="U37" s="1478" t="e">
        <f t="shared" si="13"/>
        <v>#N/A</v>
      </c>
      <c r="V37" s="1477" t="s">
        <v>11</v>
      </c>
      <c r="W37" s="1478" t="e">
        <f t="shared" si="14"/>
        <v>#N/A</v>
      </c>
      <c r="X37" s="1479"/>
      <c r="Y37" s="3708"/>
      <c r="Z37" s="1115" t="str">
        <f t="shared" si="15"/>
        <v>成新度</v>
      </c>
      <c r="AA37" s="1480" t="e">
        <f t="shared" si="3"/>
        <v>#N/A</v>
      </c>
      <c r="AB37" s="1480" t="e">
        <f t="shared" si="4"/>
        <v>#N/A</v>
      </c>
      <c r="AC37" s="1480"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708" t="s">
        <v>528</v>
      </c>
      <c r="Q38" s="1481" t="str">
        <f t="shared" si="11"/>
        <v>物业管理</v>
      </c>
      <c r="R38" s="1482" t="s">
        <v>11</v>
      </c>
      <c r="S38" s="1483">
        <f t="shared" si="12"/>
        <v>100</v>
      </c>
      <c r="T38" s="1482" t="s">
        <v>11</v>
      </c>
      <c r="U38" s="1483">
        <f t="shared" si="13"/>
        <v>100</v>
      </c>
      <c r="V38" s="1482" t="s">
        <v>11</v>
      </c>
      <c r="W38" s="1483">
        <f t="shared" si="14"/>
        <v>100</v>
      </c>
      <c r="X38" s="1476"/>
      <c r="Y38" s="3708" t="s">
        <v>528</v>
      </c>
      <c r="Z38" s="1484" t="str">
        <f t="shared" si="15"/>
        <v>物业管理</v>
      </c>
      <c r="AA38" s="1485">
        <f t="shared" si="3"/>
        <v>1</v>
      </c>
      <c r="AB38" s="1485">
        <f t="shared" si="4"/>
        <v>1</v>
      </c>
      <c r="AC38" s="1485">
        <f t="shared" si="5"/>
        <v>1</v>
      </c>
    </row>
    <row r="39" spans="1:29" ht="15">
      <c r="A39" s="570"/>
      <c r="B39" s="1782"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708"/>
      <c r="Q39" s="1481" t="str">
        <f t="shared" si="11"/>
        <v>市政基础设施</v>
      </c>
      <c r="R39" s="1482" t="s">
        <v>11</v>
      </c>
      <c r="S39" s="1483">
        <f t="shared" si="12"/>
        <v>100</v>
      </c>
      <c r="T39" s="1482" t="s">
        <v>11</v>
      </c>
      <c r="U39" s="1483">
        <f t="shared" si="13"/>
        <v>100</v>
      </c>
      <c r="V39" s="1482" t="s">
        <v>11</v>
      </c>
      <c r="W39" s="1483">
        <f t="shared" si="14"/>
        <v>100</v>
      </c>
      <c r="X39" s="1476"/>
      <c r="Y39" s="3708"/>
      <c r="Z39" s="1484" t="str">
        <f t="shared" si="15"/>
        <v>市政基础设施</v>
      </c>
      <c r="AA39" s="1485">
        <f t="shared" si="3"/>
        <v>1</v>
      </c>
      <c r="AB39" s="1485">
        <f t="shared" si="4"/>
        <v>1</v>
      </c>
      <c r="AC39" s="1485">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708"/>
      <c r="Q40" s="1481" t="str">
        <f t="shared" si="11"/>
        <v>房型</v>
      </c>
      <c r="R40" s="1482" t="s">
        <v>11</v>
      </c>
      <c r="S40" s="1483">
        <f t="shared" si="12"/>
        <v>100</v>
      </c>
      <c r="T40" s="1482" t="s">
        <v>11</v>
      </c>
      <c r="U40" s="1483">
        <f t="shared" si="13"/>
        <v>100</v>
      </c>
      <c r="V40" s="1482" t="s">
        <v>11</v>
      </c>
      <c r="W40" s="1483">
        <f t="shared" si="14"/>
        <v>100</v>
      </c>
      <c r="X40" s="1476"/>
      <c r="Y40" s="3708"/>
      <c r="Z40" s="1484" t="str">
        <f t="shared" si="15"/>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708"/>
      <c r="Q41" s="1510" t="str">
        <f t="shared" si="11"/>
        <v>单套/主力户型建筑面积</v>
      </c>
      <c r="R41" s="1486" t="s">
        <v>11</v>
      </c>
      <c r="S41" s="1487">
        <f t="shared" si="12"/>
        <v>100</v>
      </c>
      <c r="T41" s="1486" t="s">
        <v>11</v>
      </c>
      <c r="U41" s="1487">
        <f t="shared" si="13"/>
        <v>100</v>
      </c>
      <c r="V41" s="1486" t="s">
        <v>11</v>
      </c>
      <c r="W41" s="1487">
        <f t="shared" si="14"/>
        <v>100</v>
      </c>
      <c r="X41" s="1488"/>
      <c r="Y41" s="3708"/>
      <c r="Z41" s="1489" t="str">
        <f t="shared" si="15"/>
        <v>单套/主力户型建筑面积</v>
      </c>
      <c r="AA41" s="1485">
        <f t="shared" si="3"/>
        <v>1</v>
      </c>
      <c r="AB41" s="1485">
        <f t="shared" si="4"/>
        <v>1</v>
      </c>
      <c r="AC41" s="1485">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708"/>
      <c r="Q42" s="1481" t="str">
        <f t="shared" si="11"/>
        <v>内部装修</v>
      </c>
      <c r="R42" s="1482" t="s">
        <v>11</v>
      </c>
      <c r="S42" s="1483">
        <f t="shared" si="12"/>
        <v>100</v>
      </c>
      <c r="T42" s="1482" t="s">
        <v>11</v>
      </c>
      <c r="U42" s="1483">
        <f t="shared" si="13"/>
        <v>100</v>
      </c>
      <c r="V42" s="1482" t="s">
        <v>11</v>
      </c>
      <c r="W42" s="1483">
        <f t="shared" si="14"/>
        <v>100</v>
      </c>
      <c r="X42" s="1476"/>
      <c r="Y42" s="3708"/>
      <c r="Z42" s="1484" t="str">
        <f t="shared" si="15"/>
        <v>内部装修</v>
      </c>
      <c r="AA42" s="1485">
        <f t="shared" si="3"/>
        <v>1</v>
      </c>
      <c r="AB42" s="1485">
        <f t="shared" si="4"/>
        <v>1</v>
      </c>
      <c r="AC42" s="1485">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708"/>
      <c r="Q43" s="1481" t="str">
        <f t="shared" si="11"/>
        <v>内部装修维护情况</v>
      </c>
      <c r="R43" s="1482" t="s">
        <v>11</v>
      </c>
      <c r="S43" s="1483">
        <f t="shared" si="12"/>
        <v>100</v>
      </c>
      <c r="T43" s="1482" t="s">
        <v>11</v>
      </c>
      <c r="U43" s="1483">
        <f t="shared" si="13"/>
        <v>100</v>
      </c>
      <c r="V43" s="1482" t="s">
        <v>11</v>
      </c>
      <c r="W43" s="1483">
        <f t="shared" si="14"/>
        <v>100</v>
      </c>
      <c r="X43" s="1476"/>
      <c r="Y43" s="3708"/>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708"/>
      <c r="Q44" s="1116">
        <f t="shared" si="11"/>
        <v>111</v>
      </c>
      <c r="R44" s="1477" t="s">
        <v>11</v>
      </c>
      <c r="S44" s="1478">
        <f t="shared" si="12"/>
        <v>100</v>
      </c>
      <c r="T44" s="1477" t="s">
        <v>11</v>
      </c>
      <c r="U44" s="1478">
        <f t="shared" si="13"/>
        <v>100</v>
      </c>
      <c r="V44" s="1477" t="s">
        <v>11</v>
      </c>
      <c r="W44" s="1478">
        <f t="shared" si="14"/>
        <v>100</v>
      </c>
      <c r="X44" s="1479"/>
      <c r="Y44" s="3708"/>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708"/>
      <c r="Q45" s="1481">
        <f t="shared" si="11"/>
        <v>111</v>
      </c>
      <c r="R45" s="1482" t="s">
        <v>11</v>
      </c>
      <c r="S45" s="1483">
        <f t="shared" si="12"/>
        <v>100</v>
      </c>
      <c r="T45" s="1482" t="s">
        <v>11</v>
      </c>
      <c r="U45" s="1483">
        <f t="shared" si="13"/>
        <v>100</v>
      </c>
      <c r="V45" s="1482" t="s">
        <v>11</v>
      </c>
      <c r="W45" s="1483">
        <f t="shared" si="14"/>
        <v>100</v>
      </c>
      <c r="X45" s="1476"/>
      <c r="Y45" s="3708"/>
      <c r="Z45" s="1484">
        <f t="shared" si="15"/>
        <v>111</v>
      </c>
      <c r="AA45" s="1485">
        <f t="shared" si="3"/>
        <v>1</v>
      </c>
      <c r="AB45" s="1485">
        <f t="shared" si="4"/>
        <v>1</v>
      </c>
      <c r="AC45" s="148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846"/>
      <c r="Q46" s="1481">
        <f t="shared" si="11"/>
        <v>111</v>
      </c>
      <c r="R46" s="1482" t="s">
        <v>10</v>
      </c>
      <c r="S46" s="1483">
        <f t="shared" si="12"/>
        <v>100</v>
      </c>
      <c r="T46" s="1482" t="s">
        <v>10</v>
      </c>
      <c r="U46" s="1483">
        <f t="shared" si="13"/>
        <v>100</v>
      </c>
      <c r="V46" s="1482" t="s">
        <v>10</v>
      </c>
      <c r="W46" s="1483">
        <f t="shared" si="14"/>
        <v>100</v>
      </c>
      <c r="X46" s="1476"/>
      <c r="Y46" s="3846"/>
      <c r="Z46" s="1484">
        <f t="shared" si="15"/>
        <v>111</v>
      </c>
      <c r="AA46" s="1485">
        <f t="shared" si="3"/>
        <v>1</v>
      </c>
      <c r="AB46" s="1485">
        <f t="shared" si="4"/>
        <v>1</v>
      </c>
      <c r="AC46" s="1485">
        <f t="shared" si="5"/>
        <v>1</v>
      </c>
    </row>
    <row r="47" spans="1:29" ht="15">
      <c r="A47" s="583" t="s">
        <v>714</v>
      </c>
      <c r="B47" s="858"/>
      <c r="C47" s="2438" t="s">
        <v>9</v>
      </c>
      <c r="D47" s="2439"/>
      <c r="E47" s="2440"/>
      <c r="F47" s="2441"/>
      <c r="G47" s="2442"/>
      <c r="H47" s="2443"/>
      <c r="I47" s="2440"/>
      <c r="J47" s="2443"/>
      <c r="K47" s="1511"/>
      <c r="L47" s="1997"/>
      <c r="M47" s="1998"/>
      <c r="N47" s="1987"/>
      <c r="O47" s="1998"/>
      <c r="P47" s="3703" t="str">
        <f>A47</f>
        <v>成交单价（元/平方米）</v>
      </c>
      <c r="Q47" s="3703"/>
      <c r="R47" s="3845">
        <f>E47</f>
        <v>0</v>
      </c>
      <c r="S47" s="3845"/>
      <c r="T47" s="3845">
        <f>G47</f>
        <v>0</v>
      </c>
      <c r="U47" s="3845"/>
      <c r="V47" s="3845">
        <f>I47</f>
        <v>0</v>
      </c>
      <c r="W47" s="3845"/>
      <c r="X47" s="1471"/>
      <c r="Y47" s="1490"/>
      <c r="Z47" s="1471"/>
      <c r="AA47" s="1471"/>
      <c r="AB47" s="1471"/>
      <c r="AC47" s="1471"/>
    </row>
    <row r="48" spans="1:29" ht="15.7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98"/>
      <c r="O48" s="1998"/>
      <c r="P48" s="3703" t="str">
        <f>A48</f>
        <v>比较价格（元/平方米）</v>
      </c>
      <c r="Q48" s="3703"/>
      <c r="R48" s="3845" t="e">
        <f>IF(F1="售价",ROUND(PRODUCT(R47,AA7:AA46),0),ROUND(PRODUCT(R47,AA7:AA46),1))</f>
        <v>#DIV/0!</v>
      </c>
      <c r="S48" s="3845"/>
      <c r="T48" s="3845" t="e">
        <f>IF(F1="售价",ROUND(PRODUCT(T47,AB7:AB46),0),ROUND(PRODUCT(T47,AB7:AB46),1))</f>
        <v>#DIV/0!</v>
      </c>
      <c r="U48" s="3845"/>
      <c r="V48" s="3845" t="e">
        <f>IF(F1="售价",ROUND(PRODUCT(V47,AC7:AC46),0),ROUND(PRODUCT(V47,AC7:AC46),1))</f>
        <v>#DIV/0!</v>
      </c>
      <c r="W48" s="3845"/>
      <c r="X48" s="1471"/>
      <c r="Y48" s="1471"/>
      <c r="Z48" s="1471"/>
      <c r="AA48" s="1471"/>
      <c r="AB48" s="1471"/>
      <c r="AC48" s="1471"/>
    </row>
    <row r="49" spans="1:29" ht="15.75" thickBot="1">
      <c r="A49" s="595" t="s">
        <v>2873</v>
      </c>
      <c r="B49" s="596"/>
      <c r="C49" s="2446" t="e">
        <f>R49</f>
        <v>#DIV/0!</v>
      </c>
      <c r="D49" s="2446"/>
      <c r="E49" s="2446"/>
      <c r="F49" s="2446"/>
      <c r="G49" s="2446"/>
      <c r="H49" s="2446"/>
      <c r="I49" s="2446"/>
      <c r="J49" s="2446"/>
      <c r="K49" s="1512"/>
      <c r="L49" s="1997"/>
      <c r="M49" s="1998"/>
      <c r="N49" s="1998"/>
      <c r="O49" s="1998"/>
      <c r="P49" s="3724" t="str">
        <f>A49</f>
        <v>估价对象XX用房的比较价格（楼面单价，元/平方米）</v>
      </c>
      <c r="Q49" s="3725"/>
      <c r="R49" s="3844" t="e">
        <f>IF(F1="售价",ROUND(IF(D48="简单平均",AVERAGE(R48:V48),R48*F48+T48*H48+V48*J48),0),ROUND(IF(D48="简单平均",AVERAGE(R48:V48),R48*F48+T48*H48+V48*J48),1))</f>
        <v>#DIV/0!</v>
      </c>
      <c r="S49" s="3844"/>
      <c r="T49" s="3844"/>
      <c r="U49" s="3844"/>
      <c r="V49" s="3844"/>
      <c r="W49" s="3844"/>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9" t="str">
        <f>YEAR(C7)&amp;"-"&amp;MONTH(C7)</f>
        <v>2022-3</v>
      </c>
      <c r="D58" s="2489">
        <f>EDATE(C58,-1)</f>
        <v>44593</v>
      </c>
      <c r="E58" s="2489">
        <f t="shared" ref="E58:O58" si="16">EDATE(D58,-1)</f>
        <v>44562</v>
      </c>
      <c r="F58" s="2489">
        <f t="shared" si="16"/>
        <v>44531</v>
      </c>
      <c r="G58" s="2489">
        <f t="shared" si="16"/>
        <v>44501</v>
      </c>
      <c r="H58" s="2489">
        <f t="shared" si="16"/>
        <v>44470</v>
      </c>
      <c r="I58" s="2489">
        <f t="shared" si="16"/>
        <v>44440</v>
      </c>
      <c r="J58" s="2489">
        <f t="shared" si="16"/>
        <v>44409</v>
      </c>
      <c r="K58" s="2489">
        <f t="shared" si="16"/>
        <v>44378</v>
      </c>
      <c r="L58" s="2489">
        <f t="shared" si="16"/>
        <v>44348</v>
      </c>
      <c r="M58" s="2489">
        <f t="shared" si="16"/>
        <v>44317</v>
      </c>
      <c r="N58" s="2489">
        <f t="shared" si="16"/>
        <v>44287</v>
      </c>
      <c r="O58" s="2489">
        <f t="shared" si="16"/>
        <v>44256</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1783" t="s">
        <v>2224</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5.7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1783" t="s">
        <v>2510</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2" t="s">
        <v>2225</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5" t="s">
        <v>2226</v>
      </c>
      <c r="C137" s="1806"/>
      <c r="D137" s="1806"/>
      <c r="E137" s="1806"/>
      <c r="F137" s="1806"/>
      <c r="G137" s="1807"/>
      <c r="H137" s="1808"/>
      <c r="I137" s="1809" t="s">
        <v>2227</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1"/>
      <c r="C138" s="1812" t="s">
        <v>2228</v>
      </c>
      <c r="D138" s="1812" t="s">
        <v>2229</v>
      </c>
      <c r="E138" s="1813" t="s">
        <v>2230</v>
      </c>
      <c r="F138" s="1814" t="s">
        <v>2231</v>
      </c>
      <c r="G138" s="1812" t="s">
        <v>2232</v>
      </c>
      <c r="H138" s="1815" t="s">
        <v>2233</v>
      </c>
      <c r="I138" s="1816"/>
      <c r="J138" s="1812" t="s">
        <v>2234</v>
      </c>
      <c r="K138" s="1815" t="s">
        <v>2235</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4">
        <v>6</v>
      </c>
      <c r="C139" s="1785">
        <v>96</v>
      </c>
      <c r="D139" s="1817" t="s">
        <v>2236</v>
      </c>
      <c r="E139" s="1786">
        <v>100</v>
      </c>
      <c r="F139" s="1787">
        <v>102.5</v>
      </c>
      <c r="G139" s="1817" t="s">
        <v>2237</v>
      </c>
      <c r="H139" s="1788">
        <v>105</v>
      </c>
      <c r="I139" s="1818" t="s">
        <v>2238</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90">
        <v>5</v>
      </c>
      <c r="C140" s="1791">
        <v>100</v>
      </c>
      <c r="D140" s="1819"/>
      <c r="E140" s="1792"/>
      <c r="F140" s="1793">
        <v>102</v>
      </c>
      <c r="G140" s="1819"/>
      <c r="H140" s="1794"/>
      <c r="I140" s="1820" t="s">
        <v>2239</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90">
        <v>4</v>
      </c>
      <c r="C141" s="1791">
        <v>102</v>
      </c>
      <c r="D141" s="1819"/>
      <c r="E141" s="1792"/>
      <c r="F141" s="1793">
        <v>101.5</v>
      </c>
      <c r="G141" s="1819"/>
      <c r="H141" s="1794"/>
      <c r="I141" s="1820" t="s">
        <v>2240</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90">
        <v>3</v>
      </c>
      <c r="C142" s="1791">
        <v>103</v>
      </c>
      <c r="D142" s="1819"/>
      <c r="E142" s="1792"/>
      <c r="F142" s="1793">
        <v>101</v>
      </c>
      <c r="G142" s="1819"/>
      <c r="H142" s="1794"/>
      <c r="I142" s="1820" t="s">
        <v>2241</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90">
        <v>2</v>
      </c>
      <c r="C143" s="1791">
        <v>100</v>
      </c>
      <c r="D143" s="1819"/>
      <c r="E143" s="1792"/>
      <c r="F143" s="1793">
        <v>100.5</v>
      </c>
      <c r="G143" s="1819"/>
      <c r="H143" s="1794"/>
      <c r="I143" s="1820" t="s">
        <v>2242</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90">
        <v>1</v>
      </c>
      <c r="C144" s="1791">
        <v>98</v>
      </c>
      <c r="D144" s="1821" t="s">
        <v>2243</v>
      </c>
      <c r="E144" s="1792">
        <v>102</v>
      </c>
      <c r="F144" s="1798">
        <v>100</v>
      </c>
      <c r="G144" s="1821" t="s">
        <v>2243</v>
      </c>
      <c r="H144" s="1794">
        <v>105</v>
      </c>
      <c r="I144" s="1820" t="s">
        <v>2242</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2" t="s">
        <v>2244</v>
      </c>
      <c r="C145" s="1799">
        <f>ROUND(MAX(C139:C144)/MIN(C139:C144)-1,3)</f>
        <v>7.2999999999999995E-2</v>
      </c>
      <c r="D145" s="1823"/>
      <c r="E145" s="1823"/>
      <c r="F145" s="1824" t="s">
        <v>2245</v>
      </c>
      <c r="G145" s="1825"/>
      <c r="H145" s="1826"/>
      <c r="I145" s="1827" t="s">
        <v>2242</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2253</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2254</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ht="15">
      <c r="A4" s="488" t="s">
        <v>499</v>
      </c>
      <c r="B4" s="489"/>
      <c r="C4" s="3709" t="s">
        <v>500</v>
      </c>
      <c r="D4" s="3710"/>
      <c r="E4" s="3814" t="s">
        <v>501</v>
      </c>
      <c r="F4" s="3815"/>
      <c r="G4" s="3709" t="s">
        <v>502</v>
      </c>
      <c r="H4" s="3710"/>
      <c r="I4" s="3709" t="s">
        <v>503</v>
      </c>
      <c r="J4" s="3710"/>
      <c r="K4" s="490" t="s">
        <v>504</v>
      </c>
      <c r="L4" s="1986"/>
      <c r="M4" s="1987"/>
      <c r="N4" s="1987"/>
      <c r="O4" s="1987"/>
      <c r="P4" s="3711" t="s">
        <v>505</v>
      </c>
      <c r="Q4" s="3712"/>
      <c r="R4" s="3697" t="s">
        <v>501</v>
      </c>
      <c r="S4" s="3698"/>
      <c r="T4" s="3697" t="s">
        <v>502</v>
      </c>
      <c r="U4" s="3698"/>
      <c r="V4" s="3717" t="s">
        <v>503</v>
      </c>
      <c r="W4" s="3717"/>
      <c r="X4" s="1476"/>
      <c r="Y4" s="3697" t="s">
        <v>505</v>
      </c>
      <c r="Z4" s="3698"/>
      <c r="AA4" s="3692" t="s">
        <v>501</v>
      </c>
      <c r="AB4" s="3717" t="s">
        <v>502</v>
      </c>
      <c r="AC4" s="3692" t="s">
        <v>503</v>
      </c>
    </row>
    <row r="5" spans="1:29" ht="15">
      <c r="A5" s="491"/>
      <c r="B5" s="492"/>
      <c r="C5" s="3720" t="s">
        <v>2867</v>
      </c>
      <c r="D5" s="3721"/>
      <c r="E5" s="3816" t="s">
        <v>2868</v>
      </c>
      <c r="F5" s="3817"/>
      <c r="G5" s="3720" t="s">
        <v>2869</v>
      </c>
      <c r="H5" s="3721"/>
      <c r="I5" s="3720" t="s">
        <v>2870</v>
      </c>
      <c r="J5" s="3721"/>
      <c r="K5" s="490"/>
      <c r="L5" s="1986"/>
      <c r="M5" s="1987"/>
      <c r="N5" s="1987"/>
      <c r="O5" s="1987"/>
      <c r="P5" s="3713"/>
      <c r="Q5" s="3714"/>
      <c r="R5" s="3699"/>
      <c r="S5" s="3700"/>
      <c r="T5" s="3699"/>
      <c r="U5" s="3700"/>
      <c r="V5" s="3717"/>
      <c r="W5" s="3717"/>
      <c r="X5" s="1476"/>
      <c r="Y5" s="3699"/>
      <c r="Z5" s="3700"/>
      <c r="AA5" s="3693"/>
      <c r="AB5" s="3717"/>
      <c r="AC5" s="3693"/>
    </row>
    <row r="6" spans="1:29" ht="15.75" thickBot="1">
      <c r="A6" s="493"/>
      <c r="B6" s="494"/>
      <c r="C6" s="3718" t="s">
        <v>2871</v>
      </c>
      <c r="D6" s="3719"/>
      <c r="E6" s="3818" t="s">
        <v>2871</v>
      </c>
      <c r="F6" s="3819"/>
      <c r="G6" s="3718" t="s">
        <v>2871</v>
      </c>
      <c r="H6" s="3719"/>
      <c r="I6" s="3718" t="s">
        <v>2871</v>
      </c>
      <c r="J6" s="3719"/>
      <c r="K6" s="490" t="s">
        <v>506</v>
      </c>
      <c r="L6" s="1986"/>
      <c r="M6" s="1987"/>
      <c r="N6" s="1987"/>
      <c r="O6" s="1987"/>
      <c r="P6" s="3715"/>
      <c r="Q6" s="3716"/>
      <c r="R6" s="3699"/>
      <c r="S6" s="3700"/>
      <c r="T6" s="3701"/>
      <c r="U6" s="3702"/>
      <c r="V6" s="3717"/>
      <c r="W6" s="3717"/>
      <c r="X6" s="1476"/>
      <c r="Y6" s="3701"/>
      <c r="Z6" s="3702"/>
      <c r="AA6" s="3694"/>
      <c r="AB6" s="3717"/>
      <c r="AC6" s="3694"/>
    </row>
    <row r="7" spans="1:29" s="1185" customFormat="1" ht="15.75" thickBot="1">
      <c r="A7" s="2597"/>
      <c r="B7" s="2604" t="s">
        <v>507</v>
      </c>
      <c r="C7" s="495">
        <f>'数据-取费表'!B2</f>
        <v>44623</v>
      </c>
      <c r="D7" s="496">
        <v>100</v>
      </c>
      <c r="E7" s="497"/>
      <c r="F7" s="498">
        <f>SUMIF(58:58,YEAR(E7)&amp;"-"&amp;MONTH(E7),59:59)</f>
        <v>0</v>
      </c>
      <c r="G7" s="497"/>
      <c r="H7" s="496">
        <f>SUMIF(58:58,YEAR(G7)&amp;"-"&amp;MONTH(G7),59:59)</f>
        <v>0</v>
      </c>
      <c r="I7" s="497"/>
      <c r="J7" s="496">
        <f>SUMIF(58:58,YEAR(I7)&amp;"-"&amp;MONTH(I7),59:59)</f>
        <v>0</v>
      </c>
      <c r="K7" s="500"/>
      <c r="L7" s="1988"/>
      <c r="M7" s="1989"/>
      <c r="N7" s="1989"/>
      <c r="O7" s="1989"/>
      <c r="P7" s="3695" t="s">
        <v>508</v>
      </c>
      <c r="Q7" s="3704"/>
      <c r="R7" s="1477" t="s">
        <v>8</v>
      </c>
      <c r="S7" s="1478">
        <f t="shared" ref="S7:S15" si="0">F7</f>
        <v>0</v>
      </c>
      <c r="T7" s="1477" t="s">
        <v>8</v>
      </c>
      <c r="U7" s="1478">
        <f t="shared" ref="U7:U15" si="1">H7</f>
        <v>0</v>
      </c>
      <c r="V7" s="1477" t="s">
        <v>8</v>
      </c>
      <c r="W7" s="1478">
        <f t="shared" ref="W7:W15" si="2">J7</f>
        <v>0</v>
      </c>
      <c r="X7" s="1479"/>
      <c r="Y7" s="3695" t="s">
        <v>508</v>
      </c>
      <c r="Z7" s="3696"/>
      <c r="AA7" s="1480" t="e">
        <f>D7/F7</f>
        <v>#DIV/0!</v>
      </c>
      <c r="AB7" s="1480" t="e">
        <f>D7/H7</f>
        <v>#DIV/0!</v>
      </c>
      <c r="AC7" s="1480" t="e">
        <f>D7/J7</f>
        <v>#DIV/0!</v>
      </c>
    </row>
    <row r="8" spans="1:29" s="1185" customFormat="1" ht="15.7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695" t="s">
        <v>511</v>
      </c>
      <c r="Q8" s="3696"/>
      <c r="R8" s="1477" t="s">
        <v>8</v>
      </c>
      <c r="S8" s="1478">
        <f t="shared" si="0"/>
        <v>0</v>
      </c>
      <c r="T8" s="1477" t="s">
        <v>8</v>
      </c>
      <c r="U8" s="1478">
        <f t="shared" si="1"/>
        <v>0</v>
      </c>
      <c r="V8" s="1477" t="s">
        <v>8</v>
      </c>
      <c r="W8" s="1478">
        <f t="shared" si="2"/>
        <v>0</v>
      </c>
      <c r="X8" s="1479"/>
      <c r="Y8" s="3695" t="s">
        <v>511</v>
      </c>
      <c r="Z8" s="3696"/>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703" t="s">
        <v>513</v>
      </c>
      <c r="Q9" s="1116" t="str">
        <f t="shared" ref="Q9:Q15" si="6">B9</f>
        <v>用途</v>
      </c>
      <c r="R9" s="1477" t="s">
        <v>8</v>
      </c>
      <c r="S9" s="1478">
        <f t="shared" si="0"/>
        <v>100</v>
      </c>
      <c r="T9" s="1477" t="s">
        <v>8</v>
      </c>
      <c r="U9" s="1478">
        <f t="shared" si="1"/>
        <v>100</v>
      </c>
      <c r="V9" s="1477" t="s">
        <v>8</v>
      </c>
      <c r="W9" s="1478">
        <f t="shared" si="2"/>
        <v>100</v>
      </c>
      <c r="X9" s="1479"/>
      <c r="Y9" s="3644"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703"/>
      <c r="Q10" s="1116" t="str">
        <f t="shared" si="6"/>
        <v>土地使用年限（年）</v>
      </c>
      <c r="R10" s="1477" t="s">
        <v>8</v>
      </c>
      <c r="S10" s="1478">
        <f t="shared" si="0"/>
        <v>100</v>
      </c>
      <c r="T10" s="1477" t="s">
        <v>8</v>
      </c>
      <c r="U10" s="1478">
        <f t="shared" si="1"/>
        <v>100</v>
      </c>
      <c r="V10" s="1477" t="s">
        <v>8</v>
      </c>
      <c r="W10" s="1478">
        <f t="shared" si="2"/>
        <v>100</v>
      </c>
      <c r="X10" s="1479"/>
      <c r="Y10" s="3644"/>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703"/>
      <c r="Q11" s="1116" t="str">
        <f t="shared" si="6"/>
        <v>容积率</v>
      </c>
      <c r="R11" s="1477" t="s">
        <v>8</v>
      </c>
      <c r="S11" s="1478" t="e">
        <f t="shared" si="0"/>
        <v>#N/A</v>
      </c>
      <c r="T11" s="1477" t="s">
        <v>8</v>
      </c>
      <c r="U11" s="1478" t="e">
        <f t="shared" si="1"/>
        <v>#N/A</v>
      </c>
      <c r="V11" s="1477" t="s">
        <v>8</v>
      </c>
      <c r="W11" s="1478" t="e">
        <f t="shared" si="2"/>
        <v>#N/A</v>
      </c>
      <c r="X11" s="1479"/>
      <c r="Y11" s="3644"/>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703"/>
      <c r="Q12" s="1116">
        <f t="shared" si="6"/>
        <v>111</v>
      </c>
      <c r="R12" s="1477" t="s">
        <v>8</v>
      </c>
      <c r="S12" s="1478">
        <f t="shared" si="0"/>
        <v>100</v>
      </c>
      <c r="T12" s="1477" t="s">
        <v>8</v>
      </c>
      <c r="U12" s="1478">
        <f t="shared" si="1"/>
        <v>100</v>
      </c>
      <c r="V12" s="1477" t="s">
        <v>8</v>
      </c>
      <c r="W12" s="1478">
        <f t="shared" si="2"/>
        <v>100</v>
      </c>
      <c r="X12" s="1479"/>
      <c r="Y12" s="3644"/>
      <c r="Z12" s="1115">
        <f t="shared" si="7"/>
        <v>111</v>
      </c>
      <c r="AA12" s="1480">
        <f>D12/F12</f>
        <v>1</v>
      </c>
      <c r="AB12" s="1480">
        <f>D12/H12</f>
        <v>1</v>
      </c>
      <c r="AC12" s="1480">
        <f>D12/J12</f>
        <v>1</v>
      </c>
    </row>
    <row r="13" spans="1:29" ht="1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703"/>
      <c r="Q13" s="1116">
        <f t="shared" si="6"/>
        <v>111</v>
      </c>
      <c r="R13" s="1477" t="s">
        <v>8</v>
      </c>
      <c r="S13" s="1478">
        <f t="shared" si="0"/>
        <v>100</v>
      </c>
      <c r="T13" s="1477" t="s">
        <v>8</v>
      </c>
      <c r="U13" s="1478">
        <f t="shared" si="1"/>
        <v>100</v>
      </c>
      <c r="V13" s="1477" t="s">
        <v>8</v>
      </c>
      <c r="W13" s="1478">
        <f t="shared" si="2"/>
        <v>100</v>
      </c>
      <c r="X13" s="1479"/>
      <c r="Y13" s="3644"/>
      <c r="Z13" s="1115">
        <f t="shared" si="7"/>
        <v>111</v>
      </c>
      <c r="AA13" s="1480">
        <f t="shared" si="3"/>
        <v>1</v>
      </c>
      <c r="AB13" s="1480">
        <f t="shared" si="4"/>
        <v>1</v>
      </c>
      <c r="AC13" s="1480">
        <f t="shared" si="5"/>
        <v>1</v>
      </c>
    </row>
    <row r="14" spans="1:29" ht="15.75"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703"/>
      <c r="Q14" s="1116">
        <f t="shared" si="6"/>
        <v>111</v>
      </c>
      <c r="R14" s="1477" t="s">
        <v>8</v>
      </c>
      <c r="S14" s="1478">
        <f t="shared" si="0"/>
        <v>100</v>
      </c>
      <c r="T14" s="1477" t="s">
        <v>8</v>
      </c>
      <c r="U14" s="1478">
        <f t="shared" si="1"/>
        <v>100</v>
      </c>
      <c r="V14" s="1477" t="s">
        <v>8</v>
      </c>
      <c r="W14" s="1478">
        <f t="shared" si="2"/>
        <v>100</v>
      </c>
      <c r="X14" s="1479"/>
      <c r="Y14" s="3644"/>
      <c r="Z14" s="1115">
        <f t="shared" si="7"/>
        <v>111</v>
      </c>
      <c r="AA14" s="1480">
        <f t="shared" si="3"/>
        <v>1</v>
      </c>
      <c r="AB14" s="1480">
        <f t="shared" si="4"/>
        <v>1</v>
      </c>
      <c r="AC14" s="1480">
        <f t="shared" si="5"/>
        <v>1</v>
      </c>
    </row>
    <row r="15" spans="1:29" ht="71.25">
      <c r="A15" s="2595"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705" t="s">
        <v>518</v>
      </c>
      <c r="Q15" s="1481" t="str">
        <f t="shared" si="6"/>
        <v>商业繁华度</v>
      </c>
      <c r="R15" s="1482" t="s">
        <v>8</v>
      </c>
      <c r="S15" s="1483">
        <f t="shared" si="0"/>
        <v>100</v>
      </c>
      <c r="T15" s="1482" t="s">
        <v>8</v>
      </c>
      <c r="U15" s="1483">
        <f t="shared" si="1"/>
        <v>100</v>
      </c>
      <c r="V15" s="1482" t="s">
        <v>8</v>
      </c>
      <c r="W15" s="1483">
        <f t="shared" si="2"/>
        <v>100</v>
      </c>
      <c r="X15" s="1476"/>
      <c r="Y15" s="3705" t="s">
        <v>518</v>
      </c>
      <c r="Z15" s="1484" t="str">
        <f t="shared" si="7"/>
        <v>商业繁华度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706"/>
      <c r="Q16" s="1481"/>
      <c r="R16" s="1482"/>
      <c r="S16" s="1483"/>
      <c r="T16" s="1482"/>
      <c r="U16" s="1483"/>
      <c r="V16" s="1482"/>
      <c r="W16" s="1483"/>
      <c r="X16" s="1476"/>
      <c r="Y16" s="3706"/>
      <c r="Z16" s="1484"/>
      <c r="AA16" s="1485">
        <v>1</v>
      </c>
      <c r="AB16" s="1485">
        <v>1</v>
      </c>
      <c r="AC16" s="148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706"/>
      <c r="Q17" s="1481" t="str">
        <f>B17</f>
        <v>交通便捷度</v>
      </c>
      <c r="R17" s="1482" t="s">
        <v>8</v>
      </c>
      <c r="S17" s="1483">
        <f>F17</f>
        <v>100</v>
      </c>
      <c r="T17" s="1482" t="s">
        <v>8</v>
      </c>
      <c r="U17" s="1483">
        <f>H17</f>
        <v>100</v>
      </c>
      <c r="V17" s="1482" t="s">
        <v>8</v>
      </c>
      <c r="W17" s="1483">
        <f>J17</f>
        <v>100</v>
      </c>
      <c r="X17" s="1476"/>
      <c r="Y17" s="3706"/>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706"/>
      <c r="Q18" s="1481"/>
      <c r="R18" s="1482"/>
      <c r="S18" s="1483"/>
      <c r="T18" s="1482"/>
      <c r="U18" s="1483"/>
      <c r="V18" s="1482"/>
      <c r="W18" s="1483"/>
      <c r="X18" s="1476"/>
      <c r="Y18" s="3706"/>
      <c r="Z18" s="1484"/>
      <c r="AA18" s="1485">
        <v>1</v>
      </c>
      <c r="AB18" s="1485">
        <v>1</v>
      </c>
      <c r="AC18" s="1485">
        <v>1</v>
      </c>
    </row>
    <row r="19" spans="1:29" ht="42.75">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706"/>
      <c r="Q19" s="1481" t="str">
        <f>B19</f>
        <v>公共配套设施</v>
      </c>
      <c r="R19" s="1482" t="s">
        <v>8</v>
      </c>
      <c r="S19" s="1483">
        <f>F19</f>
        <v>100</v>
      </c>
      <c r="T19" s="1482" t="s">
        <v>8</v>
      </c>
      <c r="U19" s="1483">
        <f>H19</f>
        <v>100</v>
      </c>
      <c r="V19" s="1482" t="s">
        <v>8</v>
      </c>
      <c r="W19" s="1483">
        <f>J19</f>
        <v>100</v>
      </c>
      <c r="X19" s="1476"/>
      <c r="Y19" s="3706"/>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70"/>
      <c r="L20" s="1995"/>
      <c r="M20" s="1987"/>
      <c r="N20" s="1987"/>
      <c r="O20" s="1994"/>
      <c r="P20" s="3706"/>
      <c r="Q20" s="1481"/>
      <c r="R20" s="1482"/>
      <c r="S20" s="1483"/>
      <c r="T20" s="1482"/>
      <c r="U20" s="1483"/>
      <c r="V20" s="1482"/>
      <c r="W20" s="1483"/>
      <c r="X20" s="1476"/>
      <c r="Y20" s="3706"/>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706"/>
      <c r="Q21" s="2397" t="str">
        <f>B21</f>
        <v>基础设施水平</v>
      </c>
      <c r="R21" s="1482" t="s">
        <v>8</v>
      </c>
      <c r="S21" s="1483">
        <f>F21</f>
        <v>100</v>
      </c>
      <c r="T21" s="1482" t="s">
        <v>8</v>
      </c>
      <c r="U21" s="1483">
        <f>H21</f>
        <v>100</v>
      </c>
      <c r="V21" s="1482" t="s">
        <v>8</v>
      </c>
      <c r="W21" s="1483">
        <f>J21</f>
        <v>100</v>
      </c>
      <c r="X21" s="2399"/>
      <c r="Y21" s="3706"/>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4"/>
      <c r="L22" s="1995"/>
      <c r="M22" s="1987"/>
      <c r="N22" s="1987"/>
      <c r="O22" s="1994"/>
      <c r="P22" s="3706"/>
      <c r="Q22" s="2397"/>
      <c r="R22" s="1482"/>
      <c r="S22" s="1483"/>
      <c r="T22" s="1482"/>
      <c r="U22" s="1483"/>
      <c r="V22" s="1482"/>
      <c r="W22" s="1483"/>
      <c r="X22" s="2399"/>
      <c r="Y22" s="3706"/>
      <c r="Z22" s="2398"/>
      <c r="AA22" s="1485">
        <v>1</v>
      </c>
      <c r="AB22" s="1485">
        <v>1</v>
      </c>
      <c r="AC22" s="1485">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706"/>
      <c r="Q23" s="1481" t="str">
        <f>B23</f>
        <v>自然及人文环境</v>
      </c>
      <c r="R23" s="1482" t="s">
        <v>8</v>
      </c>
      <c r="S23" s="1483">
        <f>F23</f>
        <v>100</v>
      </c>
      <c r="T23" s="1482" t="s">
        <v>8</v>
      </c>
      <c r="U23" s="1483">
        <f>H23</f>
        <v>100</v>
      </c>
      <c r="V23" s="1482" t="s">
        <v>8</v>
      </c>
      <c r="W23" s="1483">
        <f>J23</f>
        <v>100</v>
      </c>
      <c r="X23" s="1476"/>
      <c r="Y23" s="3706"/>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70"/>
      <c r="L24" s="1995"/>
      <c r="M24" s="1987"/>
      <c r="N24" s="1987"/>
      <c r="O24" s="1994"/>
      <c r="P24" s="3706"/>
      <c r="Q24" s="1481"/>
      <c r="R24" s="1482"/>
      <c r="S24" s="1483"/>
      <c r="T24" s="1482"/>
      <c r="U24" s="1483"/>
      <c r="V24" s="1482"/>
      <c r="W24" s="1483"/>
      <c r="X24" s="1476"/>
      <c r="Y24" s="3706"/>
      <c r="Z24" s="1484"/>
      <c r="AA24" s="1485">
        <v>1</v>
      </c>
      <c r="AB24" s="1485">
        <v>1</v>
      </c>
      <c r="AC24" s="148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706"/>
      <c r="Q25" s="1481" t="str">
        <f t="shared" ref="Q25:Q46" si="11">B25</f>
        <v>临街状况</v>
      </c>
      <c r="R25" s="1482" t="s">
        <v>8</v>
      </c>
      <c r="S25" s="1483">
        <f>F25</f>
        <v>100</v>
      </c>
      <c r="T25" s="1482" t="s">
        <v>8</v>
      </c>
      <c r="U25" s="1483">
        <f>H25</f>
        <v>100</v>
      </c>
      <c r="V25" s="1482" t="s">
        <v>8</v>
      </c>
      <c r="W25" s="1483">
        <f>J25</f>
        <v>100</v>
      </c>
      <c r="X25" s="1476"/>
      <c r="Y25" s="3706"/>
      <c r="Z25" s="1484" t="str">
        <f>Q25</f>
        <v>临街状况</v>
      </c>
      <c r="AA25" s="1485">
        <f t="shared" si="3"/>
        <v>1</v>
      </c>
      <c r="AB25" s="1485">
        <f t="shared" si="4"/>
        <v>1</v>
      </c>
      <c r="AC25" s="1485">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706"/>
      <c r="Q26" s="1481" t="str">
        <f t="shared" si="11"/>
        <v>平面位置/可视性</v>
      </c>
      <c r="R26" s="1482" t="s">
        <v>8</v>
      </c>
      <c r="S26" s="1483">
        <f>F26</f>
        <v>100</v>
      </c>
      <c r="T26" s="1482" t="s">
        <v>8</v>
      </c>
      <c r="U26" s="1483">
        <f>H26</f>
        <v>100</v>
      </c>
      <c r="V26" s="1482" t="s">
        <v>8</v>
      </c>
      <c r="W26" s="1483">
        <f>J26</f>
        <v>100</v>
      </c>
      <c r="X26" s="1476"/>
      <c r="Y26" s="3706"/>
      <c r="Z26" s="1484" t="str">
        <f>Q26</f>
        <v>平面位置/可视性</v>
      </c>
      <c r="AA26" s="1485">
        <f t="shared" si="3"/>
        <v>1</v>
      </c>
      <c r="AB26" s="1485">
        <f t="shared" si="4"/>
        <v>1</v>
      </c>
      <c r="AC26" s="1485">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706"/>
      <c r="Q27" s="1116" t="str">
        <f t="shared" si="11"/>
        <v>人流量</v>
      </c>
      <c r="R27" s="1477" t="s">
        <v>8</v>
      </c>
      <c r="S27" s="1478">
        <f>F27</f>
        <v>100</v>
      </c>
      <c r="T27" s="1477" t="s">
        <v>8</v>
      </c>
      <c r="U27" s="1478">
        <f>H27</f>
        <v>100</v>
      </c>
      <c r="V27" s="1477" t="s">
        <v>8</v>
      </c>
      <c r="W27" s="1478">
        <f>J27</f>
        <v>100</v>
      </c>
      <c r="X27" s="1479"/>
      <c r="Y27" s="3706"/>
      <c r="Z27" s="1115" t="str">
        <f>Q27</f>
        <v>人流量</v>
      </c>
      <c r="AA27" s="1485">
        <f>D27/F27</f>
        <v>1</v>
      </c>
      <c r="AB27" s="1485">
        <f>D27/H27</f>
        <v>1</v>
      </c>
      <c r="AC27" s="1485">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706"/>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706"/>
      <c r="Z28" s="1484" t="str">
        <f t="shared" ref="Z28:Z46" si="15">Q28</f>
        <v>楼层</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706"/>
      <c r="Q29" s="1481">
        <f t="shared" si="11"/>
        <v>111</v>
      </c>
      <c r="R29" s="1482" t="s">
        <v>8</v>
      </c>
      <c r="S29" s="1483">
        <f t="shared" si="12"/>
        <v>100</v>
      </c>
      <c r="T29" s="1482" t="s">
        <v>8</v>
      </c>
      <c r="U29" s="1483">
        <f t="shared" si="13"/>
        <v>100</v>
      </c>
      <c r="V29" s="1482" t="s">
        <v>8</v>
      </c>
      <c r="W29" s="1483">
        <f t="shared" si="14"/>
        <v>100</v>
      </c>
      <c r="X29" s="1476"/>
      <c r="Y29" s="3706"/>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706"/>
      <c r="Q30" s="1481">
        <f t="shared" si="11"/>
        <v>111</v>
      </c>
      <c r="R30" s="1482" t="s">
        <v>8</v>
      </c>
      <c r="S30" s="1483">
        <f t="shared" si="12"/>
        <v>100</v>
      </c>
      <c r="T30" s="1482" t="s">
        <v>8</v>
      </c>
      <c r="U30" s="1483">
        <f t="shared" si="13"/>
        <v>100</v>
      </c>
      <c r="V30" s="1482" t="s">
        <v>8</v>
      </c>
      <c r="W30" s="1483">
        <f t="shared" si="14"/>
        <v>100</v>
      </c>
      <c r="X30" s="1476"/>
      <c r="Y30" s="3706"/>
      <c r="Z30" s="1484">
        <f t="shared" si="15"/>
        <v>111</v>
      </c>
      <c r="AA30" s="1485">
        <f t="shared" si="3"/>
        <v>1</v>
      </c>
      <c r="AB30" s="1485">
        <f t="shared" si="4"/>
        <v>1</v>
      </c>
      <c r="AC30" s="148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706"/>
      <c r="Q31" s="1481">
        <f t="shared" si="11"/>
        <v>111</v>
      </c>
      <c r="R31" s="1482" t="s">
        <v>8</v>
      </c>
      <c r="S31" s="1483">
        <f t="shared" si="12"/>
        <v>100</v>
      </c>
      <c r="T31" s="1482" t="s">
        <v>8</v>
      </c>
      <c r="U31" s="1483">
        <f t="shared" si="13"/>
        <v>100</v>
      </c>
      <c r="V31" s="1482" t="s">
        <v>8</v>
      </c>
      <c r="W31" s="1483">
        <f t="shared" si="14"/>
        <v>100</v>
      </c>
      <c r="X31" s="1476"/>
      <c r="Y31" s="3706"/>
      <c r="Z31" s="1484">
        <f t="shared" si="15"/>
        <v>111</v>
      </c>
      <c r="AA31" s="1485">
        <f t="shared" si="3"/>
        <v>1</v>
      </c>
      <c r="AB31" s="1485">
        <f t="shared" si="4"/>
        <v>1</v>
      </c>
      <c r="AC31" s="1485">
        <f t="shared" si="5"/>
        <v>1</v>
      </c>
    </row>
    <row r="32" spans="1:29" ht="15">
      <c r="A32" s="2592"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707" t="s">
        <v>528</v>
      </c>
      <c r="Q32" s="1481" t="str">
        <f t="shared" si="11"/>
        <v>商业类型</v>
      </c>
      <c r="R32" s="1482" t="s">
        <v>8</v>
      </c>
      <c r="S32" s="1483">
        <f t="shared" si="12"/>
        <v>100</v>
      </c>
      <c r="T32" s="1482" t="s">
        <v>8</v>
      </c>
      <c r="U32" s="1483">
        <f t="shared" si="13"/>
        <v>100</v>
      </c>
      <c r="V32" s="1482" t="s">
        <v>8</v>
      </c>
      <c r="W32" s="1483">
        <f t="shared" si="14"/>
        <v>100</v>
      </c>
      <c r="X32" s="1476"/>
      <c r="Y32" s="3708" t="s">
        <v>528</v>
      </c>
      <c r="Z32" s="1484" t="str">
        <f t="shared" si="15"/>
        <v>商业类型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708"/>
      <c r="Q33" s="1510" t="str">
        <f t="shared" si="11"/>
        <v>项目建筑规模</v>
      </c>
      <c r="R33" s="1486" t="s">
        <v>8</v>
      </c>
      <c r="S33" s="1487" t="e">
        <f t="shared" si="12"/>
        <v>#N/A</v>
      </c>
      <c r="T33" s="1486" t="s">
        <v>8</v>
      </c>
      <c r="U33" s="1487" t="e">
        <f t="shared" si="13"/>
        <v>#N/A</v>
      </c>
      <c r="V33" s="1486" t="s">
        <v>8</v>
      </c>
      <c r="W33" s="1487" t="e">
        <f t="shared" si="14"/>
        <v>#N/A</v>
      </c>
      <c r="X33" s="1488"/>
      <c r="Y33" s="3708"/>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708"/>
      <c r="Q34" s="1481" t="str">
        <f t="shared" si="11"/>
        <v>建筑结构</v>
      </c>
      <c r="R34" s="1482" t="s">
        <v>8</v>
      </c>
      <c r="S34" s="1483">
        <f t="shared" si="12"/>
        <v>100</v>
      </c>
      <c r="T34" s="1482" t="s">
        <v>8</v>
      </c>
      <c r="U34" s="1483">
        <f t="shared" si="13"/>
        <v>100</v>
      </c>
      <c r="V34" s="1482" t="s">
        <v>8</v>
      </c>
      <c r="W34" s="1483">
        <f t="shared" si="14"/>
        <v>100</v>
      </c>
      <c r="X34" s="1476"/>
      <c r="Y34" s="3708"/>
      <c r="Z34" s="1484" t="str">
        <f t="shared" si="15"/>
        <v>建筑结构</v>
      </c>
      <c r="AA34" s="1485">
        <f t="shared" si="3"/>
        <v>1</v>
      </c>
      <c r="AB34" s="1485">
        <f t="shared" si="4"/>
        <v>1</v>
      </c>
      <c r="AC34" s="1485">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708"/>
      <c r="Q35" s="1481" t="str">
        <f t="shared" si="11"/>
        <v>公共部分装修</v>
      </c>
      <c r="R35" s="1482" t="s">
        <v>8</v>
      </c>
      <c r="S35" s="1483">
        <f t="shared" si="12"/>
        <v>100</v>
      </c>
      <c r="T35" s="1482" t="s">
        <v>8</v>
      </c>
      <c r="U35" s="1483">
        <f t="shared" si="13"/>
        <v>100</v>
      </c>
      <c r="V35" s="1482" t="s">
        <v>8</v>
      </c>
      <c r="W35" s="1483">
        <f t="shared" si="14"/>
        <v>100</v>
      </c>
      <c r="X35" s="1476"/>
      <c r="Y35" s="3708"/>
      <c r="Z35" s="1484" t="str">
        <f t="shared" si="15"/>
        <v>公共部分装修</v>
      </c>
      <c r="AA35" s="1485">
        <f t="shared" si="3"/>
        <v>1</v>
      </c>
      <c r="AB35" s="1485">
        <f t="shared" si="4"/>
        <v>1</v>
      </c>
      <c r="AC35" s="1485">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708"/>
      <c r="Q36" s="1481" t="str">
        <f t="shared" si="11"/>
        <v>成新度</v>
      </c>
      <c r="R36" s="1482" t="s">
        <v>8</v>
      </c>
      <c r="S36" s="1483" t="e">
        <f t="shared" si="12"/>
        <v>#N/A</v>
      </c>
      <c r="T36" s="1482" t="s">
        <v>8</v>
      </c>
      <c r="U36" s="1483" t="e">
        <f t="shared" si="13"/>
        <v>#N/A</v>
      </c>
      <c r="V36" s="1482" t="s">
        <v>8</v>
      </c>
      <c r="W36" s="1483" t="e">
        <f t="shared" si="14"/>
        <v>#N/A</v>
      </c>
      <c r="X36" s="1476"/>
      <c r="Y36" s="3708"/>
      <c r="Z36" s="1484" t="str">
        <f t="shared" si="15"/>
        <v>成新度</v>
      </c>
      <c r="AA36" s="1485" t="e">
        <f t="shared" si="3"/>
        <v>#N/A</v>
      </c>
      <c r="AB36" s="1485" t="e">
        <f t="shared" si="4"/>
        <v>#N/A</v>
      </c>
      <c r="AC36" s="1485" t="e">
        <f t="shared" si="5"/>
        <v>#N/A</v>
      </c>
    </row>
    <row r="37" spans="1:29" s="1185" customFormat="1" ht="15">
      <c r="A37" s="576"/>
      <c r="B37" s="1782"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708"/>
      <c r="Q37" s="1116" t="str">
        <f t="shared" si="11"/>
        <v>市政基础设施</v>
      </c>
      <c r="R37" s="1477" t="s">
        <v>8</v>
      </c>
      <c r="S37" s="1478">
        <f t="shared" si="12"/>
        <v>100</v>
      </c>
      <c r="T37" s="1477" t="s">
        <v>8</v>
      </c>
      <c r="U37" s="1478">
        <f t="shared" si="13"/>
        <v>100</v>
      </c>
      <c r="V37" s="1477" t="s">
        <v>8</v>
      </c>
      <c r="W37" s="1478">
        <f t="shared" si="14"/>
        <v>100</v>
      </c>
      <c r="X37" s="1479"/>
      <c r="Y37" s="3708"/>
      <c r="Z37" s="1115" t="str">
        <f t="shared" si="15"/>
        <v>市政基础设施</v>
      </c>
      <c r="AA37" s="1480">
        <f t="shared" si="3"/>
        <v>1</v>
      </c>
      <c r="AB37" s="1480">
        <f t="shared" si="4"/>
        <v>1</v>
      </c>
      <c r="AC37" s="1480">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708" t="s">
        <v>744</v>
      </c>
      <c r="Q38" s="1481" t="str">
        <f t="shared" si="11"/>
        <v>业态</v>
      </c>
      <c r="R38" s="1482" t="s">
        <v>8</v>
      </c>
      <c r="S38" s="1483">
        <f t="shared" si="12"/>
        <v>100</v>
      </c>
      <c r="T38" s="1482" t="s">
        <v>8</v>
      </c>
      <c r="U38" s="1483">
        <f t="shared" si="13"/>
        <v>100</v>
      </c>
      <c r="V38" s="1482" t="s">
        <v>8</v>
      </c>
      <c r="W38" s="1483">
        <f t="shared" si="14"/>
        <v>100</v>
      </c>
      <c r="X38" s="1476"/>
      <c r="Y38" s="3708" t="s">
        <v>744</v>
      </c>
      <c r="Z38" s="1484" t="str">
        <f t="shared" si="15"/>
        <v>业态</v>
      </c>
      <c r="AA38" s="1485">
        <f t="shared" si="3"/>
        <v>1</v>
      </c>
      <c r="AB38" s="1485">
        <f t="shared" si="4"/>
        <v>1</v>
      </c>
      <c r="AC38" s="1485">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708"/>
      <c r="Q39" s="1481" t="str">
        <f t="shared" si="11"/>
        <v>层高</v>
      </c>
      <c r="R39" s="1482" t="s">
        <v>8</v>
      </c>
      <c r="S39" s="1483">
        <f t="shared" si="12"/>
        <v>100</v>
      </c>
      <c r="T39" s="1482" t="s">
        <v>8</v>
      </c>
      <c r="U39" s="1483">
        <f t="shared" si="13"/>
        <v>100</v>
      </c>
      <c r="V39" s="1482" t="s">
        <v>8</v>
      </c>
      <c r="W39" s="1483">
        <f t="shared" si="14"/>
        <v>100</v>
      </c>
      <c r="X39" s="1476"/>
      <c r="Y39" s="3708"/>
      <c r="Z39" s="1484" t="str">
        <f t="shared" si="15"/>
        <v>层高</v>
      </c>
      <c r="AA39" s="1485">
        <f t="shared" si="3"/>
        <v>1</v>
      </c>
      <c r="AB39" s="1485">
        <f t="shared" si="4"/>
        <v>1</v>
      </c>
      <c r="AC39" s="1485">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708"/>
      <c r="Q40" s="1481" t="str">
        <f t="shared" si="11"/>
        <v>单套建筑面积</v>
      </c>
      <c r="R40" s="1482" t="s">
        <v>8</v>
      </c>
      <c r="S40" s="1483">
        <f t="shared" si="12"/>
        <v>100</v>
      </c>
      <c r="T40" s="1482" t="s">
        <v>8</v>
      </c>
      <c r="U40" s="1483">
        <f t="shared" si="13"/>
        <v>100</v>
      </c>
      <c r="V40" s="1482" t="s">
        <v>8</v>
      </c>
      <c r="W40" s="1483">
        <f t="shared" si="14"/>
        <v>100</v>
      </c>
      <c r="X40" s="1476"/>
      <c r="Y40" s="3708"/>
      <c r="Z40" s="1484" t="str">
        <f t="shared" si="15"/>
        <v>单套建筑面积</v>
      </c>
      <c r="AA40" s="1485">
        <f t="shared" si="3"/>
        <v>1</v>
      </c>
      <c r="AB40" s="1485">
        <f t="shared" si="4"/>
        <v>1</v>
      </c>
      <c r="AC40" s="1485">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708"/>
      <c r="Q41" s="1510" t="str">
        <f t="shared" si="11"/>
        <v>进深比</v>
      </c>
      <c r="R41" s="1486" t="s">
        <v>8</v>
      </c>
      <c r="S41" s="1487">
        <f t="shared" si="12"/>
        <v>100</v>
      </c>
      <c r="T41" s="1486" t="s">
        <v>8</v>
      </c>
      <c r="U41" s="1487">
        <f t="shared" si="13"/>
        <v>100</v>
      </c>
      <c r="V41" s="1486" t="s">
        <v>8</v>
      </c>
      <c r="W41" s="1487">
        <f t="shared" si="14"/>
        <v>100</v>
      </c>
      <c r="X41" s="1488"/>
      <c r="Y41" s="3708"/>
      <c r="Z41" s="1489" t="str">
        <f t="shared" si="15"/>
        <v>进深比</v>
      </c>
      <c r="AA41" s="1485">
        <f t="shared" si="3"/>
        <v>1</v>
      </c>
      <c r="AB41" s="1485">
        <f t="shared" si="4"/>
        <v>1</v>
      </c>
      <c r="AC41" s="1485">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708"/>
      <c r="Q42" s="1481" t="str">
        <f t="shared" si="11"/>
        <v>内部装修</v>
      </c>
      <c r="R42" s="1482" t="s">
        <v>8</v>
      </c>
      <c r="S42" s="1483">
        <f t="shared" si="12"/>
        <v>100</v>
      </c>
      <c r="T42" s="1482" t="s">
        <v>8</v>
      </c>
      <c r="U42" s="1483">
        <f t="shared" si="13"/>
        <v>100</v>
      </c>
      <c r="V42" s="1482" t="s">
        <v>8</v>
      </c>
      <c r="W42" s="1483">
        <f t="shared" si="14"/>
        <v>100</v>
      </c>
      <c r="X42" s="1476"/>
      <c r="Y42" s="3708"/>
      <c r="Z42" s="1484" t="str">
        <f t="shared" si="15"/>
        <v>内部装修</v>
      </c>
      <c r="AA42" s="1485">
        <f t="shared" si="3"/>
        <v>1</v>
      </c>
      <c r="AB42" s="1485">
        <f t="shared" si="4"/>
        <v>1</v>
      </c>
      <c r="AC42" s="1485">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708"/>
      <c r="Q43" s="1481" t="str">
        <f t="shared" si="11"/>
        <v>内部装修维护情况</v>
      </c>
      <c r="R43" s="1482" t="s">
        <v>8</v>
      </c>
      <c r="S43" s="1483">
        <f t="shared" si="12"/>
        <v>100</v>
      </c>
      <c r="T43" s="1482" t="s">
        <v>8</v>
      </c>
      <c r="U43" s="1483">
        <f t="shared" si="13"/>
        <v>100</v>
      </c>
      <c r="V43" s="1482" t="s">
        <v>8</v>
      </c>
      <c r="W43" s="1483">
        <f t="shared" si="14"/>
        <v>100</v>
      </c>
      <c r="X43" s="1476"/>
      <c r="Y43" s="3708"/>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708"/>
      <c r="Q44" s="1116">
        <f t="shared" si="11"/>
        <v>111</v>
      </c>
      <c r="R44" s="1477" t="s">
        <v>8</v>
      </c>
      <c r="S44" s="1478">
        <f t="shared" si="12"/>
        <v>100</v>
      </c>
      <c r="T44" s="1477" t="s">
        <v>8</v>
      </c>
      <c r="U44" s="1478">
        <f t="shared" si="13"/>
        <v>100</v>
      </c>
      <c r="V44" s="1477" t="s">
        <v>8</v>
      </c>
      <c r="W44" s="1478">
        <f t="shared" si="14"/>
        <v>100</v>
      </c>
      <c r="X44" s="1479"/>
      <c r="Y44" s="3708"/>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708"/>
      <c r="Q45" s="1481">
        <f t="shared" si="11"/>
        <v>111</v>
      </c>
      <c r="R45" s="1482" t="s">
        <v>8</v>
      </c>
      <c r="S45" s="1483">
        <f t="shared" si="12"/>
        <v>100</v>
      </c>
      <c r="T45" s="1482" t="s">
        <v>8</v>
      </c>
      <c r="U45" s="1483">
        <f t="shared" si="13"/>
        <v>100</v>
      </c>
      <c r="V45" s="1482" t="s">
        <v>8</v>
      </c>
      <c r="W45" s="1483">
        <f t="shared" si="14"/>
        <v>100</v>
      </c>
      <c r="X45" s="1476"/>
      <c r="Y45" s="3708"/>
      <c r="Z45" s="1484">
        <f t="shared" si="15"/>
        <v>111</v>
      </c>
      <c r="AA45" s="1485">
        <f t="shared" si="3"/>
        <v>1</v>
      </c>
      <c r="AB45" s="1485">
        <f t="shared" si="4"/>
        <v>1</v>
      </c>
      <c r="AC45" s="148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846"/>
      <c r="Q46" s="1481">
        <f t="shared" si="11"/>
        <v>111</v>
      </c>
      <c r="R46" s="1482" t="s">
        <v>8</v>
      </c>
      <c r="S46" s="1483">
        <f t="shared" si="12"/>
        <v>100</v>
      </c>
      <c r="T46" s="1482" t="s">
        <v>8</v>
      </c>
      <c r="U46" s="1483">
        <f t="shared" si="13"/>
        <v>100</v>
      </c>
      <c r="V46" s="1482" t="s">
        <v>8</v>
      </c>
      <c r="W46" s="1483">
        <f t="shared" si="14"/>
        <v>100</v>
      </c>
      <c r="X46" s="1476"/>
      <c r="Y46" s="3846"/>
      <c r="Z46" s="1484">
        <f t="shared" si="15"/>
        <v>111</v>
      </c>
      <c r="AA46" s="1485">
        <f t="shared" si="3"/>
        <v>1</v>
      </c>
      <c r="AB46" s="1485">
        <f t="shared" si="4"/>
        <v>1</v>
      </c>
      <c r="AC46" s="1485">
        <f t="shared" si="5"/>
        <v>1</v>
      </c>
    </row>
    <row r="47" spans="1:29" ht="15">
      <c r="A47" s="583" t="s">
        <v>714</v>
      </c>
      <c r="B47" s="858"/>
      <c r="C47" s="2438" t="s">
        <v>1</v>
      </c>
      <c r="D47" s="2439"/>
      <c r="E47" s="2440"/>
      <c r="F47" s="2441"/>
      <c r="G47" s="2442"/>
      <c r="H47" s="2443"/>
      <c r="I47" s="2440"/>
      <c r="J47" s="2443"/>
      <c r="K47" s="1515"/>
      <c r="L47" s="1997"/>
      <c r="M47" s="1998"/>
      <c r="N47" s="1987"/>
      <c r="O47" s="1998"/>
      <c r="P47" s="3703" t="str">
        <f>A47</f>
        <v>成交单价（元/平方米）</v>
      </c>
      <c r="Q47" s="3703"/>
      <c r="R47" s="3845">
        <f>E47</f>
        <v>0</v>
      </c>
      <c r="S47" s="3845"/>
      <c r="T47" s="3845">
        <f>G47</f>
        <v>0</v>
      </c>
      <c r="U47" s="3845"/>
      <c r="V47" s="3845">
        <f>I47</f>
        <v>0</v>
      </c>
      <c r="W47" s="3845"/>
      <c r="X47" s="1471"/>
      <c r="Y47" s="1490"/>
      <c r="Z47" s="1471"/>
      <c r="AA47" s="1471"/>
      <c r="AB47" s="1471"/>
      <c r="AC47" s="1471"/>
    </row>
    <row r="48" spans="1:29" ht="15.7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87"/>
      <c r="O48" s="1998"/>
      <c r="P48" s="3703" t="str">
        <f>A48</f>
        <v>比较价格（元/平方米）</v>
      </c>
      <c r="Q48" s="3703"/>
      <c r="R48" s="3845" t="e">
        <f>IF(F1="售价",ROUND(PRODUCT(R47,AA7:AA46),0),ROUND(PRODUCT(R47,AA7:AA46),1))</f>
        <v>#DIV/0!</v>
      </c>
      <c r="S48" s="3845"/>
      <c r="T48" s="3845" t="e">
        <f>IF(F1="售价",ROUND(PRODUCT(T47,AB7:AB46),0),ROUND(PRODUCT(T47,AB7:AB46),1))</f>
        <v>#DIV/0!</v>
      </c>
      <c r="U48" s="3845"/>
      <c r="V48" s="3845" t="e">
        <f>IF(F1="售价",ROUND(PRODUCT(V47,AC7:AC46),0),ROUND(PRODUCT(V47,AC7:AC46),1))</f>
        <v>#DIV/0!</v>
      </c>
      <c r="W48" s="3845"/>
      <c r="X48" s="1471"/>
      <c r="Y48" s="1471"/>
      <c r="Z48" s="1471"/>
      <c r="AA48" s="1471"/>
      <c r="AB48" s="1471"/>
      <c r="AC48" s="1471"/>
    </row>
    <row r="49" spans="1:29" ht="15.75" thickBot="1">
      <c r="A49" s="595" t="s">
        <v>2873</v>
      </c>
      <c r="B49" s="596"/>
      <c r="C49" s="2446" t="e">
        <f>R49</f>
        <v>#DIV/0!</v>
      </c>
      <c r="D49" s="2446"/>
      <c r="E49" s="2446"/>
      <c r="F49" s="2446"/>
      <c r="G49" s="2446"/>
      <c r="H49" s="2446"/>
      <c r="I49" s="2446"/>
      <c r="J49" s="2446"/>
      <c r="K49" s="1516"/>
      <c r="L49" s="1997"/>
      <c r="M49" s="1998"/>
      <c r="N49" s="1987"/>
      <c r="O49" s="1998"/>
      <c r="P49" s="3724" t="str">
        <f>A49</f>
        <v>估价对象XX用房的比较价格（楼面单价，元/平方米）</v>
      </c>
      <c r="Q49" s="3725"/>
      <c r="R49" s="3844" t="e">
        <f>IF(F1="售价",ROUND(IF(D48="简单平均",AVERAGE(R48:V48),R48*F48+T48*H48+V48*J48),0),ROUND(IF(D48="简单平均",AVERAGE(R48:V48),R48*F48+T48*H48+V48*J48),1))</f>
        <v>#DIV/0!</v>
      </c>
      <c r="S49" s="3844"/>
      <c r="T49" s="3844"/>
      <c r="U49" s="3844"/>
      <c r="V49" s="3844"/>
      <c r="W49" s="3844"/>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7" t="str">
        <f>YEAR(C7)&amp;"-"&amp;MONTH(C7)</f>
        <v>2022-3</v>
      </c>
      <c r="D58" s="2489">
        <f>EDATE(C58,-1)</f>
        <v>44593</v>
      </c>
      <c r="E58" s="2489">
        <f t="shared" ref="E58:O58" si="16">EDATE(D58,-1)</f>
        <v>44562</v>
      </c>
      <c r="F58" s="2489">
        <f t="shared" si="16"/>
        <v>44531</v>
      </c>
      <c r="G58" s="2489">
        <f t="shared" si="16"/>
        <v>44501</v>
      </c>
      <c r="H58" s="2489">
        <f t="shared" si="16"/>
        <v>44470</v>
      </c>
      <c r="I58" s="2489">
        <f t="shared" si="16"/>
        <v>44440</v>
      </c>
      <c r="J58" s="2489">
        <f t="shared" si="16"/>
        <v>44409</v>
      </c>
      <c r="K58" s="2489">
        <f t="shared" si="16"/>
        <v>44378</v>
      </c>
      <c r="L58" s="2489">
        <f t="shared" si="16"/>
        <v>44348</v>
      </c>
      <c r="M58" s="2489">
        <f t="shared" si="16"/>
        <v>44317</v>
      </c>
      <c r="N58" s="2489">
        <f t="shared" si="16"/>
        <v>44287</v>
      </c>
      <c r="O58" s="2489">
        <f t="shared" si="16"/>
        <v>44256</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2"/>
      <c r="B112" s="1783" t="s">
        <v>2510</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18.75">
      <c r="A4" s="1679" t="str">
        <f>"受贵公司委托，我公司对"&amp;项目基本情况!K2&amp;项目基本情况!B9&amp;"进行了预评估。"</f>
        <v>受贵公司委托，我公司对出让国有建设用地使用权进行了预评估。</v>
      </c>
    </row>
    <row r="5" spans="1:4" ht="18.75">
      <c r="A5" s="1682" t="s">
        <v>1874</v>
      </c>
    </row>
    <row r="6" spans="1:4" ht="75">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18388.8平方米。根据《建设工程规划许可证》[]、《出让合同》[]，估价对象规划建筑面积为18388.8平方米。</v>
      </c>
    </row>
    <row r="7" spans="1:4" ht="93.75">
      <c r="A7" s="2558" t="s">
        <v>2701</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1993</v>
      </c>
    </row>
    <row r="11" spans="1:4" ht="18.75">
      <c r="A11" s="1668" t="str">
        <f>TEXT(项目基本情况!D3,"yyyy年m月d日;;")&amp;IF(项目基本情况!B3=项目基本情况!D3,"（评估专业人员勘察现场之日）","")</f>
        <v>2022年3月3日</v>
      </c>
    </row>
    <row r="12" spans="1:4" ht="18.75">
      <c r="A12" s="1685" t="s">
        <v>1992</v>
      </c>
    </row>
    <row r="13" spans="1:4" ht="18.75">
      <c r="A13" s="1679" t="s">
        <v>2038</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根据《国有土地使用证》[]，估价对象（分摊）出让国有建设用地使用权面积为18388.8平方米。根据《建设工程规划许可证》[]、《出让合同》[]，估价对象规划建筑面积为18388.8平方米。</v>
      </c>
    </row>
    <row r="21" spans="1:1" ht="93.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2041</v>
      </c>
    </row>
    <row r="23" spans="1:1" ht="18.75">
      <c r="A23" s="2560" t="s">
        <v>2702</v>
      </c>
    </row>
    <row r="24" spans="1:1" ht="18.75">
      <c r="A24" s="1679" t="s">
        <v>2042</v>
      </c>
    </row>
    <row r="25" spans="1:1" ht="75">
      <c r="A25" s="1679" t="str">
        <f>定义!C53</f>
        <v>本次估价的“出让国有建设用地使用权价格”是指在估价对象土地所有权为国家所有，使用权性质为出让，在公开市场条件下、于估价期日2022年3月3日，在规划利用条件下、设定土地开发程度为红线外“七通”、宗地内场地，设定用途为，剩余土地使用年限为的出让国有建设用地使用权价格。</v>
      </c>
    </row>
    <row r="26" spans="1:1" ht="93.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2072"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75"/>
      <c r="M1" s="3176"/>
      <c r="N1" s="3176"/>
      <c r="O1" s="3176"/>
      <c r="P1" s="3239"/>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9"/>
      <c r="Q2" s="1985"/>
      <c r="R2" s="1985"/>
      <c r="S2" s="1985"/>
      <c r="T2" s="1985"/>
      <c r="U2" s="1985"/>
      <c r="V2" s="1985"/>
      <c r="W2" s="1985"/>
      <c r="X2" s="1985"/>
      <c r="Y2" s="1985"/>
      <c r="Z2" s="1985"/>
      <c r="AA2" s="1985"/>
      <c r="AB2" s="1985"/>
      <c r="AC2" s="3177"/>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9"/>
      <c r="Q3" s="1985"/>
      <c r="R3" s="1985"/>
      <c r="S3" s="1985"/>
      <c r="T3" s="1985"/>
      <c r="U3" s="1985"/>
      <c r="V3" s="1985"/>
      <c r="W3" s="1985"/>
      <c r="X3" s="1985"/>
      <c r="Y3" s="1985"/>
      <c r="Z3" s="1985"/>
      <c r="AA3" s="1985"/>
      <c r="AB3" s="1985"/>
      <c r="AC3" s="3177"/>
    </row>
    <row r="4" spans="1:29" ht="15">
      <c r="A4" s="488" t="s">
        <v>499</v>
      </c>
      <c r="B4" s="489"/>
      <c r="C4" s="3709" t="s">
        <v>500</v>
      </c>
      <c r="D4" s="3710"/>
      <c r="E4" s="3814" t="s">
        <v>501</v>
      </c>
      <c r="F4" s="3815"/>
      <c r="G4" s="3709" t="s">
        <v>502</v>
      </c>
      <c r="H4" s="3710"/>
      <c r="I4" s="3709" t="s">
        <v>503</v>
      </c>
      <c r="J4" s="3710"/>
      <c r="K4" s="490" t="s">
        <v>504</v>
      </c>
      <c r="L4" s="1986"/>
      <c r="M4" s="1987"/>
      <c r="N4" s="1987"/>
      <c r="O4" s="1987"/>
      <c r="P4" s="3847" t="s">
        <v>505</v>
      </c>
      <c r="Q4" s="3712"/>
      <c r="R4" s="3697" t="s">
        <v>501</v>
      </c>
      <c r="S4" s="3698"/>
      <c r="T4" s="3697" t="s">
        <v>502</v>
      </c>
      <c r="U4" s="3698"/>
      <c r="V4" s="3717" t="s">
        <v>503</v>
      </c>
      <c r="W4" s="3717"/>
      <c r="X4" s="1476"/>
      <c r="Y4" s="3697" t="s">
        <v>505</v>
      </c>
      <c r="Z4" s="3698"/>
      <c r="AA4" s="3692" t="s">
        <v>501</v>
      </c>
      <c r="AB4" s="3692" t="s">
        <v>502</v>
      </c>
      <c r="AC4" s="3692" t="s">
        <v>503</v>
      </c>
    </row>
    <row r="5" spans="1:29" ht="15">
      <c r="A5" s="491"/>
      <c r="B5" s="492"/>
      <c r="C5" s="3720" t="s">
        <v>2867</v>
      </c>
      <c r="D5" s="3721"/>
      <c r="E5" s="3816" t="s">
        <v>2868</v>
      </c>
      <c r="F5" s="3817"/>
      <c r="G5" s="3720" t="s">
        <v>2869</v>
      </c>
      <c r="H5" s="3721"/>
      <c r="I5" s="3720" t="s">
        <v>2870</v>
      </c>
      <c r="J5" s="3721"/>
      <c r="K5" s="490"/>
      <c r="L5" s="1986"/>
      <c r="M5" s="1987"/>
      <c r="N5" s="1987"/>
      <c r="O5" s="1987"/>
      <c r="P5" s="3848"/>
      <c r="Q5" s="3714"/>
      <c r="R5" s="3699"/>
      <c r="S5" s="3700"/>
      <c r="T5" s="3699"/>
      <c r="U5" s="3700"/>
      <c r="V5" s="3717"/>
      <c r="W5" s="3717"/>
      <c r="X5" s="1476"/>
      <c r="Y5" s="3699"/>
      <c r="Z5" s="3700"/>
      <c r="AA5" s="3693"/>
      <c r="AB5" s="3693"/>
      <c r="AC5" s="3693"/>
    </row>
    <row r="6" spans="1:29" ht="15.75" thickBot="1">
      <c r="A6" s="493"/>
      <c r="B6" s="494"/>
      <c r="C6" s="3718" t="s">
        <v>2871</v>
      </c>
      <c r="D6" s="3719"/>
      <c r="E6" s="3818" t="s">
        <v>2871</v>
      </c>
      <c r="F6" s="3819"/>
      <c r="G6" s="3718" t="s">
        <v>2871</v>
      </c>
      <c r="H6" s="3719"/>
      <c r="I6" s="3718" t="s">
        <v>2871</v>
      </c>
      <c r="J6" s="3719"/>
      <c r="K6" s="490" t="s">
        <v>506</v>
      </c>
      <c r="L6" s="1986"/>
      <c r="M6" s="1987"/>
      <c r="N6" s="1987"/>
      <c r="O6" s="1987"/>
      <c r="P6" s="3849"/>
      <c r="Q6" s="3716"/>
      <c r="R6" s="3699"/>
      <c r="S6" s="3700"/>
      <c r="T6" s="3701"/>
      <c r="U6" s="3702"/>
      <c r="V6" s="3717"/>
      <c r="W6" s="3717"/>
      <c r="X6" s="1476"/>
      <c r="Y6" s="3701"/>
      <c r="Z6" s="3702"/>
      <c r="AA6" s="3694"/>
      <c r="AB6" s="3694"/>
      <c r="AC6" s="3694"/>
    </row>
    <row r="7" spans="1:29" s="1185" customFormat="1" ht="15.75" thickBot="1">
      <c r="A7" s="2597"/>
      <c r="B7" s="2604" t="s">
        <v>507</v>
      </c>
      <c r="C7" s="495">
        <f>'数据-取费表'!B2</f>
        <v>44623</v>
      </c>
      <c r="D7" s="496">
        <v>100</v>
      </c>
      <c r="E7" s="497"/>
      <c r="F7" s="498">
        <f>SUMIF(59:59,YEAR(E7)&amp;"-"&amp;MONTH(E7),60:60)</f>
        <v>0</v>
      </c>
      <c r="G7" s="497"/>
      <c r="H7" s="496">
        <f>SUMIF(59:59,YEAR(G7)&amp;"-"&amp;MONTH(G7),60:60)</f>
        <v>0</v>
      </c>
      <c r="I7" s="497"/>
      <c r="J7" s="496">
        <f>SUMIF(59:59,YEAR(I7)&amp;"-"&amp;MONTH(I7),60:60)</f>
        <v>0</v>
      </c>
      <c r="K7" s="500"/>
      <c r="L7" s="1988"/>
      <c r="M7" s="1989"/>
      <c r="N7" s="1989"/>
      <c r="O7" s="1989"/>
      <c r="P7" s="3704" t="s">
        <v>508</v>
      </c>
      <c r="Q7" s="3704"/>
      <c r="R7" s="1477" t="s">
        <v>8</v>
      </c>
      <c r="S7" s="1478">
        <f t="shared" ref="S7:S15" si="0">F7</f>
        <v>0</v>
      </c>
      <c r="T7" s="1477" t="s">
        <v>8</v>
      </c>
      <c r="U7" s="1478">
        <f t="shared" ref="U7:U15" si="1">H7</f>
        <v>0</v>
      </c>
      <c r="V7" s="1477" t="s">
        <v>8</v>
      </c>
      <c r="W7" s="1478">
        <f t="shared" ref="W7:W15" si="2">J7</f>
        <v>0</v>
      </c>
      <c r="X7" s="1479"/>
      <c r="Y7" s="3695" t="s">
        <v>508</v>
      </c>
      <c r="Z7" s="3696"/>
      <c r="AA7" s="1480" t="e">
        <f>D7/F7</f>
        <v>#DIV/0!</v>
      </c>
      <c r="AB7" s="1480" t="e">
        <f>D7/H7</f>
        <v>#DIV/0!</v>
      </c>
      <c r="AC7" s="1480" t="e">
        <f>D7/J7</f>
        <v>#DIV/0!</v>
      </c>
    </row>
    <row r="8" spans="1:29" s="1185" customFormat="1" ht="15.7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704" t="s">
        <v>511</v>
      </c>
      <c r="Q8" s="3696"/>
      <c r="R8" s="1477" t="s">
        <v>8</v>
      </c>
      <c r="S8" s="1478">
        <f t="shared" si="0"/>
        <v>0</v>
      </c>
      <c r="T8" s="1477" t="s">
        <v>8</v>
      </c>
      <c r="U8" s="1478">
        <f t="shared" si="1"/>
        <v>0</v>
      </c>
      <c r="V8" s="1477" t="s">
        <v>8</v>
      </c>
      <c r="W8" s="1478">
        <f t="shared" si="2"/>
        <v>0</v>
      </c>
      <c r="X8" s="1479"/>
      <c r="Y8" s="3695" t="s">
        <v>511</v>
      </c>
      <c r="Z8" s="3696"/>
      <c r="AA8" s="1480" t="e">
        <f t="shared" ref="AA8:AA47" si="3">D8/F8</f>
        <v>#DIV/0!</v>
      </c>
      <c r="AB8" s="1480" t="e">
        <f t="shared" ref="AB8:AB47" si="4">D8/H8</f>
        <v>#DIV/0!</v>
      </c>
      <c r="AC8" s="1480" t="e">
        <f t="shared" ref="AC8:AC47" si="5">D8/J8</f>
        <v>#DIV/0!</v>
      </c>
    </row>
    <row r="9" spans="1:29" s="1185" customFormat="1" ht="15">
      <c r="A9" s="2599"/>
      <c r="B9" s="2606" t="s">
        <v>2709</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703" t="s">
        <v>513</v>
      </c>
      <c r="Q9" s="1116" t="str">
        <f t="shared" ref="Q9:Q15" si="6">B9</f>
        <v>用途</v>
      </c>
      <c r="R9" s="1477" t="s">
        <v>8</v>
      </c>
      <c r="S9" s="1478">
        <f t="shared" si="0"/>
        <v>100</v>
      </c>
      <c r="T9" s="1477" t="s">
        <v>8</v>
      </c>
      <c r="U9" s="1478">
        <f t="shared" si="1"/>
        <v>100</v>
      </c>
      <c r="V9" s="1477" t="s">
        <v>8</v>
      </c>
      <c r="W9" s="1478">
        <f t="shared" si="2"/>
        <v>100</v>
      </c>
      <c r="X9" s="1479"/>
      <c r="Y9" s="3644"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703"/>
      <c r="Q10" s="1116" t="str">
        <f t="shared" si="6"/>
        <v>土地使用年限（年）</v>
      </c>
      <c r="R10" s="1477" t="s">
        <v>8</v>
      </c>
      <c r="S10" s="1478">
        <f t="shared" si="0"/>
        <v>100</v>
      </c>
      <c r="T10" s="1477" t="s">
        <v>8</v>
      </c>
      <c r="U10" s="1478">
        <f t="shared" si="1"/>
        <v>100</v>
      </c>
      <c r="V10" s="1477" t="s">
        <v>8</v>
      </c>
      <c r="W10" s="1478">
        <f t="shared" si="2"/>
        <v>100</v>
      </c>
      <c r="X10" s="1479"/>
      <c r="Y10" s="3644"/>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703"/>
      <c r="Q11" s="1116" t="str">
        <f t="shared" si="6"/>
        <v>容积率</v>
      </c>
      <c r="R11" s="1477" t="s">
        <v>8</v>
      </c>
      <c r="S11" s="1478" t="e">
        <f t="shared" si="0"/>
        <v>#N/A</v>
      </c>
      <c r="T11" s="1477" t="s">
        <v>8</v>
      </c>
      <c r="U11" s="1478" t="e">
        <f t="shared" si="1"/>
        <v>#N/A</v>
      </c>
      <c r="V11" s="1477" t="s">
        <v>8</v>
      </c>
      <c r="W11" s="1478" t="e">
        <f t="shared" si="2"/>
        <v>#N/A</v>
      </c>
      <c r="X11" s="1479"/>
      <c r="Y11" s="3644"/>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703"/>
      <c r="Q12" s="1116">
        <f t="shared" si="6"/>
        <v>111</v>
      </c>
      <c r="R12" s="1477" t="s">
        <v>8</v>
      </c>
      <c r="S12" s="1478">
        <f t="shared" si="0"/>
        <v>100</v>
      </c>
      <c r="T12" s="1477" t="s">
        <v>8</v>
      </c>
      <c r="U12" s="1478">
        <f t="shared" si="1"/>
        <v>100</v>
      </c>
      <c r="V12" s="1477" t="s">
        <v>8</v>
      </c>
      <c r="W12" s="1478">
        <f t="shared" si="2"/>
        <v>100</v>
      </c>
      <c r="X12" s="1479"/>
      <c r="Y12" s="3644"/>
      <c r="Z12" s="1115">
        <f t="shared" si="7"/>
        <v>111</v>
      </c>
      <c r="AA12" s="1480">
        <f>D12/F12</f>
        <v>1</v>
      </c>
      <c r="AB12" s="1480">
        <f>D12/H12</f>
        <v>1</v>
      </c>
      <c r="AC12" s="1480">
        <f>D12/J12</f>
        <v>1</v>
      </c>
    </row>
    <row r="13" spans="1:29" ht="1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703"/>
      <c r="Q13" s="1116">
        <f t="shared" si="6"/>
        <v>111</v>
      </c>
      <c r="R13" s="1477" t="s">
        <v>8</v>
      </c>
      <c r="S13" s="1478">
        <f t="shared" si="0"/>
        <v>100</v>
      </c>
      <c r="T13" s="1477" t="s">
        <v>8</v>
      </c>
      <c r="U13" s="1478">
        <f t="shared" si="1"/>
        <v>100</v>
      </c>
      <c r="V13" s="1477" t="s">
        <v>8</v>
      </c>
      <c r="W13" s="1478">
        <f t="shared" si="2"/>
        <v>100</v>
      </c>
      <c r="X13" s="1479"/>
      <c r="Y13" s="3644"/>
      <c r="Z13" s="1115">
        <f t="shared" si="7"/>
        <v>111</v>
      </c>
      <c r="AA13" s="1480">
        <f t="shared" si="3"/>
        <v>1</v>
      </c>
      <c r="AB13" s="1480">
        <f t="shared" si="4"/>
        <v>1</v>
      </c>
      <c r="AC13" s="1480">
        <f t="shared" si="5"/>
        <v>1</v>
      </c>
    </row>
    <row r="14" spans="1:29" ht="15.75"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703"/>
      <c r="Q14" s="1116">
        <f t="shared" si="6"/>
        <v>111</v>
      </c>
      <c r="R14" s="1477" t="s">
        <v>8</v>
      </c>
      <c r="S14" s="1478">
        <f t="shared" si="0"/>
        <v>100</v>
      </c>
      <c r="T14" s="1477" t="s">
        <v>8</v>
      </c>
      <c r="U14" s="1478">
        <f t="shared" si="1"/>
        <v>100</v>
      </c>
      <c r="V14" s="1477" t="s">
        <v>8</v>
      </c>
      <c r="W14" s="1478">
        <f t="shared" si="2"/>
        <v>100</v>
      </c>
      <c r="X14" s="1479"/>
      <c r="Y14" s="3644"/>
      <c r="Z14" s="1115">
        <f t="shared" si="7"/>
        <v>111</v>
      </c>
      <c r="AA14" s="1480">
        <f t="shared" si="3"/>
        <v>1</v>
      </c>
      <c r="AB14" s="1480">
        <f t="shared" si="4"/>
        <v>1</v>
      </c>
      <c r="AC14" s="1480">
        <f t="shared" si="5"/>
        <v>1</v>
      </c>
    </row>
    <row r="15" spans="1:29" ht="71.25">
      <c r="A15" s="2595"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705" t="s">
        <v>518</v>
      </c>
      <c r="Q15" s="1481" t="str">
        <f t="shared" si="6"/>
        <v>办公集聚程度</v>
      </c>
      <c r="R15" s="1482" t="s">
        <v>8</v>
      </c>
      <c r="S15" s="1483">
        <f t="shared" si="0"/>
        <v>100</v>
      </c>
      <c r="T15" s="1482" t="s">
        <v>8</v>
      </c>
      <c r="U15" s="1483">
        <f t="shared" si="1"/>
        <v>100</v>
      </c>
      <c r="V15" s="1482" t="s">
        <v>8</v>
      </c>
      <c r="W15" s="1483">
        <f t="shared" si="2"/>
        <v>100</v>
      </c>
      <c r="X15" s="1476"/>
      <c r="Y15" s="3705" t="s">
        <v>518</v>
      </c>
      <c r="Z15" s="1484" t="str">
        <f t="shared" si="7"/>
        <v>办公集聚程度</v>
      </c>
      <c r="AA15" s="1485">
        <f t="shared" si="3"/>
        <v>1</v>
      </c>
      <c r="AB15" s="1485">
        <f t="shared" si="4"/>
        <v>1</v>
      </c>
      <c r="AC15" s="1485">
        <f t="shared" si="5"/>
        <v>1</v>
      </c>
    </row>
    <row r="16" spans="1:29" ht="15">
      <c r="A16" s="508"/>
      <c r="B16" s="529"/>
      <c r="C16" s="530"/>
      <c r="D16" s="531"/>
      <c r="E16" s="552"/>
      <c r="F16" s="531"/>
      <c r="G16" s="530"/>
      <c r="H16" s="535"/>
      <c r="I16" s="552"/>
      <c r="J16" s="531"/>
      <c r="K16" s="870"/>
      <c r="L16" s="1995"/>
      <c r="M16" s="1987"/>
      <c r="N16" s="1987"/>
      <c r="O16" s="1987"/>
      <c r="P16" s="3706"/>
      <c r="Q16" s="1481"/>
      <c r="R16" s="1482"/>
      <c r="S16" s="1483"/>
      <c r="T16" s="1482"/>
      <c r="U16" s="1483"/>
      <c r="V16" s="1482"/>
      <c r="W16" s="1483"/>
      <c r="X16" s="1476"/>
      <c r="Y16" s="3706"/>
      <c r="Z16" s="1484"/>
      <c r="AA16" s="1485">
        <v>1</v>
      </c>
      <c r="AB16" s="1485">
        <v>1</v>
      </c>
      <c r="AC16" s="148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706"/>
      <c r="Q17" s="1481" t="str">
        <f>B17</f>
        <v>交通便捷度</v>
      </c>
      <c r="R17" s="1482" t="s">
        <v>8</v>
      </c>
      <c r="S17" s="1483">
        <f>F17</f>
        <v>100</v>
      </c>
      <c r="T17" s="1482" t="s">
        <v>8</v>
      </c>
      <c r="U17" s="1483">
        <f>H17</f>
        <v>100</v>
      </c>
      <c r="V17" s="1482" t="s">
        <v>8</v>
      </c>
      <c r="W17" s="1483">
        <f>J17</f>
        <v>100</v>
      </c>
      <c r="X17" s="1476"/>
      <c r="Y17" s="3706"/>
      <c r="Z17" s="1484" t="str">
        <f>Q17</f>
        <v>交通便捷度</v>
      </c>
      <c r="AA17" s="1485">
        <f t="shared" si="3"/>
        <v>1</v>
      </c>
      <c r="AB17" s="1485">
        <f t="shared" si="4"/>
        <v>1</v>
      </c>
      <c r="AC17" s="1485">
        <f t="shared" si="5"/>
        <v>1</v>
      </c>
    </row>
    <row r="18" spans="1:29" ht="15">
      <c r="A18" s="508"/>
      <c r="B18" s="542"/>
      <c r="C18" s="543"/>
      <c r="D18" s="535"/>
      <c r="E18" s="545"/>
      <c r="F18" s="535"/>
      <c r="G18" s="544"/>
      <c r="H18" s="531"/>
      <c r="I18" s="544"/>
      <c r="J18" s="531"/>
      <c r="K18" s="870"/>
      <c r="L18" s="1995"/>
      <c r="M18" s="1987"/>
      <c r="N18" s="1987"/>
      <c r="O18" s="1987"/>
      <c r="P18" s="3706"/>
      <c r="Q18" s="1481"/>
      <c r="R18" s="1482"/>
      <c r="S18" s="1483"/>
      <c r="T18" s="1482"/>
      <c r="U18" s="1483"/>
      <c r="V18" s="1482"/>
      <c r="W18" s="1483"/>
      <c r="X18" s="1476"/>
      <c r="Y18" s="3706"/>
      <c r="Z18" s="1484"/>
      <c r="AA18" s="1485">
        <v>1</v>
      </c>
      <c r="AB18" s="1485">
        <v>1</v>
      </c>
      <c r="AC18" s="1485">
        <v>1</v>
      </c>
    </row>
    <row r="19" spans="1:29" ht="42.75">
      <c r="A19" s="508"/>
      <c r="B19" s="2415"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706"/>
      <c r="Q19" s="1481" t="str">
        <f>B19</f>
        <v>公共配套设施</v>
      </c>
      <c r="R19" s="1482" t="s">
        <v>8</v>
      </c>
      <c r="S19" s="1483">
        <f>F19</f>
        <v>100</v>
      </c>
      <c r="T19" s="1482" t="s">
        <v>8</v>
      </c>
      <c r="U19" s="1483">
        <f>H19</f>
        <v>100</v>
      </c>
      <c r="V19" s="1482" t="s">
        <v>8</v>
      </c>
      <c r="W19" s="1483">
        <f>J19</f>
        <v>100</v>
      </c>
      <c r="X19" s="1476"/>
      <c r="Y19" s="3706"/>
      <c r="Z19" s="1484" t="str">
        <f>Q19</f>
        <v>公共配套设施</v>
      </c>
      <c r="AA19" s="1485">
        <f t="shared" si="3"/>
        <v>1</v>
      </c>
      <c r="AB19" s="1485">
        <f t="shared" si="4"/>
        <v>1</v>
      </c>
      <c r="AC19" s="1485">
        <f t="shared" si="5"/>
        <v>1</v>
      </c>
    </row>
    <row r="20" spans="1:29" ht="15">
      <c r="A20" s="508"/>
      <c r="B20" s="542"/>
      <c r="C20" s="530"/>
      <c r="D20" s="531"/>
      <c r="E20" s="534"/>
      <c r="F20" s="531"/>
      <c r="G20" s="532"/>
      <c r="H20" s="531"/>
      <c r="I20" s="532"/>
      <c r="J20" s="531"/>
      <c r="K20" s="870"/>
      <c r="L20" s="1995"/>
      <c r="M20" s="1987"/>
      <c r="N20" s="1987"/>
      <c r="O20" s="1987"/>
      <c r="P20" s="3706"/>
      <c r="Q20" s="1481"/>
      <c r="R20" s="1482"/>
      <c r="S20" s="1483"/>
      <c r="T20" s="1482"/>
      <c r="U20" s="1483"/>
      <c r="V20" s="1482"/>
      <c r="W20" s="1483"/>
      <c r="X20" s="1476"/>
      <c r="Y20" s="3706"/>
      <c r="Z20" s="1484"/>
      <c r="AA20" s="1485">
        <v>1</v>
      </c>
      <c r="AB20" s="1485">
        <v>1</v>
      </c>
      <c r="AC20" s="1485">
        <v>1</v>
      </c>
    </row>
    <row r="21" spans="1:29" ht="28.5">
      <c r="A21" s="508"/>
      <c r="B21" s="2403"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706"/>
      <c r="Q21" s="2397" t="str">
        <f>B21</f>
        <v>基础设施水平</v>
      </c>
      <c r="R21" s="1482" t="s">
        <v>8</v>
      </c>
      <c r="S21" s="1483">
        <f>F21</f>
        <v>100</v>
      </c>
      <c r="T21" s="1482" t="s">
        <v>8</v>
      </c>
      <c r="U21" s="1483">
        <f>H21</f>
        <v>100</v>
      </c>
      <c r="V21" s="1482" t="s">
        <v>8</v>
      </c>
      <c r="W21" s="1483">
        <f>J21</f>
        <v>100</v>
      </c>
      <c r="X21" s="2399"/>
      <c r="Y21" s="3706"/>
      <c r="Z21" s="2398" t="str">
        <f>Q21</f>
        <v>基础设施水平</v>
      </c>
      <c r="AA21" s="1485">
        <f t="shared" ref="AA21" si="8">D21/F21</f>
        <v>1</v>
      </c>
      <c r="AB21" s="1485">
        <f t="shared" ref="AB21" si="9">D21/H21</f>
        <v>1</v>
      </c>
      <c r="AC21" s="1485">
        <f t="shared" ref="AC21" si="10">D21/J21</f>
        <v>1</v>
      </c>
    </row>
    <row r="22" spans="1:29" ht="15">
      <c r="A22" s="508"/>
      <c r="B22" s="554"/>
      <c r="C22" s="543"/>
      <c r="D22" s="531"/>
      <c r="E22" s="552"/>
      <c r="F22" s="531"/>
      <c r="G22" s="530"/>
      <c r="H22" s="531"/>
      <c r="I22" s="530"/>
      <c r="J22" s="531"/>
      <c r="K22" s="2414"/>
      <c r="L22" s="1995"/>
      <c r="M22" s="1987"/>
      <c r="N22" s="1987"/>
      <c r="O22" s="1987"/>
      <c r="P22" s="3706"/>
      <c r="Q22" s="2397"/>
      <c r="R22" s="1482"/>
      <c r="S22" s="1483"/>
      <c r="T22" s="1482"/>
      <c r="U22" s="1483"/>
      <c r="V22" s="1482"/>
      <c r="W22" s="1483"/>
      <c r="X22" s="2399"/>
      <c r="Y22" s="3706"/>
      <c r="Z22" s="2398"/>
      <c r="AA22" s="1485">
        <v>1</v>
      </c>
      <c r="AB22" s="1485">
        <v>1</v>
      </c>
      <c r="AC22" s="1485">
        <v>1</v>
      </c>
    </row>
    <row r="23" spans="1:29" ht="57">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706"/>
      <c r="Q23" s="1481" t="str">
        <f>B23</f>
        <v>环境质量</v>
      </c>
      <c r="R23" s="1482" t="s">
        <v>8</v>
      </c>
      <c r="S23" s="1483">
        <f>F23</f>
        <v>100</v>
      </c>
      <c r="T23" s="1482" t="s">
        <v>8</v>
      </c>
      <c r="U23" s="1483">
        <f>H23</f>
        <v>100</v>
      </c>
      <c r="V23" s="1482" t="s">
        <v>8</v>
      </c>
      <c r="W23" s="1483">
        <f>J23</f>
        <v>100</v>
      </c>
      <c r="X23" s="1476"/>
      <c r="Y23" s="3706"/>
      <c r="Z23" s="1484" t="str">
        <f>Q23</f>
        <v>环境质量</v>
      </c>
      <c r="AA23" s="1485">
        <f t="shared" si="3"/>
        <v>1</v>
      </c>
      <c r="AB23" s="1485">
        <f t="shared" si="4"/>
        <v>1</v>
      </c>
      <c r="AC23" s="1485">
        <f t="shared" si="5"/>
        <v>1</v>
      </c>
    </row>
    <row r="24" spans="1:29" ht="15">
      <c r="A24" s="508"/>
      <c r="B24" s="554"/>
      <c r="C24" s="530"/>
      <c r="D24" s="531"/>
      <c r="E24" s="534"/>
      <c r="F24" s="531"/>
      <c r="G24" s="532"/>
      <c r="H24" s="531"/>
      <c r="I24" s="532"/>
      <c r="J24" s="531"/>
      <c r="K24" s="870"/>
      <c r="L24" s="1995"/>
      <c r="M24" s="1987"/>
      <c r="N24" s="1987"/>
      <c r="O24" s="1987"/>
      <c r="P24" s="3706"/>
      <c r="Q24" s="1481"/>
      <c r="R24" s="1482"/>
      <c r="S24" s="1483"/>
      <c r="T24" s="1482"/>
      <c r="U24" s="1483"/>
      <c r="V24" s="1482"/>
      <c r="W24" s="1483"/>
      <c r="X24" s="1476"/>
      <c r="Y24" s="3706"/>
      <c r="Z24" s="1484"/>
      <c r="AA24" s="1485">
        <v>1</v>
      </c>
      <c r="AB24" s="1485">
        <v>1</v>
      </c>
      <c r="AC24" s="1485">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706"/>
      <c r="Q25" s="1481" t="str">
        <f>B25</f>
        <v>毗邻道路的类型与等级</v>
      </c>
      <c r="R25" s="1482" t="s">
        <v>8</v>
      </c>
      <c r="S25" s="1483">
        <f>F25</f>
        <v>100</v>
      </c>
      <c r="T25" s="1482" t="s">
        <v>8</v>
      </c>
      <c r="U25" s="1483">
        <f>H25</f>
        <v>100</v>
      </c>
      <c r="V25" s="1482" t="s">
        <v>8</v>
      </c>
      <c r="W25" s="1483">
        <f>J25</f>
        <v>100</v>
      </c>
      <c r="X25" s="1476"/>
      <c r="Y25" s="3706"/>
      <c r="Z25" s="1484" t="str">
        <f>Q25</f>
        <v>毗邻道路的类型与等级</v>
      </c>
      <c r="AA25" s="1485">
        <f t="shared" si="3"/>
        <v>1</v>
      </c>
      <c r="AB25" s="1485">
        <f t="shared" si="4"/>
        <v>1</v>
      </c>
      <c r="AC25" s="1485">
        <f t="shared" si="5"/>
        <v>1</v>
      </c>
    </row>
    <row r="26" spans="1:29" ht="15">
      <c r="A26" s="491"/>
      <c r="B26" s="542"/>
      <c r="C26" s="556"/>
      <c r="D26" s="516"/>
      <c r="E26" s="559"/>
      <c r="F26" s="516"/>
      <c r="G26" s="556"/>
      <c r="H26" s="516"/>
      <c r="I26" s="559"/>
      <c r="J26" s="516"/>
      <c r="K26" s="870"/>
      <c r="L26" s="1995"/>
      <c r="M26" s="1987"/>
      <c r="N26" s="1987"/>
      <c r="O26" s="1987"/>
      <c r="P26" s="3706"/>
      <c r="Q26" s="1481"/>
      <c r="R26" s="1482"/>
      <c r="S26" s="1483"/>
      <c r="T26" s="1482"/>
      <c r="U26" s="1483"/>
      <c r="V26" s="1482"/>
      <c r="W26" s="1483"/>
      <c r="X26" s="1476"/>
      <c r="Y26" s="3706"/>
      <c r="Z26" s="1484"/>
      <c r="AA26" s="1485">
        <v>1</v>
      </c>
      <c r="AB26" s="1485">
        <v>1</v>
      </c>
      <c r="AC26" s="1485">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706"/>
      <c r="Q27" s="1481" t="str">
        <f t="shared" ref="Q27:Q47" si="11">B27</f>
        <v>楼层</v>
      </c>
      <c r="R27" s="1482" t="s">
        <v>8</v>
      </c>
      <c r="S27" s="1483">
        <f>F27</f>
        <v>100</v>
      </c>
      <c r="T27" s="1482" t="s">
        <v>8</v>
      </c>
      <c r="U27" s="1483">
        <f>H27</f>
        <v>100</v>
      </c>
      <c r="V27" s="1482" t="s">
        <v>8</v>
      </c>
      <c r="W27" s="1483">
        <f>J27</f>
        <v>100</v>
      </c>
      <c r="X27" s="1476"/>
      <c r="Y27" s="3706"/>
      <c r="Z27" s="1484" t="str">
        <f>Q27</f>
        <v>楼层</v>
      </c>
      <c r="AA27" s="1485">
        <f t="shared" si="3"/>
        <v>1</v>
      </c>
      <c r="AB27" s="1485">
        <f t="shared" si="4"/>
        <v>1</v>
      </c>
      <c r="AC27" s="1485">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706"/>
      <c r="Q28" s="1116" t="str">
        <f t="shared" si="11"/>
        <v>朝向</v>
      </c>
      <c r="R28" s="1477" t="s">
        <v>8</v>
      </c>
      <c r="S28" s="1478">
        <f>F28</f>
        <v>100</v>
      </c>
      <c r="T28" s="1477" t="s">
        <v>8</v>
      </c>
      <c r="U28" s="1478">
        <f>H28</f>
        <v>100</v>
      </c>
      <c r="V28" s="1477" t="s">
        <v>8</v>
      </c>
      <c r="W28" s="1478">
        <f>J28</f>
        <v>100</v>
      </c>
      <c r="X28" s="1479"/>
      <c r="Y28" s="3706"/>
      <c r="Z28" s="1115" t="str">
        <f>Q28</f>
        <v>朝向</v>
      </c>
      <c r="AA28" s="1485">
        <f>D28/F28</f>
        <v>1</v>
      </c>
      <c r="AB28" s="1485">
        <f>D28/H28</f>
        <v>1</v>
      </c>
      <c r="AC28" s="148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706"/>
      <c r="Q29" s="1481">
        <f t="shared" si="11"/>
        <v>111</v>
      </c>
      <c r="R29" s="1482" t="s">
        <v>8</v>
      </c>
      <c r="S29" s="1483">
        <f t="shared" ref="S29:S47" si="12">F29</f>
        <v>100</v>
      </c>
      <c r="T29" s="1482" t="s">
        <v>8</v>
      </c>
      <c r="U29" s="1483">
        <f t="shared" ref="U29:U47" si="13">H29</f>
        <v>100</v>
      </c>
      <c r="V29" s="1482" t="s">
        <v>8</v>
      </c>
      <c r="W29" s="1483">
        <f t="shared" ref="W29:W47" si="14">J29</f>
        <v>100</v>
      </c>
      <c r="X29" s="1476"/>
      <c r="Y29" s="3706"/>
      <c r="Z29" s="1484">
        <f t="shared" ref="Z29:Z47" si="15">Q29</f>
        <v>111</v>
      </c>
      <c r="AA29" s="1485">
        <f t="shared" si="3"/>
        <v>1</v>
      </c>
      <c r="AB29" s="1485">
        <f t="shared" si="4"/>
        <v>1</v>
      </c>
      <c r="AC29" s="148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706"/>
      <c r="Q30" s="1481">
        <f t="shared" si="11"/>
        <v>111</v>
      </c>
      <c r="R30" s="1482" t="s">
        <v>8</v>
      </c>
      <c r="S30" s="1483">
        <f t="shared" si="12"/>
        <v>100</v>
      </c>
      <c r="T30" s="1482" t="s">
        <v>8</v>
      </c>
      <c r="U30" s="1483">
        <f t="shared" si="13"/>
        <v>100</v>
      </c>
      <c r="V30" s="1482" t="s">
        <v>8</v>
      </c>
      <c r="W30" s="1483">
        <f t="shared" si="14"/>
        <v>100</v>
      </c>
      <c r="X30" s="1476"/>
      <c r="Y30" s="3706"/>
      <c r="Z30" s="1484">
        <f t="shared" si="15"/>
        <v>111</v>
      </c>
      <c r="AA30" s="1485">
        <f t="shared" si="3"/>
        <v>1</v>
      </c>
      <c r="AB30" s="1485">
        <f t="shared" si="4"/>
        <v>1</v>
      </c>
      <c r="AC30" s="148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706"/>
      <c r="Q31" s="1481">
        <f t="shared" si="11"/>
        <v>111</v>
      </c>
      <c r="R31" s="1482" t="s">
        <v>8</v>
      </c>
      <c r="S31" s="1483">
        <f t="shared" si="12"/>
        <v>100</v>
      </c>
      <c r="T31" s="1482" t="s">
        <v>8</v>
      </c>
      <c r="U31" s="1483">
        <f t="shared" si="13"/>
        <v>100</v>
      </c>
      <c r="V31" s="1482" t="s">
        <v>8</v>
      </c>
      <c r="W31" s="1483">
        <f t="shared" si="14"/>
        <v>100</v>
      </c>
      <c r="X31" s="1476"/>
      <c r="Y31" s="3706"/>
      <c r="Z31" s="1484">
        <f t="shared" si="15"/>
        <v>111</v>
      </c>
      <c r="AA31" s="1485">
        <f t="shared" si="3"/>
        <v>1</v>
      </c>
      <c r="AB31" s="1485">
        <f t="shared" si="4"/>
        <v>1</v>
      </c>
      <c r="AC31" s="148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706"/>
      <c r="Q32" s="1481">
        <f t="shared" si="11"/>
        <v>111</v>
      </c>
      <c r="R32" s="1482" t="s">
        <v>8</v>
      </c>
      <c r="S32" s="1483">
        <f t="shared" si="12"/>
        <v>100</v>
      </c>
      <c r="T32" s="1482" t="s">
        <v>8</v>
      </c>
      <c r="U32" s="1483">
        <f t="shared" si="13"/>
        <v>100</v>
      </c>
      <c r="V32" s="1482" t="s">
        <v>8</v>
      </c>
      <c r="W32" s="1483">
        <f t="shared" si="14"/>
        <v>100</v>
      </c>
      <c r="X32" s="1476"/>
      <c r="Y32" s="3706"/>
      <c r="Z32" s="1484">
        <f t="shared" si="15"/>
        <v>111</v>
      </c>
      <c r="AA32" s="1485">
        <f t="shared" si="3"/>
        <v>1</v>
      </c>
      <c r="AB32" s="1485">
        <f t="shared" si="4"/>
        <v>1</v>
      </c>
      <c r="AC32" s="1485">
        <f t="shared" si="5"/>
        <v>1</v>
      </c>
    </row>
    <row r="33" spans="1:29" ht="15">
      <c r="A33" s="2592"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707" t="s">
        <v>528</v>
      </c>
      <c r="Q33" s="1481" t="str">
        <f t="shared" si="11"/>
        <v>建筑类型</v>
      </c>
      <c r="R33" s="1482" t="s">
        <v>8</v>
      </c>
      <c r="S33" s="1483">
        <f t="shared" si="12"/>
        <v>100</v>
      </c>
      <c r="T33" s="1482" t="s">
        <v>8</v>
      </c>
      <c r="U33" s="1483">
        <f t="shared" si="13"/>
        <v>100</v>
      </c>
      <c r="V33" s="1482" t="s">
        <v>8</v>
      </c>
      <c r="W33" s="1483">
        <f t="shared" si="14"/>
        <v>100</v>
      </c>
      <c r="X33" s="1476"/>
      <c r="Y33" s="3708" t="s">
        <v>528</v>
      </c>
      <c r="Z33" s="1484" t="str">
        <f t="shared" si="15"/>
        <v>建筑类型</v>
      </c>
      <c r="AA33" s="1485">
        <f t="shared" si="3"/>
        <v>1</v>
      </c>
      <c r="AB33" s="1485">
        <f t="shared" si="4"/>
        <v>1</v>
      </c>
      <c r="AC33" s="1485">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708"/>
      <c r="Q34" s="1510" t="str">
        <f t="shared" si="11"/>
        <v>项目建筑规模</v>
      </c>
      <c r="R34" s="1486" t="s">
        <v>8</v>
      </c>
      <c r="S34" s="1487" t="e">
        <f t="shared" si="12"/>
        <v>#N/A</v>
      </c>
      <c r="T34" s="1486" t="s">
        <v>8</v>
      </c>
      <c r="U34" s="1487" t="e">
        <f t="shared" si="13"/>
        <v>#N/A</v>
      </c>
      <c r="V34" s="1486" t="s">
        <v>8</v>
      </c>
      <c r="W34" s="1487" t="e">
        <f t="shared" si="14"/>
        <v>#N/A</v>
      </c>
      <c r="X34" s="1488"/>
      <c r="Y34" s="3708"/>
      <c r="Z34" s="1489" t="str">
        <f t="shared" si="15"/>
        <v>项目建筑规模</v>
      </c>
      <c r="AA34" s="1485" t="e">
        <f t="shared" si="3"/>
        <v>#N/A</v>
      </c>
      <c r="AB34" s="1485" t="e">
        <f t="shared" si="4"/>
        <v>#N/A</v>
      </c>
      <c r="AC34" s="1485"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708"/>
      <c r="Q35" s="1481" t="str">
        <f t="shared" si="11"/>
        <v>建筑结构</v>
      </c>
      <c r="R35" s="1482" t="s">
        <v>8</v>
      </c>
      <c r="S35" s="1483">
        <f t="shared" si="12"/>
        <v>100</v>
      </c>
      <c r="T35" s="1482" t="s">
        <v>8</v>
      </c>
      <c r="U35" s="1483">
        <f t="shared" si="13"/>
        <v>100</v>
      </c>
      <c r="V35" s="1482" t="s">
        <v>8</v>
      </c>
      <c r="W35" s="1483">
        <f t="shared" si="14"/>
        <v>100</v>
      </c>
      <c r="X35" s="1476"/>
      <c r="Y35" s="3708"/>
      <c r="Z35" s="1484" t="str">
        <f t="shared" si="15"/>
        <v>建筑结构</v>
      </c>
      <c r="AA35" s="1485">
        <f t="shared" si="3"/>
        <v>1</v>
      </c>
      <c r="AB35" s="1485">
        <f t="shared" si="4"/>
        <v>1</v>
      </c>
      <c r="AC35" s="1485">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708"/>
      <c r="Q36" s="1481" t="str">
        <f t="shared" si="11"/>
        <v>公共部分装修</v>
      </c>
      <c r="R36" s="1482" t="s">
        <v>8</v>
      </c>
      <c r="S36" s="1483">
        <f t="shared" si="12"/>
        <v>100</v>
      </c>
      <c r="T36" s="1482" t="s">
        <v>8</v>
      </c>
      <c r="U36" s="1483">
        <f t="shared" si="13"/>
        <v>100</v>
      </c>
      <c r="V36" s="1482" t="s">
        <v>8</v>
      </c>
      <c r="W36" s="1483">
        <f t="shared" si="14"/>
        <v>100</v>
      </c>
      <c r="X36" s="1476"/>
      <c r="Y36" s="3708"/>
      <c r="Z36" s="1484" t="str">
        <f t="shared" si="15"/>
        <v>公共部分装修</v>
      </c>
      <c r="AA36" s="1485">
        <f t="shared" si="3"/>
        <v>1</v>
      </c>
      <c r="AB36" s="1485">
        <f t="shared" si="4"/>
        <v>1</v>
      </c>
      <c r="AC36" s="1485">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708"/>
      <c r="Q37" s="1481" t="str">
        <f t="shared" si="11"/>
        <v>成新度</v>
      </c>
      <c r="R37" s="1482" t="s">
        <v>8</v>
      </c>
      <c r="S37" s="1483" t="e">
        <f t="shared" si="12"/>
        <v>#N/A</v>
      </c>
      <c r="T37" s="1482" t="s">
        <v>8</v>
      </c>
      <c r="U37" s="1483" t="e">
        <f t="shared" si="13"/>
        <v>#N/A</v>
      </c>
      <c r="V37" s="1482" t="s">
        <v>8</v>
      </c>
      <c r="W37" s="1483" t="e">
        <f t="shared" si="14"/>
        <v>#N/A</v>
      </c>
      <c r="X37" s="1476"/>
      <c r="Y37" s="3708"/>
      <c r="Z37" s="1484" t="str">
        <f t="shared" si="15"/>
        <v>成新度</v>
      </c>
      <c r="AA37" s="1485" t="e">
        <f t="shared" si="3"/>
        <v>#N/A</v>
      </c>
      <c r="AB37" s="1485" t="e">
        <f t="shared" si="4"/>
        <v>#N/A</v>
      </c>
      <c r="AC37" s="1485"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708"/>
      <c r="Q38" s="1116" t="str">
        <f t="shared" si="11"/>
        <v>写字楼等级</v>
      </c>
      <c r="R38" s="1477" t="s">
        <v>8</v>
      </c>
      <c r="S38" s="1478">
        <f t="shared" si="12"/>
        <v>100</v>
      </c>
      <c r="T38" s="1477" t="s">
        <v>8</v>
      </c>
      <c r="U38" s="1478">
        <f t="shared" si="13"/>
        <v>100</v>
      </c>
      <c r="V38" s="1477" t="s">
        <v>8</v>
      </c>
      <c r="W38" s="1478">
        <f t="shared" si="14"/>
        <v>100</v>
      </c>
      <c r="X38" s="1479"/>
      <c r="Y38" s="3708"/>
      <c r="Z38" s="1115" t="str">
        <f t="shared" si="15"/>
        <v>写字楼等级</v>
      </c>
      <c r="AA38" s="1480">
        <f t="shared" si="3"/>
        <v>1</v>
      </c>
      <c r="AB38" s="1480">
        <f t="shared" si="4"/>
        <v>1</v>
      </c>
      <c r="AC38" s="1480">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708" t="s">
        <v>528</v>
      </c>
      <c r="Q39" s="1481" t="str">
        <f t="shared" si="11"/>
        <v>物业管理</v>
      </c>
      <c r="R39" s="1482" t="s">
        <v>8</v>
      </c>
      <c r="S39" s="1483">
        <f t="shared" si="12"/>
        <v>100</v>
      </c>
      <c r="T39" s="1482" t="s">
        <v>8</v>
      </c>
      <c r="U39" s="1483">
        <f t="shared" si="13"/>
        <v>100</v>
      </c>
      <c r="V39" s="1482" t="s">
        <v>8</v>
      </c>
      <c r="W39" s="1483">
        <f t="shared" si="14"/>
        <v>100</v>
      </c>
      <c r="X39" s="1476"/>
      <c r="Y39" s="3708" t="s">
        <v>528</v>
      </c>
      <c r="Z39" s="1484" t="str">
        <f t="shared" si="15"/>
        <v>物业管理</v>
      </c>
      <c r="AA39" s="1485">
        <f t="shared" si="3"/>
        <v>1</v>
      </c>
      <c r="AB39" s="1485">
        <f t="shared" si="4"/>
        <v>1</v>
      </c>
      <c r="AC39" s="1485">
        <f t="shared" si="5"/>
        <v>1</v>
      </c>
    </row>
    <row r="40" spans="1:29" ht="15">
      <c r="A40" s="570"/>
      <c r="B40" s="1782"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708"/>
      <c r="Q40" s="1481" t="str">
        <f t="shared" si="11"/>
        <v>市政基础设施</v>
      </c>
      <c r="R40" s="1482" t="s">
        <v>8</v>
      </c>
      <c r="S40" s="1483">
        <f t="shared" si="12"/>
        <v>100</v>
      </c>
      <c r="T40" s="1482" t="s">
        <v>8</v>
      </c>
      <c r="U40" s="1483">
        <f t="shared" si="13"/>
        <v>100</v>
      </c>
      <c r="V40" s="1482" t="s">
        <v>8</v>
      </c>
      <c r="W40" s="1483">
        <f t="shared" si="14"/>
        <v>100</v>
      </c>
      <c r="X40" s="1476"/>
      <c r="Y40" s="3708"/>
      <c r="Z40" s="1484" t="str">
        <f t="shared" si="15"/>
        <v>市政基础设施</v>
      </c>
      <c r="AA40" s="1485">
        <f t="shared" si="3"/>
        <v>1</v>
      </c>
      <c r="AB40" s="1485">
        <f t="shared" si="4"/>
        <v>1</v>
      </c>
      <c r="AC40" s="1485">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708"/>
      <c r="Q41" s="1481" t="str">
        <f t="shared" si="11"/>
        <v>层高</v>
      </c>
      <c r="R41" s="1482" t="s">
        <v>8</v>
      </c>
      <c r="S41" s="1483">
        <f t="shared" si="12"/>
        <v>100</v>
      </c>
      <c r="T41" s="1482" t="s">
        <v>8</v>
      </c>
      <c r="U41" s="1483">
        <f t="shared" si="13"/>
        <v>100</v>
      </c>
      <c r="V41" s="1482" t="s">
        <v>8</v>
      </c>
      <c r="W41" s="1483">
        <f t="shared" si="14"/>
        <v>100</v>
      </c>
      <c r="X41" s="1476"/>
      <c r="Y41" s="3708"/>
      <c r="Z41" s="1484" t="str">
        <f t="shared" si="15"/>
        <v>层高</v>
      </c>
      <c r="AA41" s="1485">
        <f t="shared" si="3"/>
        <v>1</v>
      </c>
      <c r="AB41" s="1485">
        <f t="shared" si="4"/>
        <v>1</v>
      </c>
      <c r="AC41" s="1485">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708"/>
      <c r="Q42" s="1510" t="str">
        <f t="shared" si="11"/>
        <v>单套建筑面积</v>
      </c>
      <c r="R42" s="1486" t="s">
        <v>8</v>
      </c>
      <c r="S42" s="1487">
        <f t="shared" si="12"/>
        <v>100</v>
      </c>
      <c r="T42" s="1486" t="s">
        <v>8</v>
      </c>
      <c r="U42" s="1487">
        <f t="shared" si="13"/>
        <v>100</v>
      </c>
      <c r="V42" s="1486" t="s">
        <v>8</v>
      </c>
      <c r="W42" s="1487">
        <f t="shared" si="14"/>
        <v>100</v>
      </c>
      <c r="X42" s="1488"/>
      <c r="Y42" s="3708"/>
      <c r="Z42" s="1489" t="str">
        <f t="shared" si="15"/>
        <v>单套建筑面积</v>
      </c>
      <c r="AA42" s="1485">
        <f t="shared" si="3"/>
        <v>1</v>
      </c>
      <c r="AB42" s="1485">
        <f t="shared" si="4"/>
        <v>1</v>
      </c>
      <c r="AC42" s="1485">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708"/>
      <c r="Q43" s="1481" t="str">
        <f t="shared" si="11"/>
        <v>内部装修</v>
      </c>
      <c r="R43" s="1482" t="s">
        <v>8</v>
      </c>
      <c r="S43" s="1483">
        <f t="shared" si="12"/>
        <v>100</v>
      </c>
      <c r="T43" s="1482" t="s">
        <v>8</v>
      </c>
      <c r="U43" s="1483">
        <f t="shared" si="13"/>
        <v>100</v>
      </c>
      <c r="V43" s="1482" t="s">
        <v>8</v>
      </c>
      <c r="W43" s="1483">
        <f t="shared" si="14"/>
        <v>100</v>
      </c>
      <c r="X43" s="1476"/>
      <c r="Y43" s="3708"/>
      <c r="Z43" s="1484" t="str">
        <f t="shared" si="15"/>
        <v>内部装修</v>
      </c>
      <c r="AA43" s="1485">
        <f t="shared" si="3"/>
        <v>1</v>
      </c>
      <c r="AB43" s="1485">
        <f t="shared" si="4"/>
        <v>1</v>
      </c>
      <c r="AC43" s="1485">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708"/>
      <c r="Q44" s="1481" t="str">
        <f t="shared" si="11"/>
        <v>内部装修维护情况</v>
      </c>
      <c r="R44" s="1482" t="s">
        <v>8</v>
      </c>
      <c r="S44" s="1483">
        <f t="shared" si="12"/>
        <v>100</v>
      </c>
      <c r="T44" s="1482" t="s">
        <v>8</v>
      </c>
      <c r="U44" s="1483">
        <f t="shared" si="13"/>
        <v>100</v>
      </c>
      <c r="V44" s="1482" t="s">
        <v>8</v>
      </c>
      <c r="W44" s="1483">
        <f t="shared" si="14"/>
        <v>100</v>
      </c>
      <c r="X44" s="1476"/>
      <c r="Y44" s="3708"/>
      <c r="Z44" s="1484" t="str">
        <f t="shared" si="15"/>
        <v>内部装修维护情况</v>
      </c>
      <c r="AA44" s="1485">
        <f t="shared" si="3"/>
        <v>1</v>
      </c>
      <c r="AB44" s="1485">
        <f t="shared" si="4"/>
        <v>1</v>
      </c>
      <c r="AC44" s="1485">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708"/>
      <c r="Q45" s="1116">
        <f t="shared" si="11"/>
        <v>111</v>
      </c>
      <c r="R45" s="1477" t="s">
        <v>8</v>
      </c>
      <c r="S45" s="1478">
        <f t="shared" si="12"/>
        <v>100</v>
      </c>
      <c r="T45" s="1477" t="s">
        <v>8</v>
      </c>
      <c r="U45" s="1478">
        <f t="shared" si="13"/>
        <v>100</v>
      </c>
      <c r="V45" s="1477" t="s">
        <v>8</v>
      </c>
      <c r="W45" s="1478">
        <f t="shared" si="14"/>
        <v>100</v>
      </c>
      <c r="X45" s="1479"/>
      <c r="Y45" s="3708"/>
      <c r="Z45" s="1115">
        <f t="shared" si="15"/>
        <v>111</v>
      </c>
      <c r="AA45" s="1480">
        <f t="shared" si="3"/>
        <v>1</v>
      </c>
      <c r="AB45" s="1480">
        <f t="shared" si="4"/>
        <v>1</v>
      </c>
      <c r="AC45" s="148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708"/>
      <c r="Q46" s="1481">
        <f t="shared" si="11"/>
        <v>111</v>
      </c>
      <c r="R46" s="1482" t="s">
        <v>8</v>
      </c>
      <c r="S46" s="1483">
        <f t="shared" si="12"/>
        <v>100</v>
      </c>
      <c r="T46" s="1482" t="s">
        <v>8</v>
      </c>
      <c r="U46" s="1483">
        <f t="shared" si="13"/>
        <v>100</v>
      </c>
      <c r="V46" s="1482" t="s">
        <v>8</v>
      </c>
      <c r="W46" s="1483">
        <f t="shared" si="14"/>
        <v>100</v>
      </c>
      <c r="X46" s="1476"/>
      <c r="Y46" s="3708"/>
      <c r="Z46" s="1484">
        <f t="shared" si="15"/>
        <v>111</v>
      </c>
      <c r="AA46" s="1485">
        <f t="shared" si="3"/>
        <v>1</v>
      </c>
      <c r="AB46" s="1485">
        <f t="shared" si="4"/>
        <v>1</v>
      </c>
      <c r="AC46" s="148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846"/>
      <c r="Q47" s="1481">
        <f t="shared" si="11"/>
        <v>111</v>
      </c>
      <c r="R47" s="1482" t="s">
        <v>8</v>
      </c>
      <c r="S47" s="1483">
        <f t="shared" si="12"/>
        <v>100</v>
      </c>
      <c r="T47" s="1482" t="s">
        <v>8</v>
      </c>
      <c r="U47" s="1483">
        <f t="shared" si="13"/>
        <v>100</v>
      </c>
      <c r="V47" s="1482" t="s">
        <v>8</v>
      </c>
      <c r="W47" s="1483">
        <f t="shared" si="14"/>
        <v>100</v>
      </c>
      <c r="X47" s="1476"/>
      <c r="Y47" s="3846"/>
      <c r="Z47" s="1484">
        <f t="shared" si="15"/>
        <v>111</v>
      </c>
      <c r="AA47" s="1485">
        <f t="shared" si="3"/>
        <v>1</v>
      </c>
      <c r="AB47" s="1485">
        <f t="shared" si="4"/>
        <v>1</v>
      </c>
      <c r="AC47" s="1485">
        <f t="shared" si="5"/>
        <v>1</v>
      </c>
    </row>
    <row r="48" spans="1:29" ht="15">
      <c r="A48" s="583" t="s">
        <v>714</v>
      </c>
      <c r="B48" s="858"/>
      <c r="C48" s="2438" t="s">
        <v>1</v>
      </c>
      <c r="D48" s="2439"/>
      <c r="E48" s="2440"/>
      <c r="F48" s="2441"/>
      <c r="G48" s="2442"/>
      <c r="H48" s="2443"/>
      <c r="I48" s="2440"/>
      <c r="J48" s="2443"/>
      <c r="K48" s="1515"/>
      <c r="L48" s="1997"/>
      <c r="M48" s="1987"/>
      <c r="N48" s="1987"/>
      <c r="O48" s="1987"/>
      <c r="P48" s="3725" t="str">
        <f>A48</f>
        <v>成交单价（元/平方米）</v>
      </c>
      <c r="Q48" s="3703"/>
      <c r="R48" s="3845">
        <f>E48</f>
        <v>0</v>
      </c>
      <c r="S48" s="3845"/>
      <c r="T48" s="3845">
        <f>G48</f>
        <v>0</v>
      </c>
      <c r="U48" s="3845"/>
      <c r="V48" s="3845">
        <f>I48</f>
        <v>0</v>
      </c>
      <c r="W48" s="3845"/>
      <c r="X48" s="1471"/>
      <c r="Y48" s="1490"/>
      <c r="Z48" s="1471"/>
      <c r="AA48" s="1471"/>
      <c r="AB48" s="1471"/>
      <c r="AC48" s="1471"/>
    </row>
    <row r="49" spans="1:29" ht="15.75" thickBot="1">
      <c r="A49" s="591" t="s">
        <v>2713</v>
      </c>
      <c r="B49" s="859"/>
      <c r="C49" s="2444" t="e">
        <f>R50</f>
        <v>#DIV/0!</v>
      </c>
      <c r="D49" s="2980" t="s">
        <v>2937</v>
      </c>
      <c r="E49" s="2445" t="e">
        <f>R49</f>
        <v>#DIV/0!</v>
      </c>
      <c r="F49" s="2981"/>
      <c r="G49" s="2444" t="e">
        <f>T49</f>
        <v>#DIV/0!</v>
      </c>
      <c r="H49" s="2981"/>
      <c r="I49" s="2445" t="e">
        <f>V49</f>
        <v>#DIV/0!</v>
      </c>
      <c r="J49" s="2981"/>
      <c r="K49" s="2989">
        <f>F49+H49+J49</f>
        <v>0</v>
      </c>
      <c r="L49" s="1997"/>
      <c r="M49" s="1987"/>
      <c r="N49" s="1987"/>
      <c r="O49" s="1987"/>
      <c r="P49" s="3725" t="str">
        <f>A49</f>
        <v>比较价格（元/平方米）</v>
      </c>
      <c r="Q49" s="3703"/>
      <c r="R49" s="3845" t="e">
        <f>IF(F1="售价",ROUND(PRODUCT(R48,AA7:AA47),0),ROUND(PRODUCT(R48,AA7:AA47),1))</f>
        <v>#DIV/0!</v>
      </c>
      <c r="S49" s="3845"/>
      <c r="T49" s="3845" t="e">
        <f>IF(F1="售价",ROUND(PRODUCT(T48,AB7:AB47),0),ROUND(PRODUCT(T48,AB7:AB47),1))</f>
        <v>#DIV/0!</v>
      </c>
      <c r="U49" s="3845"/>
      <c r="V49" s="3845" t="e">
        <f>IF(F1="售价",ROUND(PRODUCT(V48,AC7:AC47),0),ROUND(PRODUCT(V48,AC7:AC47),1))</f>
        <v>#DIV/0!</v>
      </c>
      <c r="W49" s="3845"/>
      <c r="X49" s="1471"/>
      <c r="Y49" s="1471"/>
      <c r="Z49" s="1471"/>
      <c r="AA49" s="1471"/>
      <c r="AB49" s="1471"/>
      <c r="AC49" s="1471"/>
    </row>
    <row r="50" spans="1:29" ht="15.75" thickBot="1">
      <c r="A50" s="595" t="s">
        <v>2873</v>
      </c>
      <c r="B50" s="596"/>
      <c r="C50" s="2446" t="e">
        <f>R50</f>
        <v>#DIV/0!</v>
      </c>
      <c r="D50" s="2446"/>
      <c r="E50" s="2446"/>
      <c r="F50" s="2446"/>
      <c r="G50" s="2446"/>
      <c r="H50" s="2446"/>
      <c r="I50" s="2446"/>
      <c r="J50" s="2446"/>
      <c r="K50" s="1516"/>
      <c r="L50" s="1997"/>
      <c r="M50" s="1987"/>
      <c r="N50" s="1987"/>
      <c r="O50" s="1987"/>
      <c r="P50" s="3850" t="str">
        <f>A50</f>
        <v>估价对象XX用房的比较价格（楼面单价，元/平方米）</v>
      </c>
      <c r="Q50" s="3725"/>
      <c r="R50" s="3844" t="e">
        <f>IF(F1="售价",ROUND(IF(D49="简单平均",AVERAGE(R49:V49),R49*F49+T49*H49+V49*J49),0),ROUND(IF(D49="简单平均",AVERAGE(R49:V49),R49*F49+T49*H49+V49*J49),1))</f>
        <v>#DIV/0!</v>
      </c>
      <c r="S50" s="3844"/>
      <c r="T50" s="3844"/>
      <c r="U50" s="3844"/>
      <c r="V50" s="3844"/>
      <c r="W50" s="3844"/>
      <c r="X50" s="1471"/>
      <c r="Y50" s="1471"/>
      <c r="Z50" s="1471"/>
      <c r="AA50" s="1471"/>
      <c r="AB50" s="1471"/>
      <c r="AC50" s="1471"/>
    </row>
    <row r="51" spans="1:29">
      <c r="A51" s="3179"/>
      <c r="B51" s="3179"/>
      <c r="C51" s="3179"/>
      <c r="D51" s="3179"/>
      <c r="E51" s="3179"/>
      <c r="F51" s="3179"/>
      <c r="G51" s="3181"/>
      <c r="H51" s="3179"/>
      <c r="I51" s="3179"/>
      <c r="J51" s="3179"/>
      <c r="K51" s="3182"/>
      <c r="L51" s="2002"/>
      <c r="M51" s="1998"/>
      <c r="N51" s="1998"/>
      <c r="O51" s="1998"/>
      <c r="P51" s="2059"/>
      <c r="Q51" s="1998"/>
      <c r="R51" s="1998"/>
      <c r="S51" s="1998"/>
      <c r="T51" s="1998"/>
      <c r="U51" s="1998"/>
      <c r="V51" s="1998"/>
      <c r="W51" s="1998"/>
      <c r="X51" s="1998"/>
      <c r="Y51" s="1998"/>
      <c r="Z51" s="1998"/>
      <c r="AA51" s="1998"/>
      <c r="AB51" s="1998"/>
      <c r="AC51" s="1998"/>
    </row>
    <row r="52" spans="1:29">
      <c r="A52" s="3179"/>
      <c r="B52" s="3179"/>
      <c r="C52" s="3179"/>
      <c r="D52" s="3179"/>
      <c r="E52" s="3179"/>
      <c r="F52" s="3179"/>
      <c r="G52" s="3179"/>
      <c r="H52" s="3179"/>
      <c r="I52" s="3179"/>
      <c r="J52" s="3179"/>
      <c r="K52" s="3182"/>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ht="15">
      <c r="A59" s="619" t="s">
        <v>507</v>
      </c>
      <c r="B59" s="620"/>
      <c r="C59" s="2487" t="str">
        <f>YEAR(C7)&amp;"-"&amp;MONTH(C7)</f>
        <v>2022-3</v>
      </c>
      <c r="D59" s="2489">
        <f>EDATE(C59,-1)</f>
        <v>44593</v>
      </c>
      <c r="E59" s="2489">
        <f t="shared" ref="E59:O59" si="16">EDATE(D59,-1)</f>
        <v>44562</v>
      </c>
      <c r="F59" s="2489">
        <f t="shared" si="16"/>
        <v>44531</v>
      </c>
      <c r="G59" s="2489">
        <f t="shared" si="16"/>
        <v>44501</v>
      </c>
      <c r="H59" s="2489">
        <f t="shared" si="16"/>
        <v>44470</v>
      </c>
      <c r="I59" s="2489">
        <f t="shared" si="16"/>
        <v>44440</v>
      </c>
      <c r="J59" s="2489">
        <f t="shared" si="16"/>
        <v>44409</v>
      </c>
      <c r="K59" s="2489">
        <f t="shared" si="16"/>
        <v>44378</v>
      </c>
      <c r="L59" s="2489">
        <f t="shared" si="16"/>
        <v>44348</v>
      </c>
      <c r="M59" s="2489">
        <f t="shared" si="16"/>
        <v>44317</v>
      </c>
      <c r="N59" s="2489">
        <f t="shared" si="16"/>
        <v>44287</v>
      </c>
      <c r="O59" s="2489">
        <f t="shared" si="16"/>
        <v>44256</v>
      </c>
      <c r="P59" s="2062"/>
      <c r="Q59" s="2013"/>
      <c r="R59" s="2013"/>
      <c r="S59" s="2013"/>
      <c r="T59" s="2013"/>
      <c r="U59" s="2013"/>
      <c r="V59" s="2013"/>
      <c r="W59" s="2013"/>
      <c r="X59" s="2013"/>
      <c r="Y59" s="2013"/>
      <c r="Z59" s="2013"/>
      <c r="AA59" s="2013"/>
      <c r="AB59" s="2013"/>
      <c r="AC59" s="2013"/>
    </row>
    <row r="60" spans="1:29" s="1185" customFormat="1" ht="15">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5.7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ht="15">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5.7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5.7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5.7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5.75" thickTop="1">
      <c r="A81" s="643"/>
      <c r="B81" s="1783" t="s">
        <v>2511</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5.75" thickTop="1">
      <c r="A83" s="643"/>
      <c r="B83" s="2409" t="s">
        <v>2512</v>
      </c>
      <c r="C83" s="2410" t="s">
        <v>2513</v>
      </c>
      <c r="D83" s="2410" t="s">
        <v>2514</v>
      </c>
      <c r="E83" s="2410" t="s">
        <v>2515</v>
      </c>
      <c r="F83" s="2410" t="s">
        <v>2516</v>
      </c>
      <c r="G83" s="2410" t="s">
        <v>2517</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5.7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5.7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5.7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5.7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5.7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5.7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5.7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5.7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5.7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09"/>
      <c r="B117" s="1783" t="s">
        <v>2510</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topLeftCell="A13" zoomScale="60" zoomScaleNormal="60" workbookViewId="0">
      <selection activeCell="F7" sqref="F7:F40"/>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499</v>
      </c>
      <c r="B4" s="489"/>
      <c r="C4" s="3709" t="s">
        <v>500</v>
      </c>
      <c r="D4" s="3710"/>
      <c r="E4" s="3814" t="s">
        <v>501</v>
      </c>
      <c r="F4" s="3815"/>
      <c r="G4" s="3709" t="s">
        <v>502</v>
      </c>
      <c r="H4" s="3710"/>
      <c r="I4" s="3709" t="s">
        <v>503</v>
      </c>
      <c r="J4" s="3710"/>
      <c r="K4" s="490" t="s">
        <v>504</v>
      </c>
      <c r="L4" s="1986"/>
      <c r="M4" s="1987"/>
      <c r="N4" s="1987"/>
      <c r="O4" s="1987"/>
      <c r="P4" s="3711" t="s">
        <v>505</v>
      </c>
      <c r="Q4" s="3712"/>
      <c r="R4" s="3697" t="s">
        <v>501</v>
      </c>
      <c r="S4" s="3698"/>
      <c r="T4" s="3697" t="s">
        <v>502</v>
      </c>
      <c r="U4" s="3698"/>
      <c r="V4" s="3717" t="s">
        <v>503</v>
      </c>
      <c r="W4" s="3717"/>
      <c r="X4" s="1476"/>
      <c r="Y4" s="3697" t="s">
        <v>505</v>
      </c>
      <c r="Z4" s="3698"/>
      <c r="AA4" s="3692" t="s">
        <v>501</v>
      </c>
      <c r="AB4" s="3693" t="s">
        <v>502</v>
      </c>
      <c r="AC4" s="3692" t="s">
        <v>503</v>
      </c>
    </row>
    <row r="5" spans="1:29" ht="15">
      <c r="A5" s="491"/>
      <c r="B5" s="492"/>
      <c r="C5" s="3720" t="s">
        <v>2867</v>
      </c>
      <c r="D5" s="3721"/>
      <c r="E5" s="3816" t="s">
        <v>2868</v>
      </c>
      <c r="F5" s="3817"/>
      <c r="G5" s="3720" t="s">
        <v>2869</v>
      </c>
      <c r="H5" s="3721"/>
      <c r="I5" s="3720" t="s">
        <v>2870</v>
      </c>
      <c r="J5" s="3721"/>
      <c r="K5" s="490"/>
      <c r="L5" s="1986"/>
      <c r="M5" s="1987"/>
      <c r="N5" s="1987"/>
      <c r="O5" s="1987"/>
      <c r="P5" s="3713"/>
      <c r="Q5" s="3714"/>
      <c r="R5" s="3699"/>
      <c r="S5" s="3700"/>
      <c r="T5" s="3699"/>
      <c r="U5" s="3700"/>
      <c r="V5" s="3717"/>
      <c r="W5" s="3717"/>
      <c r="X5" s="1476"/>
      <c r="Y5" s="3699"/>
      <c r="Z5" s="3700"/>
      <c r="AA5" s="3693"/>
      <c r="AB5" s="3693"/>
      <c r="AC5" s="3693"/>
    </row>
    <row r="6" spans="1:29" ht="15.75" thickBot="1">
      <c r="A6" s="493"/>
      <c r="B6" s="494"/>
      <c r="C6" s="3718" t="s">
        <v>2871</v>
      </c>
      <c r="D6" s="3719"/>
      <c r="E6" s="3818" t="s">
        <v>2871</v>
      </c>
      <c r="F6" s="3819"/>
      <c r="G6" s="3718" t="s">
        <v>2871</v>
      </c>
      <c r="H6" s="3719"/>
      <c r="I6" s="3718" t="s">
        <v>2871</v>
      </c>
      <c r="J6" s="3719"/>
      <c r="K6" s="490" t="s">
        <v>506</v>
      </c>
      <c r="L6" s="1986"/>
      <c r="M6" s="1987"/>
      <c r="N6" s="1987"/>
      <c r="O6" s="1987"/>
      <c r="P6" s="3715"/>
      <c r="Q6" s="3716"/>
      <c r="R6" s="3699"/>
      <c r="S6" s="3700"/>
      <c r="T6" s="3701"/>
      <c r="U6" s="3702"/>
      <c r="V6" s="3717"/>
      <c r="W6" s="3717"/>
      <c r="X6" s="1476"/>
      <c r="Y6" s="3701"/>
      <c r="Z6" s="3702"/>
      <c r="AA6" s="3694"/>
      <c r="AB6" s="3694"/>
      <c r="AC6" s="3694"/>
    </row>
    <row r="7" spans="1:29" s="1185" customFormat="1" ht="15.75" thickBot="1">
      <c r="A7" s="2597"/>
      <c r="B7" s="2604" t="s">
        <v>507</v>
      </c>
      <c r="C7" s="495">
        <f>'数据-取费表'!B2</f>
        <v>44623</v>
      </c>
      <c r="D7" s="496">
        <v>100</v>
      </c>
      <c r="E7" s="497"/>
      <c r="F7" s="498">
        <f>SUMIF(52:52,YEAR(E7)&amp;"-"&amp;MONTH(E7),53:53)</f>
        <v>0</v>
      </c>
      <c r="G7" s="497"/>
      <c r="H7" s="496">
        <f>SUMIF(52:52,YEAR(G7)&amp;"-"&amp;MONTH(G7),53:53)</f>
        <v>0</v>
      </c>
      <c r="I7" s="497"/>
      <c r="J7" s="496">
        <f>SUMIF(52:52,YEAR(I7)&amp;"-"&amp;MONTH(I7),53:53)</f>
        <v>0</v>
      </c>
      <c r="K7" s="500"/>
      <c r="L7" s="1988"/>
      <c r="M7" s="1989"/>
      <c r="N7" s="1989"/>
      <c r="O7" s="1989"/>
      <c r="P7" s="3695" t="s">
        <v>508</v>
      </c>
      <c r="Q7" s="3704"/>
      <c r="R7" s="1477" t="s">
        <v>8</v>
      </c>
      <c r="S7" s="1478">
        <f t="shared" ref="S7:S15" si="0">F7</f>
        <v>0</v>
      </c>
      <c r="T7" s="1477" t="s">
        <v>8</v>
      </c>
      <c r="U7" s="1478">
        <f t="shared" ref="U7:U15" si="1">H7</f>
        <v>0</v>
      </c>
      <c r="V7" s="1477" t="s">
        <v>8</v>
      </c>
      <c r="W7" s="1478">
        <f t="shared" ref="W7:W15" si="2">J7</f>
        <v>0</v>
      </c>
      <c r="X7" s="1479"/>
      <c r="Y7" s="3695" t="s">
        <v>508</v>
      </c>
      <c r="Z7" s="3696"/>
      <c r="AA7" s="1480" t="e">
        <f>D7/F7</f>
        <v>#DIV/0!</v>
      </c>
      <c r="AB7" s="1480" t="e">
        <f>D7/H7</f>
        <v>#DIV/0!</v>
      </c>
      <c r="AC7" s="1480" t="e">
        <f>D7/J7</f>
        <v>#DIV/0!</v>
      </c>
    </row>
    <row r="8" spans="1:29" s="1185" customFormat="1" ht="15.7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695" t="s">
        <v>511</v>
      </c>
      <c r="Q8" s="3696"/>
      <c r="R8" s="1477" t="s">
        <v>8</v>
      </c>
      <c r="S8" s="1478">
        <f t="shared" si="0"/>
        <v>0</v>
      </c>
      <c r="T8" s="1477" t="s">
        <v>8</v>
      </c>
      <c r="U8" s="1478">
        <f t="shared" si="1"/>
        <v>0</v>
      </c>
      <c r="V8" s="1477" t="s">
        <v>8</v>
      </c>
      <c r="W8" s="1478">
        <f t="shared" si="2"/>
        <v>0</v>
      </c>
      <c r="X8" s="1479"/>
      <c r="Y8" s="3695" t="s">
        <v>511</v>
      </c>
      <c r="Z8" s="3696"/>
      <c r="AA8" s="1480" t="e">
        <f t="shared" ref="AA8:AA40" si="3">D8/F8</f>
        <v>#DIV/0!</v>
      </c>
      <c r="AB8" s="1480" t="e">
        <f t="shared" ref="AB8:AB40" si="4">D8/H8</f>
        <v>#DIV/0!</v>
      </c>
      <c r="AC8" s="1480" t="e">
        <f t="shared" ref="AC8:AC40" si="5">D8/J8</f>
        <v>#DIV/0!</v>
      </c>
    </row>
    <row r="9" spans="1:29" s="1185" customFormat="1" ht="15">
      <c r="A9" s="2599"/>
      <c r="B9" s="2606" t="s">
        <v>2709</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703" t="s">
        <v>513</v>
      </c>
      <c r="Q9" s="1116" t="str">
        <f t="shared" ref="Q9:Q15" si="6">B9</f>
        <v>用途</v>
      </c>
      <c r="R9" s="1477" t="s">
        <v>8</v>
      </c>
      <c r="S9" s="1478">
        <f t="shared" si="0"/>
        <v>100</v>
      </c>
      <c r="T9" s="1477" t="s">
        <v>8</v>
      </c>
      <c r="U9" s="1478">
        <f t="shared" si="1"/>
        <v>100</v>
      </c>
      <c r="V9" s="1477" t="s">
        <v>8</v>
      </c>
      <c r="W9" s="1478">
        <f t="shared" si="2"/>
        <v>100</v>
      </c>
      <c r="X9" s="1479"/>
      <c r="Y9" s="3644"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703"/>
      <c r="Q10" s="1116" t="str">
        <f t="shared" si="6"/>
        <v>土地使用年限（年）</v>
      </c>
      <c r="R10" s="1477" t="s">
        <v>8</v>
      </c>
      <c r="S10" s="1478">
        <f t="shared" si="0"/>
        <v>100</v>
      </c>
      <c r="T10" s="1477" t="s">
        <v>8</v>
      </c>
      <c r="U10" s="1478">
        <f t="shared" si="1"/>
        <v>100</v>
      </c>
      <c r="V10" s="1477" t="s">
        <v>8</v>
      </c>
      <c r="W10" s="1478">
        <f t="shared" si="2"/>
        <v>100</v>
      </c>
      <c r="X10" s="1479"/>
      <c r="Y10" s="3644"/>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703"/>
      <c r="Q11" s="1116" t="str">
        <f t="shared" si="6"/>
        <v>容积率</v>
      </c>
      <c r="R11" s="1477" t="s">
        <v>8</v>
      </c>
      <c r="S11" s="1478" t="e">
        <f t="shared" si="0"/>
        <v>#N/A</v>
      </c>
      <c r="T11" s="1477" t="s">
        <v>8</v>
      </c>
      <c r="U11" s="1478" t="e">
        <f t="shared" si="1"/>
        <v>#N/A</v>
      </c>
      <c r="V11" s="1477" t="s">
        <v>8</v>
      </c>
      <c r="W11" s="1478" t="e">
        <f t="shared" si="2"/>
        <v>#N/A</v>
      </c>
      <c r="X11" s="1479"/>
      <c r="Y11" s="3644"/>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703"/>
      <c r="Q12" s="1116">
        <f t="shared" si="6"/>
        <v>111</v>
      </c>
      <c r="R12" s="1477" t="s">
        <v>8</v>
      </c>
      <c r="S12" s="1478">
        <f t="shared" si="0"/>
        <v>100</v>
      </c>
      <c r="T12" s="1477" t="s">
        <v>8</v>
      </c>
      <c r="U12" s="1478">
        <f t="shared" si="1"/>
        <v>100</v>
      </c>
      <c r="V12" s="1477" t="s">
        <v>8</v>
      </c>
      <c r="W12" s="1478">
        <f t="shared" si="2"/>
        <v>100</v>
      </c>
      <c r="X12" s="1479"/>
      <c r="Y12" s="3644"/>
      <c r="Z12" s="1115">
        <f t="shared" si="7"/>
        <v>111</v>
      </c>
      <c r="AA12" s="1480">
        <f>D12/F12</f>
        <v>1</v>
      </c>
      <c r="AB12" s="1480">
        <f>D12/H12</f>
        <v>1</v>
      </c>
      <c r="AC12" s="1480">
        <f>D12/J12</f>
        <v>1</v>
      </c>
    </row>
    <row r="13" spans="1:29" ht="1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703"/>
      <c r="Q13" s="1116">
        <f t="shared" si="6"/>
        <v>111</v>
      </c>
      <c r="R13" s="1477" t="s">
        <v>8</v>
      </c>
      <c r="S13" s="1478">
        <f t="shared" si="0"/>
        <v>100</v>
      </c>
      <c r="T13" s="1477" t="s">
        <v>8</v>
      </c>
      <c r="U13" s="1478">
        <f t="shared" si="1"/>
        <v>100</v>
      </c>
      <c r="V13" s="1477" t="s">
        <v>8</v>
      </c>
      <c r="W13" s="1478">
        <f t="shared" si="2"/>
        <v>100</v>
      </c>
      <c r="X13" s="1479"/>
      <c r="Y13" s="3644"/>
      <c r="Z13" s="1115">
        <f t="shared" si="7"/>
        <v>111</v>
      </c>
      <c r="AA13" s="1480">
        <f t="shared" si="3"/>
        <v>1</v>
      </c>
      <c r="AB13" s="1480">
        <f t="shared" si="4"/>
        <v>1</v>
      </c>
      <c r="AC13" s="1480">
        <f t="shared" si="5"/>
        <v>1</v>
      </c>
    </row>
    <row r="14" spans="1:29" ht="15.75"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703"/>
      <c r="Q14" s="1116">
        <f t="shared" si="6"/>
        <v>111</v>
      </c>
      <c r="R14" s="1477" t="s">
        <v>8</v>
      </c>
      <c r="S14" s="1478">
        <f t="shared" si="0"/>
        <v>100</v>
      </c>
      <c r="T14" s="1477" t="s">
        <v>8</v>
      </c>
      <c r="U14" s="1478">
        <f t="shared" si="1"/>
        <v>100</v>
      </c>
      <c r="V14" s="1477" t="s">
        <v>8</v>
      </c>
      <c r="W14" s="1478">
        <f t="shared" si="2"/>
        <v>100</v>
      </c>
      <c r="X14" s="1479"/>
      <c r="Y14" s="3644"/>
      <c r="Z14" s="1115">
        <f t="shared" si="7"/>
        <v>111</v>
      </c>
      <c r="AA14" s="1480">
        <f t="shared" si="3"/>
        <v>1</v>
      </c>
      <c r="AB14" s="1480">
        <f t="shared" si="4"/>
        <v>1</v>
      </c>
      <c r="AC14" s="1480">
        <f t="shared" si="5"/>
        <v>1</v>
      </c>
    </row>
    <row r="15" spans="1:29" ht="57">
      <c r="A15" s="2595"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705" t="s">
        <v>518</v>
      </c>
      <c r="Q15" s="1481" t="str">
        <f t="shared" si="6"/>
        <v>产业集聚程度</v>
      </c>
      <c r="R15" s="1482" t="s">
        <v>8</v>
      </c>
      <c r="S15" s="1483">
        <f t="shared" si="0"/>
        <v>100</v>
      </c>
      <c r="T15" s="1482" t="s">
        <v>8</v>
      </c>
      <c r="U15" s="1483">
        <f t="shared" si="1"/>
        <v>100</v>
      </c>
      <c r="V15" s="1482" t="s">
        <v>8</v>
      </c>
      <c r="W15" s="1483">
        <f t="shared" si="2"/>
        <v>100</v>
      </c>
      <c r="X15" s="1476"/>
      <c r="Y15" s="3705" t="s">
        <v>518</v>
      </c>
      <c r="Z15" s="1484" t="str">
        <f t="shared" si="7"/>
        <v>产业集聚程度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706"/>
      <c r="Q16" s="1481"/>
      <c r="R16" s="1482"/>
      <c r="S16" s="1483"/>
      <c r="T16" s="1482"/>
      <c r="U16" s="1483"/>
      <c r="V16" s="1482"/>
      <c r="W16" s="1483"/>
      <c r="X16" s="1476"/>
      <c r="Y16" s="3706"/>
      <c r="Z16" s="1484"/>
      <c r="AA16" s="1485">
        <v>1</v>
      </c>
      <c r="AB16" s="1485">
        <v>1</v>
      </c>
      <c r="AC16" s="1485">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706"/>
      <c r="Q17" s="1481" t="str">
        <f>B17</f>
        <v>交通便捷度</v>
      </c>
      <c r="R17" s="1482" t="s">
        <v>8</v>
      </c>
      <c r="S17" s="1483">
        <f>F17</f>
        <v>100</v>
      </c>
      <c r="T17" s="1482" t="s">
        <v>8</v>
      </c>
      <c r="U17" s="1483">
        <f>H17</f>
        <v>100</v>
      </c>
      <c r="V17" s="1482" t="s">
        <v>8</v>
      </c>
      <c r="W17" s="1483">
        <f>J17</f>
        <v>100</v>
      </c>
      <c r="X17" s="1476"/>
      <c r="Y17" s="3706"/>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706"/>
      <c r="Q18" s="1481"/>
      <c r="R18" s="1482"/>
      <c r="S18" s="1483"/>
      <c r="T18" s="1482"/>
      <c r="U18" s="1483"/>
      <c r="V18" s="1482"/>
      <c r="W18" s="1483"/>
      <c r="X18" s="1476"/>
      <c r="Y18" s="3706"/>
      <c r="Z18" s="1484"/>
      <c r="AA18" s="1485">
        <v>1</v>
      </c>
      <c r="AB18" s="1485">
        <v>1</v>
      </c>
      <c r="AC18" s="1485">
        <v>1</v>
      </c>
    </row>
    <row r="19" spans="1:29" ht="42.75">
      <c r="A19" s="508"/>
      <c r="B19" s="2415"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706"/>
      <c r="Q19" s="1481" t="str">
        <f>B19</f>
        <v>公共配套设施</v>
      </c>
      <c r="R19" s="1482" t="s">
        <v>8</v>
      </c>
      <c r="S19" s="1483">
        <f>F19</f>
        <v>100</v>
      </c>
      <c r="T19" s="1482" t="s">
        <v>8</v>
      </c>
      <c r="U19" s="1483">
        <f>H19</f>
        <v>100</v>
      </c>
      <c r="V19" s="1482" t="s">
        <v>8</v>
      </c>
      <c r="W19" s="1483">
        <f>J19</f>
        <v>100</v>
      </c>
      <c r="X19" s="1476"/>
      <c r="Y19" s="3706"/>
      <c r="Z19" s="1484" t="str">
        <f>Q19</f>
        <v>公共配套设施</v>
      </c>
      <c r="AA19" s="1485">
        <f t="shared" si="3"/>
        <v>1</v>
      </c>
      <c r="AB19" s="1485">
        <f t="shared" si="4"/>
        <v>1</v>
      </c>
      <c r="AC19" s="1485">
        <f t="shared" si="5"/>
        <v>1</v>
      </c>
    </row>
    <row r="20" spans="1:29" ht="15">
      <c r="A20" s="508"/>
      <c r="B20" s="542"/>
      <c r="C20" s="552"/>
      <c r="D20" s="531"/>
      <c r="E20" s="532"/>
      <c r="F20" s="533"/>
      <c r="G20" s="534"/>
      <c r="H20" s="531"/>
      <c r="I20" s="532"/>
      <c r="J20" s="531"/>
      <c r="K20" s="870"/>
      <c r="L20" s="1995"/>
      <c r="M20" s="1987"/>
      <c r="N20" s="1987"/>
      <c r="O20" s="1994"/>
      <c r="P20" s="3706"/>
      <c r="Q20" s="1481"/>
      <c r="R20" s="1482"/>
      <c r="S20" s="1483"/>
      <c r="T20" s="1482"/>
      <c r="U20" s="1483"/>
      <c r="V20" s="1482"/>
      <c r="W20" s="1483"/>
      <c r="X20" s="1476"/>
      <c r="Y20" s="3706"/>
      <c r="Z20" s="1484"/>
      <c r="AA20" s="1485">
        <v>1</v>
      </c>
      <c r="AB20" s="1485">
        <v>1</v>
      </c>
      <c r="AC20" s="1485">
        <v>1</v>
      </c>
    </row>
    <row r="21" spans="1:29" ht="28.5">
      <c r="A21" s="508"/>
      <c r="B21" s="2403"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706"/>
      <c r="Q21" s="2397" t="str">
        <f>B21</f>
        <v>基础设施水平</v>
      </c>
      <c r="R21" s="1482" t="s">
        <v>8</v>
      </c>
      <c r="S21" s="1483">
        <f>F21</f>
        <v>100</v>
      </c>
      <c r="T21" s="1482" t="s">
        <v>8</v>
      </c>
      <c r="U21" s="1483">
        <f>H21</f>
        <v>100</v>
      </c>
      <c r="V21" s="1482" t="s">
        <v>8</v>
      </c>
      <c r="W21" s="1483">
        <f>J21</f>
        <v>100</v>
      </c>
      <c r="X21" s="2399"/>
      <c r="Y21" s="3706"/>
      <c r="Z21" s="2398" t="str">
        <f>Q21</f>
        <v>基础设施水平</v>
      </c>
      <c r="AA21" s="1485">
        <f t="shared" ref="AA21" si="8">D21/F21</f>
        <v>1</v>
      </c>
      <c r="AB21" s="1485">
        <f t="shared" ref="AB21" si="9">D21/H21</f>
        <v>1</v>
      </c>
      <c r="AC21" s="1485">
        <f t="shared" ref="AC21" si="10">D21/J21</f>
        <v>1</v>
      </c>
    </row>
    <row r="22" spans="1:29" ht="15">
      <c r="A22" s="508"/>
      <c r="B22" s="554"/>
      <c r="C22" s="844"/>
      <c r="D22" s="531"/>
      <c r="E22" s="552"/>
      <c r="F22" s="533"/>
      <c r="G22" s="552"/>
      <c r="H22" s="531"/>
      <c r="I22" s="552"/>
      <c r="J22" s="531"/>
      <c r="K22" s="2414"/>
      <c r="L22" s="1995"/>
      <c r="M22" s="1987"/>
      <c r="N22" s="1987"/>
      <c r="O22" s="1994"/>
      <c r="P22" s="3706"/>
      <c r="Q22" s="2397"/>
      <c r="R22" s="1482"/>
      <c r="S22" s="1483"/>
      <c r="T22" s="1482"/>
      <c r="U22" s="1483"/>
      <c r="V22" s="1482"/>
      <c r="W22" s="1483"/>
      <c r="X22" s="2399"/>
      <c r="Y22" s="3706"/>
      <c r="Z22" s="2398"/>
      <c r="AA22" s="1485">
        <v>1</v>
      </c>
      <c r="AB22" s="1485">
        <v>1</v>
      </c>
      <c r="AC22" s="1485">
        <v>1</v>
      </c>
    </row>
    <row r="23" spans="1:29" ht="71.25">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706"/>
      <c r="Q23" s="1481" t="str">
        <f>B23</f>
        <v>环境质量</v>
      </c>
      <c r="R23" s="1482" t="s">
        <v>8</v>
      </c>
      <c r="S23" s="1483">
        <f>F23</f>
        <v>100</v>
      </c>
      <c r="T23" s="1482" t="s">
        <v>8</v>
      </c>
      <c r="U23" s="1483">
        <f>H23</f>
        <v>100</v>
      </c>
      <c r="V23" s="1482" t="s">
        <v>8</v>
      </c>
      <c r="W23" s="1483">
        <f>J23</f>
        <v>100</v>
      </c>
      <c r="X23" s="1476"/>
      <c r="Y23" s="3706"/>
      <c r="Z23" s="1484" t="str">
        <f>Q23</f>
        <v>环境质量</v>
      </c>
      <c r="AA23" s="1485">
        <f t="shared" si="3"/>
        <v>1</v>
      </c>
      <c r="AB23" s="1485">
        <f t="shared" si="4"/>
        <v>1</v>
      </c>
      <c r="AC23" s="1485">
        <f t="shared" si="5"/>
        <v>1</v>
      </c>
    </row>
    <row r="24" spans="1:29" ht="15">
      <c r="A24" s="508"/>
      <c r="B24" s="893"/>
      <c r="C24" s="552"/>
      <c r="D24" s="531"/>
      <c r="E24" s="532"/>
      <c r="F24" s="533"/>
      <c r="G24" s="534"/>
      <c r="H24" s="531"/>
      <c r="I24" s="532"/>
      <c r="J24" s="531"/>
      <c r="K24" s="870"/>
      <c r="L24" s="1995"/>
      <c r="M24" s="1987"/>
      <c r="N24" s="1987"/>
      <c r="O24" s="1994"/>
      <c r="P24" s="3706"/>
      <c r="Q24" s="1481"/>
      <c r="R24" s="1482"/>
      <c r="S24" s="1483"/>
      <c r="T24" s="1482"/>
      <c r="U24" s="1483"/>
      <c r="V24" s="1482"/>
      <c r="W24" s="1483"/>
      <c r="X24" s="1476"/>
      <c r="Y24" s="3706"/>
      <c r="Z24" s="1484"/>
      <c r="AA24" s="1485">
        <v>1</v>
      </c>
      <c r="AB24" s="1485">
        <v>1</v>
      </c>
      <c r="AC24" s="148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706"/>
      <c r="Q25" s="1481">
        <f>B25</f>
        <v>111</v>
      </c>
      <c r="R25" s="1482" t="s">
        <v>8</v>
      </c>
      <c r="S25" s="1483">
        <f>F25</f>
        <v>100</v>
      </c>
      <c r="T25" s="1482" t="s">
        <v>8</v>
      </c>
      <c r="U25" s="1483">
        <f>H25</f>
        <v>100</v>
      </c>
      <c r="V25" s="1482" t="s">
        <v>8</v>
      </c>
      <c r="W25" s="1483">
        <f>J25</f>
        <v>100</v>
      </c>
      <c r="X25" s="1476"/>
      <c r="Y25" s="3706"/>
      <c r="Z25" s="1484">
        <f>Q25</f>
        <v>111</v>
      </c>
      <c r="AA25" s="1485">
        <f t="shared" si="3"/>
        <v>1</v>
      </c>
      <c r="AB25" s="1485">
        <f t="shared" si="4"/>
        <v>1</v>
      </c>
      <c r="AC25" s="148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706"/>
      <c r="Q26" s="1481">
        <f t="shared" ref="Q26:Q40" si="11">B26</f>
        <v>111</v>
      </c>
      <c r="R26" s="1482" t="s">
        <v>8</v>
      </c>
      <c r="S26" s="1483">
        <f>F26</f>
        <v>100</v>
      </c>
      <c r="T26" s="1482" t="s">
        <v>8</v>
      </c>
      <c r="U26" s="1483">
        <f>H26</f>
        <v>100</v>
      </c>
      <c r="V26" s="1482" t="s">
        <v>8</v>
      </c>
      <c r="W26" s="1483">
        <f>J26</f>
        <v>100</v>
      </c>
      <c r="X26" s="1476"/>
      <c r="Y26" s="3706"/>
      <c r="Z26" s="1484">
        <f>Q26</f>
        <v>111</v>
      </c>
      <c r="AA26" s="1485">
        <f t="shared" si="3"/>
        <v>1</v>
      </c>
      <c r="AB26" s="1485">
        <f t="shared" si="4"/>
        <v>1</v>
      </c>
      <c r="AC26" s="1485">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706"/>
      <c r="Q27" s="1116">
        <f t="shared" si="11"/>
        <v>111</v>
      </c>
      <c r="R27" s="1477" t="s">
        <v>8</v>
      </c>
      <c r="S27" s="1478">
        <f>F27</f>
        <v>100</v>
      </c>
      <c r="T27" s="1477" t="s">
        <v>8</v>
      </c>
      <c r="U27" s="1478">
        <f>H27</f>
        <v>100</v>
      </c>
      <c r="V27" s="1477" t="s">
        <v>8</v>
      </c>
      <c r="W27" s="1478">
        <f>J27</f>
        <v>100</v>
      </c>
      <c r="X27" s="1479"/>
      <c r="Y27" s="3706"/>
      <c r="Z27" s="1115">
        <f>Q27</f>
        <v>111</v>
      </c>
      <c r="AA27" s="1485">
        <f>D27/F27</f>
        <v>1</v>
      </c>
      <c r="AB27" s="1485">
        <f>D27/H27</f>
        <v>1</v>
      </c>
      <c r="AC27" s="148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706"/>
      <c r="Q28" s="1481">
        <f t="shared" si="11"/>
        <v>111</v>
      </c>
      <c r="R28" s="1482" t="s">
        <v>8</v>
      </c>
      <c r="S28" s="1483">
        <f t="shared" ref="S28:S40" si="12">F28</f>
        <v>100</v>
      </c>
      <c r="T28" s="1482" t="s">
        <v>8</v>
      </c>
      <c r="U28" s="1483">
        <f t="shared" ref="U28:U40" si="13">H28</f>
        <v>100</v>
      </c>
      <c r="V28" s="1482" t="s">
        <v>8</v>
      </c>
      <c r="W28" s="1483">
        <f t="shared" ref="W28:W40" si="14">J28</f>
        <v>100</v>
      </c>
      <c r="X28" s="1476"/>
      <c r="Y28" s="3706"/>
      <c r="Z28" s="1484">
        <f t="shared" ref="Z28:Z40" si="15">Q28</f>
        <v>111</v>
      </c>
      <c r="AA28" s="1485">
        <f t="shared" si="3"/>
        <v>1</v>
      </c>
      <c r="AB28" s="1485">
        <f t="shared" si="4"/>
        <v>1</v>
      </c>
      <c r="AC28" s="1485">
        <f t="shared" si="5"/>
        <v>1</v>
      </c>
    </row>
    <row r="29" spans="1:29" ht="15">
      <c r="A29" s="2592"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707" t="s">
        <v>528</v>
      </c>
      <c r="Q29" s="1481" t="str">
        <f t="shared" si="11"/>
        <v>建筑类型</v>
      </c>
      <c r="R29" s="1482" t="s">
        <v>8</v>
      </c>
      <c r="S29" s="1483">
        <f t="shared" si="12"/>
        <v>100</v>
      </c>
      <c r="T29" s="1482" t="s">
        <v>8</v>
      </c>
      <c r="U29" s="1483">
        <f t="shared" si="13"/>
        <v>100</v>
      </c>
      <c r="V29" s="1482" t="s">
        <v>8</v>
      </c>
      <c r="W29" s="1483">
        <f t="shared" si="14"/>
        <v>100</v>
      </c>
      <c r="X29" s="1476"/>
      <c r="Y29" s="3708" t="s">
        <v>528</v>
      </c>
      <c r="Z29" s="1484" t="str">
        <f t="shared" si="15"/>
        <v>建筑类型</v>
      </c>
      <c r="AA29" s="1485">
        <f t="shared" si="3"/>
        <v>1</v>
      </c>
      <c r="AB29" s="1485">
        <f t="shared" si="4"/>
        <v>1</v>
      </c>
      <c r="AC29" s="1485">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708"/>
      <c r="Q30" s="1510" t="str">
        <f t="shared" si="11"/>
        <v>项目建筑规模</v>
      </c>
      <c r="R30" s="1486" t="s">
        <v>8</v>
      </c>
      <c r="S30" s="1487" t="e">
        <f t="shared" si="12"/>
        <v>#N/A</v>
      </c>
      <c r="T30" s="1486" t="s">
        <v>8</v>
      </c>
      <c r="U30" s="1487" t="e">
        <f t="shared" si="13"/>
        <v>#N/A</v>
      </c>
      <c r="V30" s="1486" t="s">
        <v>8</v>
      </c>
      <c r="W30" s="1487" t="e">
        <f t="shared" si="14"/>
        <v>#N/A</v>
      </c>
      <c r="X30" s="1488"/>
      <c r="Y30" s="3708"/>
      <c r="Z30" s="1489" t="str">
        <f t="shared" si="15"/>
        <v>项目建筑规模</v>
      </c>
      <c r="AA30" s="1485" t="e">
        <f t="shared" si="3"/>
        <v>#N/A</v>
      </c>
      <c r="AB30" s="1485" t="e">
        <f t="shared" si="4"/>
        <v>#N/A</v>
      </c>
      <c r="AC30" s="1485"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708"/>
      <c r="Q31" s="1481" t="str">
        <f t="shared" si="11"/>
        <v>建筑结构</v>
      </c>
      <c r="R31" s="1482" t="s">
        <v>8</v>
      </c>
      <c r="S31" s="1483">
        <f t="shared" si="12"/>
        <v>100</v>
      </c>
      <c r="T31" s="1482" t="s">
        <v>8</v>
      </c>
      <c r="U31" s="1483">
        <f t="shared" si="13"/>
        <v>100</v>
      </c>
      <c r="V31" s="1482" t="s">
        <v>8</v>
      </c>
      <c r="W31" s="1483">
        <f t="shared" si="14"/>
        <v>100</v>
      </c>
      <c r="X31" s="1476"/>
      <c r="Y31" s="3708"/>
      <c r="Z31" s="1484" t="str">
        <f t="shared" si="15"/>
        <v>建筑结构</v>
      </c>
      <c r="AA31" s="1485">
        <f t="shared" si="3"/>
        <v>1</v>
      </c>
      <c r="AB31" s="1485">
        <f t="shared" si="4"/>
        <v>1</v>
      </c>
      <c r="AC31" s="1485">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708"/>
      <c r="Q32" s="1481" t="str">
        <f t="shared" si="11"/>
        <v>公共部分装修</v>
      </c>
      <c r="R32" s="1482" t="s">
        <v>8</v>
      </c>
      <c r="S32" s="1483">
        <f t="shared" si="12"/>
        <v>100</v>
      </c>
      <c r="T32" s="1482" t="s">
        <v>8</v>
      </c>
      <c r="U32" s="1483">
        <f t="shared" si="13"/>
        <v>100</v>
      </c>
      <c r="V32" s="1482" t="s">
        <v>8</v>
      </c>
      <c r="W32" s="1483">
        <f t="shared" si="14"/>
        <v>100</v>
      </c>
      <c r="X32" s="1476"/>
      <c r="Y32" s="3708"/>
      <c r="Z32" s="1484" t="str">
        <f t="shared" si="15"/>
        <v>公共部分装修</v>
      </c>
      <c r="AA32" s="1485">
        <f t="shared" si="3"/>
        <v>1</v>
      </c>
      <c r="AB32" s="1485">
        <f t="shared" si="4"/>
        <v>1</v>
      </c>
      <c r="AC32" s="1485">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708"/>
      <c r="Q33" s="1481" t="str">
        <f t="shared" si="11"/>
        <v>成新度</v>
      </c>
      <c r="R33" s="1482" t="s">
        <v>8</v>
      </c>
      <c r="S33" s="1483" t="e">
        <f t="shared" si="12"/>
        <v>#N/A</v>
      </c>
      <c r="T33" s="1482" t="s">
        <v>8</v>
      </c>
      <c r="U33" s="1483" t="e">
        <f t="shared" si="13"/>
        <v>#N/A</v>
      </c>
      <c r="V33" s="1482" t="s">
        <v>8</v>
      </c>
      <c r="W33" s="1483" t="e">
        <f t="shared" si="14"/>
        <v>#N/A</v>
      </c>
      <c r="X33" s="1476"/>
      <c r="Y33" s="3708"/>
      <c r="Z33" s="1484" t="str">
        <f t="shared" si="15"/>
        <v>成新度</v>
      </c>
      <c r="AA33" s="1485" t="e">
        <f t="shared" si="3"/>
        <v>#N/A</v>
      </c>
      <c r="AB33" s="1485" t="e">
        <f t="shared" si="4"/>
        <v>#N/A</v>
      </c>
      <c r="AC33" s="1485"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708"/>
      <c r="Q34" s="1116" t="str">
        <f t="shared" si="11"/>
        <v>物业管理</v>
      </c>
      <c r="R34" s="1477" t="s">
        <v>8</v>
      </c>
      <c r="S34" s="1478">
        <f t="shared" si="12"/>
        <v>100</v>
      </c>
      <c r="T34" s="1477" t="s">
        <v>8</v>
      </c>
      <c r="U34" s="1478">
        <f t="shared" si="13"/>
        <v>100</v>
      </c>
      <c r="V34" s="1477" t="s">
        <v>8</v>
      </c>
      <c r="W34" s="1478">
        <f t="shared" si="14"/>
        <v>100</v>
      </c>
      <c r="X34" s="1479"/>
      <c r="Y34" s="3708"/>
      <c r="Z34" s="1115" t="str">
        <f t="shared" si="15"/>
        <v>物业管理</v>
      </c>
      <c r="AA34" s="1480">
        <f t="shared" si="3"/>
        <v>1</v>
      </c>
      <c r="AB34" s="1480">
        <f t="shared" si="4"/>
        <v>1</v>
      </c>
      <c r="AC34" s="1480">
        <f t="shared" si="5"/>
        <v>1</v>
      </c>
    </row>
    <row r="35" spans="1:29" ht="15">
      <c r="A35" s="570"/>
      <c r="B35" s="1782"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708" t="s">
        <v>528</v>
      </c>
      <c r="Q35" s="1481" t="str">
        <f t="shared" si="11"/>
        <v>市政基础设施</v>
      </c>
      <c r="R35" s="1482" t="s">
        <v>8</v>
      </c>
      <c r="S35" s="1483">
        <f t="shared" si="12"/>
        <v>100</v>
      </c>
      <c r="T35" s="1482" t="s">
        <v>8</v>
      </c>
      <c r="U35" s="1483">
        <f t="shared" si="13"/>
        <v>100</v>
      </c>
      <c r="V35" s="1482" t="s">
        <v>8</v>
      </c>
      <c r="W35" s="1483">
        <f t="shared" si="14"/>
        <v>100</v>
      </c>
      <c r="X35" s="1476"/>
      <c r="Y35" s="3708" t="s">
        <v>528</v>
      </c>
      <c r="Z35" s="1484" t="str">
        <f t="shared" si="15"/>
        <v>市政基础设施</v>
      </c>
      <c r="AA35" s="1485">
        <f t="shared" si="3"/>
        <v>1</v>
      </c>
      <c r="AB35" s="1485">
        <f t="shared" si="4"/>
        <v>1</v>
      </c>
      <c r="AC35" s="1485">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708"/>
      <c r="Q36" s="1481" t="str">
        <f t="shared" si="11"/>
        <v>内部装修</v>
      </c>
      <c r="R36" s="1482" t="s">
        <v>8</v>
      </c>
      <c r="S36" s="1483">
        <f t="shared" si="12"/>
        <v>100</v>
      </c>
      <c r="T36" s="1482" t="s">
        <v>8</v>
      </c>
      <c r="U36" s="1483">
        <f t="shared" si="13"/>
        <v>100</v>
      </c>
      <c r="V36" s="1482" t="s">
        <v>8</v>
      </c>
      <c r="W36" s="1483">
        <f t="shared" si="14"/>
        <v>100</v>
      </c>
      <c r="X36" s="1476"/>
      <c r="Y36" s="3708"/>
      <c r="Z36" s="1484" t="str">
        <f t="shared" si="15"/>
        <v>内部装修</v>
      </c>
      <c r="AA36" s="1485">
        <f t="shared" si="3"/>
        <v>1</v>
      </c>
      <c r="AB36" s="1485">
        <f t="shared" si="4"/>
        <v>1</v>
      </c>
      <c r="AC36" s="1485">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708"/>
      <c r="Q37" s="1481" t="str">
        <f t="shared" si="11"/>
        <v>内部装修状况</v>
      </c>
      <c r="R37" s="1482" t="s">
        <v>8</v>
      </c>
      <c r="S37" s="1483">
        <f t="shared" si="12"/>
        <v>100</v>
      </c>
      <c r="T37" s="1482" t="s">
        <v>8</v>
      </c>
      <c r="U37" s="1483">
        <f t="shared" si="13"/>
        <v>100</v>
      </c>
      <c r="V37" s="1482" t="s">
        <v>8</v>
      </c>
      <c r="W37" s="1483">
        <f t="shared" si="14"/>
        <v>100</v>
      </c>
      <c r="X37" s="1476"/>
      <c r="Y37" s="3708"/>
      <c r="Z37" s="1484" t="str">
        <f t="shared" si="15"/>
        <v>内部装修状况</v>
      </c>
      <c r="AA37" s="1485">
        <f t="shared" si="3"/>
        <v>1</v>
      </c>
      <c r="AB37" s="1485">
        <f t="shared" si="4"/>
        <v>1</v>
      </c>
      <c r="AC37" s="1485">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708"/>
      <c r="Q38" s="1510">
        <f t="shared" si="11"/>
        <v>111</v>
      </c>
      <c r="R38" s="1486" t="s">
        <v>8</v>
      </c>
      <c r="S38" s="1487">
        <f t="shared" si="12"/>
        <v>100</v>
      </c>
      <c r="T38" s="1486" t="s">
        <v>8</v>
      </c>
      <c r="U38" s="1487">
        <f t="shared" si="13"/>
        <v>100</v>
      </c>
      <c r="V38" s="1486" t="s">
        <v>8</v>
      </c>
      <c r="W38" s="1487">
        <f t="shared" si="14"/>
        <v>100</v>
      </c>
      <c r="X38" s="1488"/>
      <c r="Y38" s="3708"/>
      <c r="Z38" s="1489">
        <f t="shared" si="15"/>
        <v>111</v>
      </c>
      <c r="AA38" s="1485">
        <f t="shared" si="3"/>
        <v>1</v>
      </c>
      <c r="AB38" s="1485">
        <f t="shared" si="4"/>
        <v>1</v>
      </c>
      <c r="AC38" s="148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708"/>
      <c r="Q39" s="1481">
        <f t="shared" si="11"/>
        <v>111</v>
      </c>
      <c r="R39" s="1482" t="s">
        <v>8</v>
      </c>
      <c r="S39" s="1483">
        <f t="shared" si="12"/>
        <v>100</v>
      </c>
      <c r="T39" s="1482" t="s">
        <v>8</v>
      </c>
      <c r="U39" s="1483">
        <f t="shared" si="13"/>
        <v>100</v>
      </c>
      <c r="V39" s="1482" t="s">
        <v>8</v>
      </c>
      <c r="W39" s="1483">
        <f t="shared" si="14"/>
        <v>100</v>
      </c>
      <c r="X39" s="1476"/>
      <c r="Y39" s="3708"/>
      <c r="Z39" s="1484">
        <f t="shared" si="15"/>
        <v>111</v>
      </c>
      <c r="AA39" s="1485">
        <f t="shared" si="3"/>
        <v>1</v>
      </c>
      <c r="AB39" s="1485">
        <f t="shared" si="4"/>
        <v>1</v>
      </c>
      <c r="AC39" s="148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846"/>
      <c r="Q40" s="1481">
        <f t="shared" si="11"/>
        <v>111</v>
      </c>
      <c r="R40" s="1482" t="s">
        <v>8</v>
      </c>
      <c r="S40" s="1483">
        <f t="shared" si="12"/>
        <v>100</v>
      </c>
      <c r="T40" s="1482" t="s">
        <v>8</v>
      </c>
      <c r="U40" s="1483">
        <f t="shared" si="13"/>
        <v>100</v>
      </c>
      <c r="V40" s="1482" t="s">
        <v>8</v>
      </c>
      <c r="W40" s="1483">
        <f t="shared" si="14"/>
        <v>100</v>
      </c>
      <c r="X40" s="1476"/>
      <c r="Y40" s="3846"/>
      <c r="Z40" s="1484">
        <f t="shared" si="15"/>
        <v>111</v>
      </c>
      <c r="AA40" s="1485">
        <f t="shared" si="3"/>
        <v>1</v>
      </c>
      <c r="AB40" s="1485">
        <f t="shared" si="4"/>
        <v>1</v>
      </c>
      <c r="AC40" s="1485">
        <f t="shared" si="5"/>
        <v>1</v>
      </c>
    </row>
    <row r="41" spans="1:29" ht="15">
      <c r="A41" s="583" t="s">
        <v>714</v>
      </c>
      <c r="B41" s="858"/>
      <c r="C41" s="2438" t="s">
        <v>1</v>
      </c>
      <c r="D41" s="2439"/>
      <c r="E41" s="2440"/>
      <c r="F41" s="2441"/>
      <c r="G41" s="2442"/>
      <c r="H41" s="2443"/>
      <c r="I41" s="2440"/>
      <c r="J41" s="2443"/>
      <c r="K41" s="1515"/>
      <c r="L41" s="1997"/>
      <c r="M41" s="1998"/>
      <c r="N41" s="1987"/>
      <c r="O41" s="1998"/>
      <c r="P41" s="3703" t="str">
        <f>A41</f>
        <v>成交单价（元/平方米）</v>
      </c>
      <c r="Q41" s="3703"/>
      <c r="R41" s="3845">
        <f>E41</f>
        <v>0</v>
      </c>
      <c r="S41" s="3845"/>
      <c r="T41" s="3845">
        <f>G41</f>
        <v>0</v>
      </c>
      <c r="U41" s="3845"/>
      <c r="V41" s="3845">
        <f>I41</f>
        <v>0</v>
      </c>
      <c r="W41" s="3845"/>
      <c r="X41" s="1471"/>
      <c r="Y41" s="1490"/>
      <c r="Z41" s="1471"/>
      <c r="AA41" s="1471"/>
      <c r="AB41" s="1471"/>
      <c r="AC41" s="1471"/>
    </row>
    <row r="42" spans="1:29" ht="15.75" thickBot="1">
      <c r="A42" s="591" t="s">
        <v>2713</v>
      </c>
      <c r="B42" s="859"/>
      <c r="C42" s="2444" t="e">
        <f>R43</f>
        <v>#DIV/0!</v>
      </c>
      <c r="D42" s="2980" t="s">
        <v>2937</v>
      </c>
      <c r="E42" s="2445" t="e">
        <f>R42</f>
        <v>#DIV/0!</v>
      </c>
      <c r="F42" s="2981"/>
      <c r="G42" s="2444" t="e">
        <f>T42</f>
        <v>#DIV/0!</v>
      </c>
      <c r="H42" s="2981"/>
      <c r="I42" s="2445" t="e">
        <f>V42</f>
        <v>#DIV/0!</v>
      </c>
      <c r="J42" s="2981"/>
      <c r="K42" s="2989">
        <f>F42+H42+J42</f>
        <v>0</v>
      </c>
      <c r="L42" s="1997"/>
      <c r="M42" s="1998"/>
      <c r="N42" s="1987"/>
      <c r="O42" s="1998"/>
      <c r="P42" s="3703" t="str">
        <f>A42</f>
        <v>比较价格（元/平方米）</v>
      </c>
      <c r="Q42" s="3703"/>
      <c r="R42" s="3845" t="e">
        <f>IF(F1="售价",ROUND(PRODUCT(R41,AA7:AA40),0),ROUND(PRODUCT(R41,AA7:AA40),1))</f>
        <v>#DIV/0!</v>
      </c>
      <c r="S42" s="3845"/>
      <c r="T42" s="3845" t="e">
        <f>IF(F1="售价",ROUND(PRODUCT(T41,AB7:AB40),0),ROUND(PRODUCT(T41,AB7:AB40),1))</f>
        <v>#DIV/0!</v>
      </c>
      <c r="U42" s="3845"/>
      <c r="V42" s="3845" t="e">
        <f>IF(F1="售价",ROUND(PRODUCT(V41,AC7:AC40),0),ROUND(PRODUCT(V41,AC7:AC40),1))</f>
        <v>#DIV/0!</v>
      </c>
      <c r="W42" s="3845"/>
      <c r="X42" s="1471"/>
      <c r="Y42" s="1471"/>
      <c r="Z42" s="1471"/>
      <c r="AA42" s="1471"/>
      <c r="AB42" s="1471"/>
      <c r="AC42" s="1471"/>
    </row>
    <row r="43" spans="1:29" ht="15.75" thickBot="1">
      <c r="A43" s="595" t="s">
        <v>2873</v>
      </c>
      <c r="B43" s="596"/>
      <c r="C43" s="2446" t="e">
        <f>R43</f>
        <v>#DIV/0!</v>
      </c>
      <c r="D43" s="2446"/>
      <c r="E43" s="2446"/>
      <c r="F43" s="2446"/>
      <c r="G43" s="2446"/>
      <c r="H43" s="2446"/>
      <c r="I43" s="2446"/>
      <c r="J43" s="2446"/>
      <c r="K43" s="1516"/>
      <c r="L43" s="1997"/>
      <c r="M43" s="1998"/>
      <c r="N43" s="1998"/>
      <c r="O43" s="1998"/>
      <c r="P43" s="3724" t="str">
        <f>A43</f>
        <v>估价对象XX用房的比较价格（楼面单价，元/平方米）</v>
      </c>
      <c r="Q43" s="3725"/>
      <c r="R43" s="3844" t="e">
        <f>IF(F1="售价",ROUND(IF(D42="简单平均",AVERAGE(R42:V42),R42*F42+T42*H42+V42*J42),0),ROUND(IF(D42="简单平均",AVERAGE(R42:V42),R42*F42+T42*H42+V42*J42),1))</f>
        <v>#DIV/0!</v>
      </c>
      <c r="S43" s="3844"/>
      <c r="T43" s="3844"/>
      <c r="U43" s="3844"/>
      <c r="V43" s="3844"/>
      <c r="W43" s="3844"/>
      <c r="X43" s="1471"/>
      <c r="Y43" s="1471"/>
      <c r="Z43" s="1471"/>
      <c r="AA43" s="1471"/>
      <c r="AB43" s="1471"/>
      <c r="AC43" s="1471"/>
    </row>
    <row r="44" spans="1:29">
      <c r="A44" s="3179"/>
      <c r="B44" s="3179"/>
      <c r="C44" s="3179"/>
      <c r="D44" s="3179"/>
      <c r="E44" s="3179"/>
      <c r="F44" s="3179"/>
      <c r="G44" s="3181"/>
      <c r="H44" s="3179"/>
      <c r="I44" s="3179"/>
      <c r="J44" s="3179"/>
      <c r="K44" s="3182"/>
      <c r="L44" s="2002"/>
      <c r="M44" s="1998"/>
      <c r="N44" s="1998"/>
      <c r="O44" s="1998"/>
      <c r="P44" s="1998"/>
      <c r="Q44" s="1998"/>
      <c r="R44" s="1998"/>
      <c r="S44" s="1998"/>
      <c r="T44" s="1998"/>
      <c r="U44" s="1998"/>
      <c r="V44" s="1998"/>
      <c r="W44" s="1998"/>
      <c r="X44" s="1998"/>
      <c r="Y44" s="1998"/>
      <c r="Z44" s="1998"/>
      <c r="AA44" s="1998"/>
      <c r="AB44" s="1998"/>
      <c r="AC44" s="1998"/>
    </row>
    <row r="45" spans="1:29">
      <c r="A45" s="3179"/>
      <c r="B45" s="3179"/>
      <c r="C45" s="3179"/>
      <c r="D45" s="3179"/>
      <c r="E45" s="3179"/>
      <c r="F45" s="3179"/>
      <c r="G45" s="3179"/>
      <c r="H45" s="3179"/>
      <c r="I45" s="3179"/>
      <c r="J45" s="3179"/>
      <c r="K45" s="3182"/>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9"/>
      <c r="B46" s="317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82"/>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9"/>
      <c r="B47" s="317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82"/>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80"/>
      <c r="B48" s="318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3"/>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ht="15">
      <c r="A52" s="619" t="s">
        <v>507</v>
      </c>
      <c r="B52" s="620"/>
      <c r="C52" s="2487" t="str">
        <f>YEAR(C7)&amp;"-"&amp;MONTH(C7)</f>
        <v>2022-3</v>
      </c>
      <c r="D52" s="2489">
        <f>EDATE(C52,-1)</f>
        <v>44593</v>
      </c>
      <c r="E52" s="2489">
        <f t="shared" ref="E52:O52" si="16">EDATE(D52,-1)</f>
        <v>44562</v>
      </c>
      <c r="F52" s="2489">
        <f t="shared" si="16"/>
        <v>44531</v>
      </c>
      <c r="G52" s="2489">
        <f t="shared" si="16"/>
        <v>44501</v>
      </c>
      <c r="H52" s="2489">
        <f t="shared" si="16"/>
        <v>44470</v>
      </c>
      <c r="I52" s="2489">
        <f t="shared" si="16"/>
        <v>44440</v>
      </c>
      <c r="J52" s="2489">
        <f t="shared" si="16"/>
        <v>44409</v>
      </c>
      <c r="K52" s="2489">
        <f t="shared" si="16"/>
        <v>44378</v>
      </c>
      <c r="L52" s="2489">
        <f t="shared" si="16"/>
        <v>44348</v>
      </c>
      <c r="M52" s="2489">
        <f t="shared" si="16"/>
        <v>44317</v>
      </c>
      <c r="N52" s="2489">
        <f t="shared" si="16"/>
        <v>44287</v>
      </c>
      <c r="O52" s="2489">
        <f t="shared" si="16"/>
        <v>44256</v>
      </c>
      <c r="P52" s="2012"/>
      <c r="Q52" s="2013"/>
      <c r="R52" s="2013"/>
      <c r="S52" s="2013"/>
      <c r="T52" s="2013"/>
      <c r="U52" s="2013"/>
      <c r="V52" s="2013"/>
      <c r="W52" s="2013"/>
      <c r="X52" s="2013"/>
      <c r="Y52" s="2013"/>
      <c r="Z52" s="2013"/>
      <c r="AA52" s="2013"/>
      <c r="AB52" s="2013"/>
      <c r="AC52" s="2013"/>
    </row>
    <row r="53" spans="1:29" s="1185" customFormat="1" ht="15">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5.7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ht="15">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5.7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5.7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5.75" thickTop="1">
      <c r="A74" s="643"/>
      <c r="B74" s="1783" t="s">
        <v>2511</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5.75" thickTop="1">
      <c r="A76" s="643"/>
      <c r="B76" s="2409" t="s">
        <v>2512</v>
      </c>
      <c r="C76" s="2410" t="s">
        <v>2513</v>
      </c>
      <c r="D76" s="2410" t="s">
        <v>2514</v>
      </c>
      <c r="E76" s="2410" t="s">
        <v>2515</v>
      </c>
      <c r="F76" s="2410" t="s">
        <v>2516</v>
      </c>
      <c r="G76" s="2410" t="s">
        <v>2517</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5.7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5.7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5.7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5.7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5.7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5.7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09"/>
      <c r="B102" s="1783" t="s">
        <v>2510</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IF(B37="元/平方米",C39,ROUND(B2*10000/D3,0))</f>
        <v>#DIV/0!</v>
      </c>
      <c r="C3" s="823" t="s">
        <v>774</v>
      </c>
      <c r="D3" s="822">
        <f>SUMIF('数据-汇总表'!$C19:$C33,D1,'数据-汇总表'!$E19:$E33)</f>
        <v>0</v>
      </c>
      <c r="E3" s="1735" t="s">
        <v>2043</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775</v>
      </c>
      <c r="B4" s="489"/>
      <c r="C4" s="3709" t="s">
        <v>776</v>
      </c>
      <c r="D4" s="3710"/>
      <c r="E4" s="3709" t="s">
        <v>777</v>
      </c>
      <c r="F4" s="3710"/>
      <c r="G4" s="3709" t="s">
        <v>778</v>
      </c>
      <c r="H4" s="3710"/>
      <c r="I4" s="3709" t="s">
        <v>779</v>
      </c>
      <c r="J4" s="3710"/>
      <c r="K4" s="490" t="s">
        <v>780</v>
      </c>
      <c r="L4" s="1986"/>
      <c r="M4" s="1987"/>
      <c r="N4" s="1987"/>
      <c r="O4" s="1987"/>
      <c r="P4" s="3711" t="s">
        <v>781</v>
      </c>
      <c r="Q4" s="3712"/>
      <c r="R4" s="3697" t="s">
        <v>777</v>
      </c>
      <c r="S4" s="3698"/>
      <c r="T4" s="3697" t="s">
        <v>778</v>
      </c>
      <c r="U4" s="3698"/>
      <c r="V4" s="3717" t="s">
        <v>779</v>
      </c>
      <c r="W4" s="3717"/>
      <c r="X4" s="1476"/>
      <c r="Y4" s="3697" t="s">
        <v>781</v>
      </c>
      <c r="Z4" s="3698"/>
      <c r="AA4" s="3692" t="s">
        <v>777</v>
      </c>
      <c r="AB4" s="3693" t="s">
        <v>778</v>
      </c>
      <c r="AC4" s="3692" t="s">
        <v>779</v>
      </c>
    </row>
    <row r="5" spans="1:29" ht="15">
      <c r="A5" s="491"/>
      <c r="B5" s="492"/>
      <c r="C5" s="3720" t="s">
        <v>2867</v>
      </c>
      <c r="D5" s="3721"/>
      <c r="E5" s="3720" t="s">
        <v>2868</v>
      </c>
      <c r="F5" s="3721"/>
      <c r="G5" s="3720" t="s">
        <v>2869</v>
      </c>
      <c r="H5" s="3721"/>
      <c r="I5" s="3720" t="s">
        <v>2870</v>
      </c>
      <c r="J5" s="3721"/>
      <c r="K5" s="490"/>
      <c r="L5" s="1986"/>
      <c r="M5" s="1987"/>
      <c r="N5" s="1987"/>
      <c r="O5" s="1987"/>
      <c r="P5" s="3713"/>
      <c r="Q5" s="3714"/>
      <c r="R5" s="3699"/>
      <c r="S5" s="3700"/>
      <c r="T5" s="3699"/>
      <c r="U5" s="3700"/>
      <c r="V5" s="3717"/>
      <c r="W5" s="3717"/>
      <c r="X5" s="1476"/>
      <c r="Y5" s="3699"/>
      <c r="Z5" s="3700"/>
      <c r="AA5" s="3693"/>
      <c r="AB5" s="3693"/>
      <c r="AC5" s="3693"/>
    </row>
    <row r="6" spans="1:29" ht="15.75" thickBot="1">
      <c r="A6" s="493"/>
      <c r="B6" s="494"/>
      <c r="C6" s="3718" t="s">
        <v>2871</v>
      </c>
      <c r="D6" s="3719"/>
      <c r="E6" s="3722" t="s">
        <v>2871</v>
      </c>
      <c r="F6" s="3723"/>
      <c r="G6" s="3718" t="s">
        <v>2871</v>
      </c>
      <c r="H6" s="3719"/>
      <c r="I6" s="3718" t="s">
        <v>2871</v>
      </c>
      <c r="J6" s="3719"/>
      <c r="K6" s="490" t="s">
        <v>506</v>
      </c>
      <c r="L6" s="1986"/>
      <c r="M6" s="1987"/>
      <c r="N6" s="1987"/>
      <c r="O6" s="1987"/>
      <c r="P6" s="3715"/>
      <c r="Q6" s="3716"/>
      <c r="R6" s="3699"/>
      <c r="S6" s="3700"/>
      <c r="T6" s="3701"/>
      <c r="U6" s="3702"/>
      <c r="V6" s="3717"/>
      <c r="W6" s="3717"/>
      <c r="X6" s="1476"/>
      <c r="Y6" s="3701"/>
      <c r="Z6" s="3702"/>
      <c r="AA6" s="3694"/>
      <c r="AB6" s="3694"/>
      <c r="AC6" s="3694"/>
    </row>
    <row r="7" spans="1:29" s="1185" customFormat="1" ht="15.75" thickBot="1">
      <c r="A7" s="2597"/>
      <c r="B7" s="2604" t="s">
        <v>507</v>
      </c>
      <c r="C7" s="495">
        <f>'数据-取费表'!B2</f>
        <v>44623</v>
      </c>
      <c r="D7" s="496">
        <v>100</v>
      </c>
      <c r="E7" s="497"/>
      <c r="F7" s="498">
        <f>SUMIF(48:48,YEAR(E7)&amp;"-"&amp;MONTH(E7),49:49)</f>
        <v>0</v>
      </c>
      <c r="G7" s="499"/>
      <c r="H7" s="496">
        <f>SUMIF(48:48,YEAR(G7)&amp;"-"&amp;MONTH(G7),49:49)</f>
        <v>0</v>
      </c>
      <c r="I7" s="499"/>
      <c r="J7" s="496">
        <f>SUMIF(48:48,YEAR(I7)&amp;"-"&amp;MONTH(I7),49:49)</f>
        <v>0</v>
      </c>
      <c r="K7" s="500"/>
      <c r="L7" s="1988"/>
      <c r="M7" s="1989"/>
      <c r="N7" s="1989"/>
      <c r="O7" s="1989"/>
      <c r="P7" s="3695" t="s">
        <v>508</v>
      </c>
      <c r="Q7" s="3704"/>
      <c r="R7" s="1477" t="s">
        <v>8</v>
      </c>
      <c r="S7" s="1478">
        <f t="shared" ref="S7:S14" si="0">F7</f>
        <v>0</v>
      </c>
      <c r="T7" s="1477" t="s">
        <v>8</v>
      </c>
      <c r="U7" s="1478">
        <f t="shared" ref="U7:U14" si="1">H7</f>
        <v>0</v>
      </c>
      <c r="V7" s="1477" t="s">
        <v>8</v>
      </c>
      <c r="W7" s="1478">
        <f t="shared" ref="W7:W14" si="2">J7</f>
        <v>0</v>
      </c>
      <c r="X7" s="1479"/>
      <c r="Y7" s="3695" t="s">
        <v>508</v>
      </c>
      <c r="Z7" s="3696"/>
      <c r="AA7" s="1480" t="e">
        <f>D7/F7</f>
        <v>#DIV/0!</v>
      </c>
      <c r="AB7" s="1480" t="e">
        <f>D7/H7</f>
        <v>#DIV/0!</v>
      </c>
      <c r="AC7" s="1480" t="e">
        <f>D7/J7</f>
        <v>#DIV/0!</v>
      </c>
    </row>
    <row r="8" spans="1:29" s="1185" customFormat="1" ht="15.7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695" t="s">
        <v>511</v>
      </c>
      <c r="Q8" s="3696"/>
      <c r="R8" s="1477" t="s">
        <v>8</v>
      </c>
      <c r="S8" s="1478">
        <f t="shared" si="0"/>
        <v>0</v>
      </c>
      <c r="T8" s="1477" t="s">
        <v>8</v>
      </c>
      <c r="U8" s="1478">
        <f t="shared" si="1"/>
        <v>0</v>
      </c>
      <c r="V8" s="1477" t="s">
        <v>8</v>
      </c>
      <c r="W8" s="1478">
        <f t="shared" si="2"/>
        <v>0</v>
      </c>
      <c r="X8" s="1479"/>
      <c r="Y8" s="3695" t="s">
        <v>511</v>
      </c>
      <c r="Z8" s="3696"/>
      <c r="AA8" s="1480" t="e">
        <f t="shared" ref="AA8:AA36" si="3">D8/F8</f>
        <v>#DIV/0!</v>
      </c>
      <c r="AB8" s="1480" t="e">
        <f t="shared" ref="AB8:AB36" si="4">D8/H8</f>
        <v>#DIV/0!</v>
      </c>
      <c r="AC8" s="1480" t="e">
        <f t="shared" ref="AC8:AC36" si="5">D8/J8</f>
        <v>#DIV/0!</v>
      </c>
    </row>
    <row r="9" spans="1:29" s="1185" customFormat="1" ht="15">
      <c r="A9" s="2599"/>
      <c r="B9" s="2606" t="s">
        <v>2709</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703" t="s">
        <v>513</v>
      </c>
      <c r="Q9" s="1116" t="str">
        <f t="shared" ref="Q9:Q14" si="6">B9</f>
        <v>用途</v>
      </c>
      <c r="R9" s="1477" t="s">
        <v>8</v>
      </c>
      <c r="S9" s="1478">
        <f t="shared" si="0"/>
        <v>100</v>
      </c>
      <c r="T9" s="1477" t="s">
        <v>8</v>
      </c>
      <c r="U9" s="1478">
        <f t="shared" si="1"/>
        <v>100</v>
      </c>
      <c r="V9" s="1477" t="s">
        <v>8</v>
      </c>
      <c r="W9" s="1478">
        <f t="shared" si="2"/>
        <v>100</v>
      </c>
      <c r="X9" s="1479"/>
      <c r="Y9" s="3644"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703"/>
      <c r="Q10" s="1116" t="str">
        <f t="shared" si="6"/>
        <v>土地使用年限（年）</v>
      </c>
      <c r="R10" s="1477" t="s">
        <v>8</v>
      </c>
      <c r="S10" s="1478">
        <f t="shared" si="0"/>
        <v>100</v>
      </c>
      <c r="T10" s="1477" t="s">
        <v>8</v>
      </c>
      <c r="U10" s="1478">
        <f t="shared" si="1"/>
        <v>100</v>
      </c>
      <c r="V10" s="1477" t="s">
        <v>8</v>
      </c>
      <c r="W10" s="1478">
        <f t="shared" si="2"/>
        <v>100</v>
      </c>
      <c r="X10" s="1479"/>
      <c r="Y10" s="3644"/>
      <c r="Z10" s="1115" t="str">
        <f t="shared" si="7"/>
        <v>土地使用年限（年）</v>
      </c>
      <c r="AA10" s="1480">
        <f t="shared" si="3"/>
        <v>1</v>
      </c>
      <c r="AB10" s="1480">
        <f t="shared" si="4"/>
        <v>1</v>
      </c>
      <c r="AC10" s="1480">
        <f t="shared" si="5"/>
        <v>1</v>
      </c>
    </row>
    <row r="11" spans="1:29" ht="1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703"/>
      <c r="Q11" s="1116">
        <f t="shared" si="6"/>
        <v>111</v>
      </c>
      <c r="R11" s="1477" t="s">
        <v>8</v>
      </c>
      <c r="S11" s="1478">
        <f t="shared" si="0"/>
        <v>100</v>
      </c>
      <c r="T11" s="1477" t="s">
        <v>8</v>
      </c>
      <c r="U11" s="1478">
        <f t="shared" si="1"/>
        <v>100</v>
      </c>
      <c r="V11" s="1477" t="s">
        <v>8</v>
      </c>
      <c r="W11" s="1478">
        <f t="shared" si="2"/>
        <v>100</v>
      </c>
      <c r="X11" s="1479"/>
      <c r="Y11" s="3644"/>
      <c r="Z11" s="1115">
        <f t="shared" si="7"/>
        <v>111</v>
      </c>
      <c r="AA11" s="1480">
        <f t="shared" si="3"/>
        <v>1</v>
      </c>
      <c r="AB11" s="1480">
        <f t="shared" si="4"/>
        <v>1</v>
      </c>
      <c r="AC11" s="1480">
        <f t="shared" si="5"/>
        <v>1</v>
      </c>
    </row>
    <row r="12" spans="1:29" s="1185" customFormat="1" ht="1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703"/>
      <c r="Q12" s="1116">
        <f t="shared" si="6"/>
        <v>111</v>
      </c>
      <c r="R12" s="1477" t="s">
        <v>8</v>
      </c>
      <c r="S12" s="1478">
        <f t="shared" si="0"/>
        <v>100</v>
      </c>
      <c r="T12" s="1477" t="s">
        <v>8</v>
      </c>
      <c r="U12" s="1478">
        <f t="shared" si="1"/>
        <v>100</v>
      </c>
      <c r="V12" s="1477" t="s">
        <v>8</v>
      </c>
      <c r="W12" s="1478">
        <f t="shared" si="2"/>
        <v>100</v>
      </c>
      <c r="X12" s="1479"/>
      <c r="Y12" s="3644"/>
      <c r="Z12" s="1115">
        <f t="shared" si="7"/>
        <v>111</v>
      </c>
      <c r="AA12" s="1480">
        <f>D12/F12</f>
        <v>1</v>
      </c>
      <c r="AB12" s="1480">
        <f>D12/H12</f>
        <v>1</v>
      </c>
      <c r="AC12" s="1480">
        <f>D12/J12</f>
        <v>1</v>
      </c>
    </row>
    <row r="13" spans="1:29" ht="15.75"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703"/>
      <c r="Q13" s="1116">
        <f t="shared" si="6"/>
        <v>111</v>
      </c>
      <c r="R13" s="1477" t="s">
        <v>8</v>
      </c>
      <c r="S13" s="1478">
        <f t="shared" si="0"/>
        <v>100</v>
      </c>
      <c r="T13" s="1477" t="s">
        <v>8</v>
      </c>
      <c r="U13" s="1478">
        <f t="shared" si="1"/>
        <v>100</v>
      </c>
      <c r="V13" s="1477" t="s">
        <v>8</v>
      </c>
      <c r="W13" s="1478">
        <f t="shared" si="2"/>
        <v>100</v>
      </c>
      <c r="X13" s="1479"/>
      <c r="Y13" s="3644"/>
      <c r="Z13" s="1115">
        <f t="shared" si="7"/>
        <v>111</v>
      </c>
      <c r="AA13" s="1480">
        <f t="shared" si="3"/>
        <v>1</v>
      </c>
      <c r="AB13" s="1480">
        <f t="shared" si="4"/>
        <v>1</v>
      </c>
      <c r="AC13" s="1480">
        <f t="shared" si="5"/>
        <v>1</v>
      </c>
    </row>
    <row r="14" spans="1:29" ht="85.5">
      <c r="A14" s="2595"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705" t="s">
        <v>518</v>
      </c>
      <c r="Q14" s="1481" t="str">
        <f t="shared" si="6"/>
        <v>交通便捷度</v>
      </c>
      <c r="R14" s="1482" t="s">
        <v>8</v>
      </c>
      <c r="S14" s="1483">
        <f t="shared" si="0"/>
        <v>100</v>
      </c>
      <c r="T14" s="1482" t="s">
        <v>8</v>
      </c>
      <c r="U14" s="1483">
        <f t="shared" si="1"/>
        <v>100</v>
      </c>
      <c r="V14" s="1482" t="s">
        <v>8</v>
      </c>
      <c r="W14" s="1483">
        <f t="shared" si="2"/>
        <v>100</v>
      </c>
      <c r="X14" s="1476"/>
      <c r="Y14" s="3705" t="s">
        <v>518</v>
      </c>
      <c r="Z14" s="1484" t="str">
        <f t="shared" si="7"/>
        <v>交通便捷度</v>
      </c>
      <c r="AA14" s="1485">
        <f t="shared" si="3"/>
        <v>1</v>
      </c>
      <c r="AB14" s="1485">
        <f t="shared" si="4"/>
        <v>1</v>
      </c>
      <c r="AC14" s="1485">
        <f t="shared" si="5"/>
        <v>1</v>
      </c>
    </row>
    <row r="15" spans="1:29" ht="15">
      <c r="A15" s="491"/>
      <c r="B15" s="895"/>
      <c r="C15" s="552"/>
      <c r="D15" s="531"/>
      <c r="E15" s="552"/>
      <c r="F15" s="533"/>
      <c r="G15" s="552"/>
      <c r="H15" s="535"/>
      <c r="I15" s="552"/>
      <c r="J15" s="531"/>
      <c r="K15" s="870"/>
      <c r="L15" s="1995"/>
      <c r="M15" s="1987"/>
      <c r="N15" s="1987"/>
      <c r="O15" s="1994"/>
      <c r="P15" s="3706"/>
      <c r="Q15" s="1481"/>
      <c r="R15" s="1482"/>
      <c r="S15" s="1483"/>
      <c r="T15" s="1482"/>
      <c r="U15" s="1483"/>
      <c r="V15" s="1482"/>
      <c r="W15" s="1483"/>
      <c r="X15" s="1476"/>
      <c r="Y15" s="3706"/>
      <c r="Z15" s="1484"/>
      <c r="AA15" s="1485">
        <v>1</v>
      </c>
      <c r="AB15" s="1485">
        <v>1</v>
      </c>
      <c r="AC15" s="1485">
        <v>1</v>
      </c>
    </row>
    <row r="16" spans="1:29" ht="42.75">
      <c r="A16" s="491"/>
      <c r="B16" s="2415"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706"/>
      <c r="Q16" s="1481" t="str">
        <f>B16</f>
        <v>公共配套设施</v>
      </c>
      <c r="R16" s="1482" t="s">
        <v>8</v>
      </c>
      <c r="S16" s="1483">
        <f>F16</f>
        <v>100</v>
      </c>
      <c r="T16" s="1482" t="s">
        <v>8</v>
      </c>
      <c r="U16" s="1483">
        <f>H16</f>
        <v>100</v>
      </c>
      <c r="V16" s="1482" t="s">
        <v>8</v>
      </c>
      <c r="W16" s="1483">
        <f>J16</f>
        <v>100</v>
      </c>
      <c r="X16" s="1476"/>
      <c r="Y16" s="3706"/>
      <c r="Z16" s="1484" t="str">
        <f>Q16</f>
        <v>公共配套设施</v>
      </c>
      <c r="AA16" s="1485">
        <f t="shared" si="3"/>
        <v>1</v>
      </c>
      <c r="AB16" s="1485">
        <f t="shared" si="4"/>
        <v>1</v>
      </c>
      <c r="AC16" s="1485">
        <f t="shared" si="5"/>
        <v>1</v>
      </c>
    </row>
    <row r="17" spans="1:29" ht="15">
      <c r="A17" s="491"/>
      <c r="B17" s="542"/>
      <c r="C17" s="844"/>
      <c r="D17" s="531"/>
      <c r="E17" s="552"/>
      <c r="F17" s="533"/>
      <c r="G17" s="552"/>
      <c r="H17" s="531"/>
      <c r="I17" s="552"/>
      <c r="J17" s="531"/>
      <c r="K17" s="870"/>
      <c r="L17" s="1995"/>
      <c r="M17" s="1987"/>
      <c r="N17" s="1987"/>
      <c r="O17" s="1994"/>
      <c r="P17" s="3706"/>
      <c r="Q17" s="1481"/>
      <c r="R17" s="1482"/>
      <c r="S17" s="1483"/>
      <c r="T17" s="1482"/>
      <c r="U17" s="1483"/>
      <c r="V17" s="1482"/>
      <c r="W17" s="1483"/>
      <c r="X17" s="1476"/>
      <c r="Y17" s="3706"/>
      <c r="Z17" s="1484"/>
      <c r="AA17" s="1485">
        <v>1</v>
      </c>
      <c r="AB17" s="1485">
        <v>1</v>
      </c>
      <c r="AC17" s="1485">
        <v>1</v>
      </c>
    </row>
    <row r="18" spans="1:29" ht="28.5">
      <c r="A18" s="491"/>
      <c r="B18" s="2403"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706"/>
      <c r="Q18" s="2397" t="str">
        <f>B18</f>
        <v>基础设施水平</v>
      </c>
      <c r="R18" s="1482" t="s">
        <v>8</v>
      </c>
      <c r="S18" s="1483">
        <f>F18</f>
        <v>100</v>
      </c>
      <c r="T18" s="1482" t="s">
        <v>8</v>
      </c>
      <c r="U18" s="1483">
        <f>H18</f>
        <v>100</v>
      </c>
      <c r="V18" s="1482" t="s">
        <v>8</v>
      </c>
      <c r="W18" s="1483">
        <f>J18</f>
        <v>100</v>
      </c>
      <c r="X18" s="2399"/>
      <c r="Y18" s="3706"/>
      <c r="Z18" s="2398" t="str">
        <f>Q18</f>
        <v>基础设施水平</v>
      </c>
      <c r="AA18" s="1485">
        <f t="shared" ref="AA18" si="8">D18/F18</f>
        <v>1</v>
      </c>
      <c r="AB18" s="1485">
        <f t="shared" ref="AB18" si="9">D18/H18</f>
        <v>1</v>
      </c>
      <c r="AC18" s="1485">
        <f t="shared" ref="AC18" si="10">D18/J18</f>
        <v>1</v>
      </c>
    </row>
    <row r="19" spans="1:29" ht="15">
      <c r="A19" s="491"/>
      <c r="B19" s="554"/>
      <c r="C19" s="844"/>
      <c r="D19" s="535"/>
      <c r="E19" s="552"/>
      <c r="F19" s="533"/>
      <c r="G19" s="552"/>
      <c r="H19" s="531"/>
      <c r="I19" s="552"/>
      <c r="J19" s="531"/>
      <c r="K19" s="2414"/>
      <c r="L19" s="1995"/>
      <c r="M19" s="1987"/>
      <c r="N19" s="1987"/>
      <c r="O19" s="1994"/>
      <c r="P19" s="3706"/>
      <c r="Q19" s="2397"/>
      <c r="R19" s="1482"/>
      <c r="S19" s="1483"/>
      <c r="T19" s="1482"/>
      <c r="U19" s="1483"/>
      <c r="V19" s="1482"/>
      <c r="W19" s="1483"/>
      <c r="X19" s="2399"/>
      <c r="Y19" s="3706"/>
      <c r="Z19" s="2398"/>
      <c r="AA19" s="1485">
        <v>1</v>
      </c>
      <c r="AB19" s="1485">
        <v>1</v>
      </c>
      <c r="AC19" s="1485">
        <v>1</v>
      </c>
    </row>
    <row r="20" spans="1:29" ht="57">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706"/>
      <c r="Q20" s="1481" t="str">
        <f>B20</f>
        <v>自然及人文环境</v>
      </c>
      <c r="R20" s="1482" t="s">
        <v>8</v>
      </c>
      <c r="S20" s="1483">
        <f>F20</f>
        <v>100</v>
      </c>
      <c r="T20" s="1482" t="s">
        <v>8</v>
      </c>
      <c r="U20" s="1483">
        <f>H20</f>
        <v>100</v>
      </c>
      <c r="V20" s="1482" t="s">
        <v>8</v>
      </c>
      <c r="W20" s="1483">
        <f>J20</f>
        <v>100</v>
      </c>
      <c r="X20" s="1476"/>
      <c r="Y20" s="3706"/>
      <c r="Z20" s="1484" t="str">
        <f>Q20</f>
        <v>自然及人文环境</v>
      </c>
      <c r="AA20" s="1485">
        <f t="shared" si="3"/>
        <v>1</v>
      </c>
      <c r="AB20" s="1485">
        <f t="shared" si="4"/>
        <v>1</v>
      </c>
      <c r="AC20" s="1485">
        <f t="shared" si="5"/>
        <v>1</v>
      </c>
    </row>
    <row r="21" spans="1:29" ht="15">
      <c r="A21" s="491"/>
      <c r="B21" s="542"/>
      <c r="C21" s="552"/>
      <c r="D21" s="531"/>
      <c r="E21" s="552"/>
      <c r="F21" s="533"/>
      <c r="G21" s="552"/>
      <c r="H21" s="531"/>
      <c r="I21" s="552"/>
      <c r="J21" s="531"/>
      <c r="K21" s="870"/>
      <c r="L21" s="1995"/>
      <c r="M21" s="1987"/>
      <c r="N21" s="1987"/>
      <c r="O21" s="1994"/>
      <c r="P21" s="3706"/>
      <c r="Q21" s="1481"/>
      <c r="R21" s="1482"/>
      <c r="S21" s="1483"/>
      <c r="T21" s="1482"/>
      <c r="U21" s="1483"/>
      <c r="V21" s="1482"/>
      <c r="W21" s="1483"/>
      <c r="X21" s="1476"/>
      <c r="Y21" s="3706"/>
      <c r="Z21" s="1484"/>
      <c r="AA21" s="1485">
        <v>1</v>
      </c>
      <c r="AB21" s="1485">
        <v>1</v>
      </c>
      <c r="AC21" s="1485">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706"/>
      <c r="Q22" s="1481" t="str">
        <f>B22</f>
        <v>楼层</v>
      </c>
      <c r="R22" s="1482" t="s">
        <v>8</v>
      </c>
      <c r="S22" s="1483">
        <f>F22</f>
        <v>100</v>
      </c>
      <c r="T22" s="1482" t="s">
        <v>8</v>
      </c>
      <c r="U22" s="1483">
        <f>H22</f>
        <v>100</v>
      </c>
      <c r="V22" s="1482" t="s">
        <v>8</v>
      </c>
      <c r="W22" s="1483">
        <f>J22</f>
        <v>100</v>
      </c>
      <c r="X22" s="1476"/>
      <c r="Y22" s="3706"/>
      <c r="Z22" s="1484" t="str">
        <f>Q22</f>
        <v>楼层</v>
      </c>
      <c r="AA22" s="1485">
        <f t="shared" si="3"/>
        <v>1</v>
      </c>
      <c r="AB22" s="1485">
        <f t="shared" si="4"/>
        <v>1</v>
      </c>
      <c r="AC22" s="148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706"/>
      <c r="Q23" s="1481">
        <f>B23</f>
        <v>111</v>
      </c>
      <c r="R23" s="1482" t="s">
        <v>8</v>
      </c>
      <c r="S23" s="1483">
        <f>F23</f>
        <v>100</v>
      </c>
      <c r="T23" s="1482" t="s">
        <v>8</v>
      </c>
      <c r="U23" s="1483">
        <f>H23</f>
        <v>100</v>
      </c>
      <c r="V23" s="1482" t="s">
        <v>8</v>
      </c>
      <c r="W23" s="1483">
        <f>J23</f>
        <v>100</v>
      </c>
      <c r="X23" s="1476"/>
      <c r="Y23" s="3706"/>
      <c r="Z23" s="1484">
        <f>Q23</f>
        <v>111</v>
      </c>
      <c r="AA23" s="1485">
        <f t="shared" si="3"/>
        <v>1</v>
      </c>
      <c r="AB23" s="1485">
        <f t="shared" si="4"/>
        <v>1</v>
      </c>
      <c r="AC23" s="148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706"/>
      <c r="Q24" s="1481">
        <f t="shared" ref="Q24:Q36" si="11">B24</f>
        <v>111</v>
      </c>
      <c r="R24" s="1482" t="s">
        <v>8</v>
      </c>
      <c r="S24" s="1483">
        <f>F24</f>
        <v>100</v>
      </c>
      <c r="T24" s="1482" t="s">
        <v>8</v>
      </c>
      <c r="U24" s="1483">
        <f>H24</f>
        <v>100</v>
      </c>
      <c r="V24" s="1482" t="s">
        <v>8</v>
      </c>
      <c r="W24" s="1483">
        <f>J24</f>
        <v>100</v>
      </c>
      <c r="X24" s="1476"/>
      <c r="Y24" s="3706"/>
      <c r="Z24" s="1484">
        <f>Q24</f>
        <v>111</v>
      </c>
      <c r="AA24" s="1485">
        <f t="shared" si="3"/>
        <v>1</v>
      </c>
      <c r="AB24" s="1485">
        <f t="shared" si="4"/>
        <v>1</v>
      </c>
      <c r="AC24" s="1485">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706"/>
      <c r="Q25" s="1116">
        <f t="shared" si="11"/>
        <v>111</v>
      </c>
      <c r="R25" s="1477" t="s">
        <v>8</v>
      </c>
      <c r="S25" s="1478">
        <f>F25</f>
        <v>100</v>
      </c>
      <c r="T25" s="1477" t="s">
        <v>8</v>
      </c>
      <c r="U25" s="1478">
        <f>H25</f>
        <v>100</v>
      </c>
      <c r="V25" s="1477" t="s">
        <v>8</v>
      </c>
      <c r="W25" s="1478">
        <f>J25</f>
        <v>100</v>
      </c>
      <c r="X25" s="1479"/>
      <c r="Y25" s="3706"/>
      <c r="Z25" s="1115">
        <f>Q25</f>
        <v>111</v>
      </c>
      <c r="AA25" s="1485">
        <f>D25/F25</f>
        <v>1</v>
      </c>
      <c r="AB25" s="1485">
        <f>D25/H25</f>
        <v>1</v>
      </c>
      <c r="AC25" s="1485">
        <f>D25/J25</f>
        <v>1</v>
      </c>
    </row>
    <row r="26" spans="1:29" ht="15">
      <c r="A26" s="2592"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707" t="s">
        <v>528</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708" t="s">
        <v>528</v>
      </c>
      <c r="Z26" s="1484" t="str">
        <f t="shared" ref="Z26:Z36" si="15">Q26</f>
        <v>配套类型</v>
      </c>
      <c r="AA26" s="1485">
        <f t="shared" si="3"/>
        <v>1</v>
      </c>
      <c r="AB26" s="1485">
        <f t="shared" si="4"/>
        <v>1</v>
      </c>
      <c r="AC26" s="1485">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708"/>
      <c r="Q27" s="1510" t="str">
        <f t="shared" si="11"/>
        <v>项目停车位配比</v>
      </c>
      <c r="R27" s="1486" t="s">
        <v>8</v>
      </c>
      <c r="S27" s="1487">
        <f t="shared" si="12"/>
        <v>100</v>
      </c>
      <c r="T27" s="1486" t="s">
        <v>8</v>
      </c>
      <c r="U27" s="1487">
        <f t="shared" si="13"/>
        <v>100</v>
      </c>
      <c r="V27" s="1486" t="s">
        <v>8</v>
      </c>
      <c r="W27" s="1487">
        <f t="shared" si="14"/>
        <v>100</v>
      </c>
      <c r="X27" s="1488"/>
      <c r="Y27" s="3708"/>
      <c r="Z27" s="1489" t="str">
        <f t="shared" si="15"/>
        <v>项目停车位配比</v>
      </c>
      <c r="AA27" s="1485">
        <f t="shared" si="3"/>
        <v>1</v>
      </c>
      <c r="AB27" s="1485">
        <f t="shared" si="4"/>
        <v>1</v>
      </c>
      <c r="AC27" s="1485">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708"/>
      <c r="Q28" s="1481" t="str">
        <f t="shared" si="11"/>
        <v>公共部分装修</v>
      </c>
      <c r="R28" s="1482" t="s">
        <v>8</v>
      </c>
      <c r="S28" s="1483">
        <f t="shared" si="12"/>
        <v>100</v>
      </c>
      <c r="T28" s="1482" t="s">
        <v>8</v>
      </c>
      <c r="U28" s="1483">
        <f t="shared" si="13"/>
        <v>100</v>
      </c>
      <c r="V28" s="1482" t="s">
        <v>8</v>
      </c>
      <c r="W28" s="1483">
        <f t="shared" si="14"/>
        <v>100</v>
      </c>
      <c r="X28" s="1476"/>
      <c r="Y28" s="3708"/>
      <c r="Z28" s="1484" t="str">
        <f t="shared" si="15"/>
        <v>公共部分装修</v>
      </c>
      <c r="AA28" s="1485">
        <f t="shared" si="3"/>
        <v>1</v>
      </c>
      <c r="AB28" s="1485">
        <f t="shared" si="4"/>
        <v>1</v>
      </c>
      <c r="AC28" s="1485">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708"/>
      <c r="Q29" s="1481" t="str">
        <f t="shared" si="11"/>
        <v>成新率</v>
      </c>
      <c r="R29" s="1482" t="s">
        <v>8</v>
      </c>
      <c r="S29" s="1483" t="e">
        <f t="shared" si="12"/>
        <v>#N/A</v>
      </c>
      <c r="T29" s="1482" t="s">
        <v>8</v>
      </c>
      <c r="U29" s="1483" t="e">
        <f t="shared" si="13"/>
        <v>#N/A</v>
      </c>
      <c r="V29" s="1482" t="s">
        <v>8</v>
      </c>
      <c r="W29" s="1483" t="e">
        <f t="shared" si="14"/>
        <v>#N/A</v>
      </c>
      <c r="X29" s="1476"/>
      <c r="Y29" s="3708"/>
      <c r="Z29" s="1484" t="str">
        <f t="shared" si="15"/>
        <v>成新率</v>
      </c>
      <c r="AA29" s="1485" t="e">
        <f t="shared" si="3"/>
        <v>#N/A</v>
      </c>
      <c r="AB29" s="1485" t="e">
        <f t="shared" si="4"/>
        <v>#N/A</v>
      </c>
      <c r="AC29" s="1485"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708"/>
      <c r="Q30" s="1481" t="str">
        <f t="shared" si="11"/>
        <v>物业等级</v>
      </c>
      <c r="R30" s="1482" t="s">
        <v>8</v>
      </c>
      <c r="S30" s="1483">
        <f t="shared" si="12"/>
        <v>100</v>
      </c>
      <c r="T30" s="1482" t="s">
        <v>8</v>
      </c>
      <c r="U30" s="1483">
        <f t="shared" si="13"/>
        <v>100</v>
      </c>
      <c r="V30" s="1482" t="s">
        <v>8</v>
      </c>
      <c r="W30" s="1483">
        <f t="shared" si="14"/>
        <v>100</v>
      </c>
      <c r="X30" s="1476"/>
      <c r="Y30" s="3708"/>
      <c r="Z30" s="1484" t="str">
        <f t="shared" si="15"/>
        <v>物业等级</v>
      </c>
      <c r="AA30" s="1485">
        <f t="shared" si="3"/>
        <v>1</v>
      </c>
      <c r="AB30" s="1485">
        <f t="shared" si="4"/>
        <v>1</v>
      </c>
      <c r="AC30" s="1485">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708"/>
      <c r="Q31" s="1116" t="str">
        <f t="shared" si="11"/>
        <v>停车位面积</v>
      </c>
      <c r="R31" s="1477" t="s">
        <v>8</v>
      </c>
      <c r="S31" s="1478" t="e">
        <f t="shared" si="12"/>
        <v>#N/A</v>
      </c>
      <c r="T31" s="1477" t="s">
        <v>8</v>
      </c>
      <c r="U31" s="1478" t="e">
        <f t="shared" si="13"/>
        <v>#N/A</v>
      </c>
      <c r="V31" s="1477" t="s">
        <v>8</v>
      </c>
      <c r="W31" s="1478" t="e">
        <f t="shared" si="14"/>
        <v>#N/A</v>
      </c>
      <c r="X31" s="1479"/>
      <c r="Y31" s="3708"/>
      <c r="Z31" s="1115" t="str">
        <f t="shared" si="15"/>
        <v>停车位面积</v>
      </c>
      <c r="AA31" s="1480" t="e">
        <f t="shared" si="3"/>
        <v>#N/A</v>
      </c>
      <c r="AB31" s="1480" t="e">
        <f t="shared" si="4"/>
        <v>#N/A</v>
      </c>
      <c r="AC31" s="1480"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708" t="s">
        <v>528</v>
      </c>
      <c r="Q32" s="1481" t="str">
        <f t="shared" si="11"/>
        <v>车位类型</v>
      </c>
      <c r="R32" s="1482" t="s">
        <v>8</v>
      </c>
      <c r="S32" s="1483">
        <f t="shared" si="12"/>
        <v>100</v>
      </c>
      <c r="T32" s="1482" t="s">
        <v>8</v>
      </c>
      <c r="U32" s="1483">
        <f t="shared" si="13"/>
        <v>100</v>
      </c>
      <c r="V32" s="1482" t="s">
        <v>8</v>
      </c>
      <c r="W32" s="1483">
        <f t="shared" si="14"/>
        <v>100</v>
      </c>
      <c r="X32" s="1476"/>
      <c r="Y32" s="3708" t="s">
        <v>528</v>
      </c>
      <c r="Z32" s="1484" t="str">
        <f t="shared" si="15"/>
        <v>车位类型</v>
      </c>
      <c r="AA32" s="1485">
        <f t="shared" si="3"/>
        <v>1</v>
      </c>
      <c r="AB32" s="1485">
        <f t="shared" si="4"/>
        <v>1</v>
      </c>
      <c r="AC32" s="1485">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708"/>
      <c r="Q33" s="1481" t="str">
        <f t="shared" si="11"/>
        <v>是否直接入户</v>
      </c>
      <c r="R33" s="1482" t="s">
        <v>8</v>
      </c>
      <c r="S33" s="1483">
        <f t="shared" si="12"/>
        <v>100</v>
      </c>
      <c r="T33" s="1482" t="s">
        <v>8</v>
      </c>
      <c r="U33" s="1483">
        <f t="shared" si="13"/>
        <v>100</v>
      </c>
      <c r="V33" s="1482" t="s">
        <v>8</v>
      </c>
      <c r="W33" s="1483">
        <f t="shared" si="14"/>
        <v>100</v>
      </c>
      <c r="X33" s="1476"/>
      <c r="Y33" s="3708"/>
      <c r="Z33" s="1484" t="str">
        <f t="shared" si="15"/>
        <v>是否直接入户</v>
      </c>
      <c r="AA33" s="1485">
        <f t="shared" si="3"/>
        <v>1</v>
      </c>
      <c r="AB33" s="1485">
        <f t="shared" si="4"/>
        <v>1</v>
      </c>
      <c r="AC33" s="148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708"/>
      <c r="Q34" s="1481">
        <f t="shared" si="11"/>
        <v>111</v>
      </c>
      <c r="R34" s="1482" t="s">
        <v>8</v>
      </c>
      <c r="S34" s="1483">
        <f t="shared" si="12"/>
        <v>100</v>
      </c>
      <c r="T34" s="1482" t="s">
        <v>8</v>
      </c>
      <c r="U34" s="1483">
        <f t="shared" si="13"/>
        <v>100</v>
      </c>
      <c r="V34" s="1482" t="s">
        <v>8</v>
      </c>
      <c r="W34" s="1483">
        <f t="shared" si="14"/>
        <v>100</v>
      </c>
      <c r="X34" s="1476"/>
      <c r="Y34" s="3708"/>
      <c r="Z34" s="1484">
        <f t="shared" si="15"/>
        <v>111</v>
      </c>
      <c r="AA34" s="1485">
        <f t="shared" si="3"/>
        <v>1</v>
      </c>
      <c r="AB34" s="1485">
        <f t="shared" si="4"/>
        <v>1</v>
      </c>
      <c r="AC34" s="1485">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708"/>
      <c r="Q35" s="1510">
        <f t="shared" si="11"/>
        <v>111</v>
      </c>
      <c r="R35" s="1486" t="s">
        <v>8</v>
      </c>
      <c r="S35" s="1487">
        <f t="shared" si="12"/>
        <v>100</v>
      </c>
      <c r="T35" s="1486" t="s">
        <v>8</v>
      </c>
      <c r="U35" s="1487">
        <f t="shared" si="13"/>
        <v>100</v>
      </c>
      <c r="V35" s="1486" t="s">
        <v>8</v>
      </c>
      <c r="W35" s="1487">
        <f t="shared" si="14"/>
        <v>100</v>
      </c>
      <c r="X35" s="1488"/>
      <c r="Y35" s="3708"/>
      <c r="Z35" s="1489">
        <f t="shared" si="15"/>
        <v>111</v>
      </c>
      <c r="AA35" s="1485">
        <f t="shared" si="3"/>
        <v>1</v>
      </c>
      <c r="AB35" s="1485">
        <f t="shared" si="4"/>
        <v>1</v>
      </c>
      <c r="AC35" s="148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708"/>
      <c r="Q36" s="1481">
        <f t="shared" si="11"/>
        <v>111</v>
      </c>
      <c r="R36" s="1482" t="s">
        <v>8</v>
      </c>
      <c r="S36" s="1483">
        <f t="shared" si="12"/>
        <v>100</v>
      </c>
      <c r="T36" s="1482" t="s">
        <v>8</v>
      </c>
      <c r="U36" s="1483">
        <f t="shared" si="13"/>
        <v>100</v>
      </c>
      <c r="V36" s="1482" t="s">
        <v>8</v>
      </c>
      <c r="W36" s="1483">
        <f t="shared" si="14"/>
        <v>100</v>
      </c>
      <c r="X36" s="1476"/>
      <c r="Y36" s="3708"/>
      <c r="Z36" s="1484">
        <f t="shared" si="15"/>
        <v>111</v>
      </c>
      <c r="AA36" s="1485">
        <f t="shared" si="3"/>
        <v>1</v>
      </c>
      <c r="AB36" s="1485">
        <f t="shared" si="4"/>
        <v>1</v>
      </c>
      <c r="AC36" s="1485">
        <f t="shared" si="5"/>
        <v>1</v>
      </c>
    </row>
    <row r="37" spans="1:29" ht="15">
      <c r="A37" s="1733" t="s">
        <v>2044</v>
      </c>
      <c r="B37" s="1734" t="s">
        <v>2045</v>
      </c>
      <c r="C37" s="2438" t="s">
        <v>1</v>
      </c>
      <c r="D37" s="2439"/>
      <c r="E37" s="2440"/>
      <c r="F37" s="2441"/>
      <c r="G37" s="2442"/>
      <c r="H37" s="2443"/>
      <c r="I37" s="2440"/>
      <c r="J37" s="2443"/>
      <c r="K37" s="1515"/>
      <c r="L37" s="1997"/>
      <c r="M37" s="1998"/>
      <c r="N37" s="1987"/>
      <c r="O37" s="1998"/>
      <c r="P37" s="3703" t="str">
        <f>A37</f>
        <v>成交单价</v>
      </c>
      <c r="Q37" s="3703"/>
      <c r="R37" s="3845">
        <f>E37</f>
        <v>0</v>
      </c>
      <c r="S37" s="3845"/>
      <c r="T37" s="3845">
        <f>G37</f>
        <v>0</v>
      </c>
      <c r="U37" s="3845"/>
      <c r="V37" s="3845">
        <f>I37</f>
        <v>0</v>
      </c>
      <c r="W37" s="3845"/>
      <c r="X37" s="1471"/>
      <c r="Y37" s="1490"/>
      <c r="Z37" s="1471"/>
      <c r="AA37" s="1471"/>
      <c r="AB37" s="1471"/>
      <c r="AC37" s="1471"/>
    </row>
    <row r="38" spans="1:29" ht="15.75" thickBot="1">
      <c r="A38" s="591" t="s">
        <v>2713</v>
      </c>
      <c r="B38" s="859"/>
      <c r="C38" s="2444" t="e">
        <f>R39</f>
        <v>#DIV/0!</v>
      </c>
      <c r="D38" s="2980" t="s">
        <v>2937</v>
      </c>
      <c r="E38" s="2445" t="e">
        <f>R38</f>
        <v>#DIV/0!</v>
      </c>
      <c r="F38" s="2981"/>
      <c r="G38" s="2444" t="e">
        <f>T38</f>
        <v>#DIV/0!</v>
      </c>
      <c r="H38" s="2981"/>
      <c r="I38" s="2445" t="e">
        <f>V38</f>
        <v>#DIV/0!</v>
      </c>
      <c r="J38" s="2981"/>
      <c r="K38" s="2989">
        <f>F38+H38+J38</f>
        <v>0</v>
      </c>
      <c r="L38" s="1997"/>
      <c r="M38" s="1998"/>
      <c r="N38" s="1998"/>
      <c r="O38" s="1998"/>
      <c r="P38" s="3703" t="str">
        <f>A38</f>
        <v>比较价格（元/平方米）</v>
      </c>
      <c r="Q38" s="3703"/>
      <c r="R38" s="3845" t="e">
        <f>IF(F1="售价",ROUND(PRODUCT(R37,AA7:AA36),0),ROUND(PRODUCT(R37,AA7:AA36),1))</f>
        <v>#DIV/0!</v>
      </c>
      <c r="S38" s="3845"/>
      <c r="T38" s="3845" t="e">
        <f>IF(F1="售价",ROUND(PRODUCT(T37,AB7:AB36),0),ROUND(PRODUCT(T37,AB7:AB36),1))</f>
        <v>#DIV/0!</v>
      </c>
      <c r="U38" s="3845"/>
      <c r="V38" s="3845" t="e">
        <f>IF(F1="售价",ROUND(PRODUCT(V37,AC7:AC36),0),ROUND(PRODUCT(V37,AC7:AC36),1))</f>
        <v>#DIV/0!</v>
      </c>
      <c r="W38" s="3845"/>
      <c r="X38" s="1471"/>
      <c r="Y38" s="1471"/>
      <c r="Z38" s="1471"/>
      <c r="AA38" s="1471"/>
      <c r="AB38" s="1471"/>
      <c r="AC38" s="1471"/>
    </row>
    <row r="39" spans="1:29" ht="15.75" thickBot="1">
      <c r="A39" s="595" t="s">
        <v>2873</v>
      </c>
      <c r="B39" s="596"/>
      <c r="C39" s="2446" t="e">
        <f>R39</f>
        <v>#DIV/0!</v>
      </c>
      <c r="D39" s="2446"/>
      <c r="E39" s="2446"/>
      <c r="F39" s="2446"/>
      <c r="G39" s="2446"/>
      <c r="H39" s="2446"/>
      <c r="I39" s="2446"/>
      <c r="J39" s="2446"/>
      <c r="K39" s="1516"/>
      <c r="L39" s="1997"/>
      <c r="M39" s="1998"/>
      <c r="N39" s="1998"/>
      <c r="O39" s="1998"/>
      <c r="P39" s="3724" t="str">
        <f>A39</f>
        <v>估价对象XX用房的比较价格（楼面单价，元/平方米）</v>
      </c>
      <c r="Q39" s="3725"/>
      <c r="R39" s="3844" t="e">
        <f>IF(F1="售价",ROUND(IF(D38="简单平均",AVERAGE(R38:W38),R38*F38+T38*H38+V38*J38),0),ROUND(IF(D38="简单平均",AVERAGE(R38:V38),R38*F38+T38*H38+V38*J38),1))</f>
        <v>#DIV/0!</v>
      </c>
      <c r="S39" s="3844"/>
      <c r="T39" s="3844"/>
      <c r="U39" s="3844"/>
      <c r="V39" s="3844"/>
      <c r="W39" s="3844"/>
      <c r="X39" s="1471"/>
      <c r="Y39" s="1471"/>
      <c r="Z39" s="1471"/>
      <c r="AA39" s="1471"/>
      <c r="AB39" s="1471"/>
      <c r="AC39" s="1471"/>
    </row>
    <row r="40" spans="1:29">
      <c r="A40" s="3179"/>
      <c r="B40" s="3179"/>
      <c r="C40" s="3179"/>
      <c r="D40" s="3179"/>
      <c r="E40" s="3179"/>
      <c r="F40" s="3179"/>
      <c r="G40" s="3181"/>
      <c r="H40" s="3179"/>
      <c r="I40" s="3179"/>
      <c r="J40" s="3179"/>
      <c r="K40" s="3182"/>
      <c r="L40" s="2002"/>
      <c r="M40" s="1998"/>
      <c r="N40" s="1998"/>
      <c r="O40" s="1998"/>
      <c r="P40" s="1998"/>
      <c r="Q40" s="1998"/>
      <c r="R40" s="1998"/>
      <c r="S40" s="1998"/>
      <c r="T40" s="1998"/>
      <c r="U40" s="1998"/>
      <c r="V40" s="1998"/>
      <c r="W40" s="1998"/>
      <c r="X40" s="1998"/>
      <c r="Y40" s="1998"/>
      <c r="Z40" s="1998"/>
      <c r="AA40" s="1998"/>
      <c r="AB40" s="1998"/>
      <c r="AC40" s="1998"/>
    </row>
    <row r="41" spans="1:29">
      <c r="A41" s="3179"/>
      <c r="B41" s="3179"/>
      <c r="C41" s="3179"/>
      <c r="D41" s="3179"/>
      <c r="E41" s="3179"/>
      <c r="F41" s="3179"/>
      <c r="G41" s="3179"/>
      <c r="H41" s="3179"/>
      <c r="I41" s="3179"/>
      <c r="J41" s="3179"/>
      <c r="K41" s="3182"/>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9"/>
      <c r="B42" s="317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82"/>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9"/>
      <c r="B43" s="317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82"/>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80"/>
      <c r="B44" s="318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3"/>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19" t="s">
        <v>507</v>
      </c>
      <c r="B48" s="620"/>
      <c r="C48" s="2487" t="str">
        <f>YEAR(C7)&amp;"-"&amp;MONTH(C7)</f>
        <v>2022-3</v>
      </c>
      <c r="D48" s="2489">
        <f>EDATE(C48,-1)</f>
        <v>44593</v>
      </c>
      <c r="E48" s="2489">
        <f t="shared" ref="E48:O48" si="16">EDATE(D48,-1)</f>
        <v>44562</v>
      </c>
      <c r="F48" s="2489">
        <f t="shared" si="16"/>
        <v>44531</v>
      </c>
      <c r="G48" s="2489">
        <f t="shared" si="16"/>
        <v>44501</v>
      </c>
      <c r="H48" s="2489">
        <f t="shared" si="16"/>
        <v>44470</v>
      </c>
      <c r="I48" s="2489">
        <f t="shared" si="16"/>
        <v>44440</v>
      </c>
      <c r="J48" s="2489">
        <f t="shared" si="16"/>
        <v>44409</v>
      </c>
      <c r="K48" s="2489">
        <f t="shared" si="16"/>
        <v>44378</v>
      </c>
      <c r="L48" s="2489">
        <f t="shared" si="16"/>
        <v>44348</v>
      </c>
      <c r="M48" s="2489">
        <f t="shared" si="16"/>
        <v>44317</v>
      </c>
      <c r="N48" s="2489">
        <f t="shared" si="16"/>
        <v>44287</v>
      </c>
      <c r="O48" s="2489">
        <f t="shared" si="16"/>
        <v>44256</v>
      </c>
      <c r="P48" s="2012"/>
      <c r="Q48" s="2013"/>
      <c r="R48" s="2013"/>
      <c r="S48" s="2013"/>
      <c r="T48" s="2013"/>
      <c r="U48" s="2013"/>
      <c r="V48" s="2013"/>
      <c r="W48" s="2013"/>
      <c r="X48" s="2013"/>
      <c r="Y48" s="2013"/>
      <c r="Z48" s="2013"/>
      <c r="AA48" s="2013"/>
      <c r="AB48" s="2013"/>
      <c r="AC48" s="2013"/>
    </row>
    <row r="49" spans="1:29" s="1185" customFormat="1" ht="15">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5.7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ht="15">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5.7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5.7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5.7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1783" t="s">
        <v>2511</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2409" t="s">
        <v>2512</v>
      </c>
      <c r="C67" s="2410" t="s">
        <v>2513</v>
      </c>
      <c r="D67" s="2410" t="s">
        <v>2514</v>
      </c>
      <c r="E67" s="2410" t="s">
        <v>2515</v>
      </c>
      <c r="F67" s="2410" t="s">
        <v>2516</v>
      </c>
      <c r="G67" s="2410" t="s">
        <v>2517</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5.7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5.7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5.7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5.7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7.7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5.7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775</v>
      </c>
      <c r="B4" s="489"/>
      <c r="C4" s="3709" t="s">
        <v>776</v>
      </c>
      <c r="D4" s="3710"/>
      <c r="E4" s="3814" t="s">
        <v>777</v>
      </c>
      <c r="F4" s="3815"/>
      <c r="G4" s="3709" t="s">
        <v>778</v>
      </c>
      <c r="H4" s="3710"/>
      <c r="I4" s="3709" t="s">
        <v>779</v>
      </c>
      <c r="J4" s="3710"/>
      <c r="K4" s="490" t="s">
        <v>780</v>
      </c>
      <c r="L4" s="1986"/>
      <c r="M4" s="1987"/>
      <c r="N4" s="1987"/>
      <c r="O4" s="1987"/>
      <c r="P4" s="3711" t="s">
        <v>781</v>
      </c>
      <c r="Q4" s="3712"/>
      <c r="R4" s="3697" t="s">
        <v>777</v>
      </c>
      <c r="S4" s="3698"/>
      <c r="T4" s="3697" t="s">
        <v>778</v>
      </c>
      <c r="U4" s="3698"/>
      <c r="V4" s="3717" t="s">
        <v>779</v>
      </c>
      <c r="W4" s="3717"/>
      <c r="X4" s="1476"/>
      <c r="Y4" s="3697" t="s">
        <v>781</v>
      </c>
      <c r="Z4" s="3698"/>
      <c r="AA4" s="3692" t="s">
        <v>777</v>
      </c>
      <c r="AB4" s="3693" t="s">
        <v>778</v>
      </c>
      <c r="AC4" s="3692" t="s">
        <v>779</v>
      </c>
    </row>
    <row r="5" spans="1:29" ht="15">
      <c r="A5" s="491"/>
      <c r="B5" s="492"/>
      <c r="C5" s="3720" t="s">
        <v>2867</v>
      </c>
      <c r="D5" s="3721"/>
      <c r="E5" s="3816" t="s">
        <v>2868</v>
      </c>
      <c r="F5" s="3817"/>
      <c r="G5" s="3720" t="s">
        <v>2869</v>
      </c>
      <c r="H5" s="3721"/>
      <c r="I5" s="3720" t="s">
        <v>2870</v>
      </c>
      <c r="J5" s="3721"/>
      <c r="K5" s="490"/>
      <c r="L5" s="1986"/>
      <c r="M5" s="1987"/>
      <c r="N5" s="1987"/>
      <c r="O5" s="1987"/>
      <c r="P5" s="3713"/>
      <c r="Q5" s="3714"/>
      <c r="R5" s="3699"/>
      <c r="S5" s="3700"/>
      <c r="T5" s="3699"/>
      <c r="U5" s="3700"/>
      <c r="V5" s="3717"/>
      <c r="W5" s="3717"/>
      <c r="X5" s="1476"/>
      <c r="Y5" s="3699"/>
      <c r="Z5" s="3700"/>
      <c r="AA5" s="3693"/>
      <c r="AB5" s="3693"/>
      <c r="AC5" s="3693"/>
    </row>
    <row r="6" spans="1:29" ht="15.75" thickBot="1">
      <c r="A6" s="493"/>
      <c r="B6" s="494"/>
      <c r="C6" s="3718" t="s">
        <v>2871</v>
      </c>
      <c r="D6" s="3719"/>
      <c r="E6" s="3818" t="s">
        <v>2871</v>
      </c>
      <c r="F6" s="3819"/>
      <c r="G6" s="3718" t="s">
        <v>2871</v>
      </c>
      <c r="H6" s="3719"/>
      <c r="I6" s="3718" t="s">
        <v>2871</v>
      </c>
      <c r="J6" s="3719"/>
      <c r="K6" s="490" t="s">
        <v>506</v>
      </c>
      <c r="L6" s="1986"/>
      <c r="M6" s="1987"/>
      <c r="N6" s="1987"/>
      <c r="O6" s="1987"/>
      <c r="P6" s="3715"/>
      <c r="Q6" s="3716"/>
      <c r="R6" s="3699"/>
      <c r="S6" s="3700"/>
      <c r="T6" s="3701"/>
      <c r="U6" s="3702"/>
      <c r="V6" s="3717"/>
      <c r="W6" s="3717"/>
      <c r="X6" s="1476"/>
      <c r="Y6" s="3701"/>
      <c r="Z6" s="3702"/>
      <c r="AA6" s="3694"/>
      <c r="AB6" s="3694"/>
      <c r="AC6" s="3694"/>
    </row>
    <row r="7" spans="1:29" s="1185" customFormat="1" ht="15.75" thickBot="1">
      <c r="A7" s="2597"/>
      <c r="B7" s="2604" t="s">
        <v>507</v>
      </c>
      <c r="C7" s="495">
        <f>'数据-取费表'!B2</f>
        <v>44623</v>
      </c>
      <c r="D7" s="496">
        <v>100</v>
      </c>
      <c r="E7" s="497"/>
      <c r="F7" s="498">
        <f>SUMIF(46:46,YEAR(E7)&amp;"-"&amp;MONTH(E7),47:47)</f>
        <v>0</v>
      </c>
      <c r="G7" s="499"/>
      <c r="H7" s="496">
        <f>SUMIF(46:46,YEAR(G7)&amp;"-"&amp;MONTH(G7),47:47)</f>
        <v>0</v>
      </c>
      <c r="I7" s="499"/>
      <c r="J7" s="496">
        <f>SUMIF(46:46,YEAR(I7)&amp;"-"&amp;MONTH(I7),47:47)</f>
        <v>0</v>
      </c>
      <c r="K7" s="500"/>
      <c r="L7" s="1988"/>
      <c r="M7" s="1989"/>
      <c r="N7" s="1989"/>
      <c r="O7" s="1989"/>
      <c r="P7" s="3695" t="s">
        <v>508</v>
      </c>
      <c r="Q7" s="3704"/>
      <c r="R7" s="1477" t="s">
        <v>8</v>
      </c>
      <c r="S7" s="1478">
        <f t="shared" ref="S7:S14" si="0">F7</f>
        <v>0</v>
      </c>
      <c r="T7" s="1477" t="s">
        <v>8</v>
      </c>
      <c r="U7" s="1478">
        <f t="shared" ref="U7:U14" si="1">H7</f>
        <v>0</v>
      </c>
      <c r="V7" s="1477" t="s">
        <v>8</v>
      </c>
      <c r="W7" s="1478">
        <f t="shared" ref="W7:W14" si="2">J7</f>
        <v>0</v>
      </c>
      <c r="X7" s="1479"/>
      <c r="Y7" s="3695" t="s">
        <v>508</v>
      </c>
      <c r="Z7" s="3696"/>
      <c r="AA7" s="1480" t="e">
        <f>D7/F7</f>
        <v>#DIV/0!</v>
      </c>
      <c r="AB7" s="1480" t="e">
        <f>D7/H7</f>
        <v>#DIV/0!</v>
      </c>
      <c r="AC7" s="1480" t="e">
        <f>D7/J7</f>
        <v>#DIV/0!</v>
      </c>
    </row>
    <row r="8" spans="1:29" s="1185" customFormat="1" ht="15.7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695" t="s">
        <v>511</v>
      </c>
      <c r="Q8" s="3696"/>
      <c r="R8" s="1477" t="s">
        <v>8</v>
      </c>
      <c r="S8" s="1478">
        <f t="shared" si="0"/>
        <v>0</v>
      </c>
      <c r="T8" s="1477" t="s">
        <v>8</v>
      </c>
      <c r="U8" s="1478">
        <f t="shared" si="1"/>
        <v>0</v>
      </c>
      <c r="V8" s="1477" t="s">
        <v>8</v>
      </c>
      <c r="W8" s="1478">
        <f t="shared" si="2"/>
        <v>0</v>
      </c>
      <c r="X8" s="1479"/>
      <c r="Y8" s="3695" t="s">
        <v>511</v>
      </c>
      <c r="Z8" s="3696"/>
      <c r="AA8" s="1480" t="e">
        <f t="shared" ref="AA8:AA34" si="3">D8/F8</f>
        <v>#DIV/0!</v>
      </c>
      <c r="AB8" s="1480" t="e">
        <f t="shared" ref="AB8:AB34" si="4">D8/H8</f>
        <v>#DIV/0!</v>
      </c>
      <c r="AC8" s="1480" t="e">
        <f t="shared" ref="AC8:AC34" si="5">D8/J8</f>
        <v>#DIV/0!</v>
      </c>
    </row>
    <row r="9" spans="1:29" s="1185" customFormat="1" ht="15">
      <c r="A9" s="2599"/>
      <c r="B9" s="2606" t="s">
        <v>2709</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703" t="s">
        <v>513</v>
      </c>
      <c r="Q9" s="1116" t="str">
        <f t="shared" ref="Q9:Q14" si="6">B9</f>
        <v>用途</v>
      </c>
      <c r="R9" s="1477" t="s">
        <v>8</v>
      </c>
      <c r="S9" s="1478">
        <f t="shared" si="0"/>
        <v>100</v>
      </c>
      <c r="T9" s="1477" t="s">
        <v>8</v>
      </c>
      <c r="U9" s="1478">
        <f t="shared" si="1"/>
        <v>100</v>
      </c>
      <c r="V9" s="1477" t="s">
        <v>8</v>
      </c>
      <c r="W9" s="1478">
        <f t="shared" si="2"/>
        <v>100</v>
      </c>
      <c r="X9" s="1479"/>
      <c r="Y9" s="3644"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703"/>
      <c r="Q10" s="1116" t="str">
        <f t="shared" si="6"/>
        <v>土地使用年限（年）</v>
      </c>
      <c r="R10" s="1477" t="s">
        <v>8</v>
      </c>
      <c r="S10" s="1478">
        <f t="shared" si="0"/>
        <v>100</v>
      </c>
      <c r="T10" s="1477" t="s">
        <v>8</v>
      </c>
      <c r="U10" s="1478">
        <f t="shared" si="1"/>
        <v>100</v>
      </c>
      <c r="V10" s="1477" t="s">
        <v>8</v>
      </c>
      <c r="W10" s="1478">
        <f t="shared" si="2"/>
        <v>100</v>
      </c>
      <c r="X10" s="1479"/>
      <c r="Y10" s="3644"/>
      <c r="Z10" s="1115" t="str">
        <f t="shared" si="7"/>
        <v>土地使用年限（年）</v>
      </c>
      <c r="AA10" s="1480">
        <f t="shared" si="3"/>
        <v>1</v>
      </c>
      <c r="AB10" s="1480">
        <f t="shared" si="4"/>
        <v>1</v>
      </c>
      <c r="AC10" s="1480">
        <f t="shared" si="5"/>
        <v>1</v>
      </c>
    </row>
    <row r="11" spans="1:29" ht="1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703"/>
      <c r="Q11" s="1116">
        <f t="shared" si="6"/>
        <v>111</v>
      </c>
      <c r="R11" s="1477" t="s">
        <v>8</v>
      </c>
      <c r="S11" s="1478">
        <f t="shared" si="0"/>
        <v>100</v>
      </c>
      <c r="T11" s="1477" t="s">
        <v>8</v>
      </c>
      <c r="U11" s="1478">
        <f t="shared" si="1"/>
        <v>100</v>
      </c>
      <c r="V11" s="1477" t="s">
        <v>8</v>
      </c>
      <c r="W11" s="1478">
        <f t="shared" si="2"/>
        <v>100</v>
      </c>
      <c r="X11" s="1479"/>
      <c r="Y11" s="3644"/>
      <c r="Z11" s="1115">
        <f t="shared" si="7"/>
        <v>111</v>
      </c>
      <c r="AA11" s="1480">
        <f t="shared" si="3"/>
        <v>1</v>
      </c>
      <c r="AB11" s="1480">
        <f t="shared" si="4"/>
        <v>1</v>
      </c>
      <c r="AC11" s="1480">
        <f t="shared" si="5"/>
        <v>1</v>
      </c>
    </row>
    <row r="12" spans="1:29" s="1185" customFormat="1" ht="1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703"/>
      <c r="Q12" s="1116">
        <f t="shared" si="6"/>
        <v>111</v>
      </c>
      <c r="R12" s="1477" t="s">
        <v>8</v>
      </c>
      <c r="S12" s="1478">
        <f t="shared" si="0"/>
        <v>100</v>
      </c>
      <c r="T12" s="1477" t="s">
        <v>8</v>
      </c>
      <c r="U12" s="1478">
        <f t="shared" si="1"/>
        <v>100</v>
      </c>
      <c r="V12" s="1477" t="s">
        <v>8</v>
      </c>
      <c r="W12" s="1478">
        <f t="shared" si="2"/>
        <v>100</v>
      </c>
      <c r="X12" s="1479"/>
      <c r="Y12" s="3644"/>
      <c r="Z12" s="1115">
        <f t="shared" si="7"/>
        <v>111</v>
      </c>
      <c r="AA12" s="1480">
        <f>D12/F12</f>
        <v>1</v>
      </c>
      <c r="AB12" s="1480">
        <f>D12/H12</f>
        <v>1</v>
      </c>
      <c r="AC12" s="1480">
        <f>D12/J12</f>
        <v>1</v>
      </c>
    </row>
    <row r="13" spans="1:29" ht="15.75"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703"/>
      <c r="Q13" s="1116">
        <f t="shared" si="6"/>
        <v>111</v>
      </c>
      <c r="R13" s="1477" t="s">
        <v>8</v>
      </c>
      <c r="S13" s="1478">
        <f t="shared" si="0"/>
        <v>100</v>
      </c>
      <c r="T13" s="1477" t="s">
        <v>8</v>
      </c>
      <c r="U13" s="1478">
        <f t="shared" si="1"/>
        <v>100</v>
      </c>
      <c r="V13" s="1477" t="s">
        <v>8</v>
      </c>
      <c r="W13" s="1478">
        <f t="shared" si="2"/>
        <v>100</v>
      </c>
      <c r="X13" s="1479"/>
      <c r="Y13" s="3644"/>
      <c r="Z13" s="1115">
        <f t="shared" si="7"/>
        <v>111</v>
      </c>
      <c r="AA13" s="1480">
        <f t="shared" si="3"/>
        <v>1</v>
      </c>
      <c r="AB13" s="1480">
        <f t="shared" si="4"/>
        <v>1</v>
      </c>
      <c r="AC13" s="1480">
        <f t="shared" si="5"/>
        <v>1</v>
      </c>
    </row>
    <row r="14" spans="1:29" ht="85.5">
      <c r="A14" s="2595"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705" t="s">
        <v>518</v>
      </c>
      <c r="Q14" s="1481" t="str">
        <f t="shared" si="6"/>
        <v>交通便捷度</v>
      </c>
      <c r="R14" s="1482" t="s">
        <v>8</v>
      </c>
      <c r="S14" s="1483">
        <f t="shared" si="0"/>
        <v>100</v>
      </c>
      <c r="T14" s="1482" t="s">
        <v>8</v>
      </c>
      <c r="U14" s="1483">
        <f t="shared" si="1"/>
        <v>100</v>
      </c>
      <c r="V14" s="1482" t="s">
        <v>8</v>
      </c>
      <c r="W14" s="1483">
        <f t="shared" si="2"/>
        <v>100</v>
      </c>
      <c r="X14" s="1476"/>
      <c r="Y14" s="3705" t="s">
        <v>518</v>
      </c>
      <c r="Z14" s="1484" t="str">
        <f t="shared" si="7"/>
        <v>交通便捷度</v>
      </c>
      <c r="AA14" s="1485">
        <f t="shared" si="3"/>
        <v>1</v>
      </c>
      <c r="AB14" s="1485">
        <f t="shared" si="4"/>
        <v>1</v>
      </c>
      <c r="AC14" s="1485">
        <f t="shared" si="5"/>
        <v>1</v>
      </c>
    </row>
    <row r="15" spans="1:29" ht="15">
      <c r="A15" s="508"/>
      <c r="B15" s="840"/>
      <c r="C15" s="552"/>
      <c r="D15" s="531"/>
      <c r="E15" s="552"/>
      <c r="F15" s="533"/>
      <c r="G15" s="552"/>
      <c r="H15" s="535"/>
      <c r="I15" s="552"/>
      <c r="J15" s="531"/>
      <c r="K15" s="870"/>
      <c r="L15" s="1995"/>
      <c r="M15" s="1987"/>
      <c r="N15" s="1987"/>
      <c r="O15" s="1994"/>
      <c r="P15" s="3706"/>
      <c r="Q15" s="1481"/>
      <c r="R15" s="1482"/>
      <c r="S15" s="1483"/>
      <c r="T15" s="1482"/>
      <c r="U15" s="1483"/>
      <c r="V15" s="1482"/>
      <c r="W15" s="1483"/>
      <c r="X15" s="1476"/>
      <c r="Y15" s="3706"/>
      <c r="Z15" s="1484"/>
      <c r="AA15" s="1485">
        <v>1</v>
      </c>
      <c r="AB15" s="1485">
        <v>1</v>
      </c>
      <c r="AC15" s="1485">
        <v>1</v>
      </c>
    </row>
    <row r="16" spans="1:29" ht="42.75">
      <c r="A16" s="508"/>
      <c r="B16" s="2415"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706"/>
      <c r="Q16" s="1481" t="str">
        <f>B16</f>
        <v>公共配套设施</v>
      </c>
      <c r="R16" s="1482" t="s">
        <v>8</v>
      </c>
      <c r="S16" s="1483">
        <f>F16</f>
        <v>100</v>
      </c>
      <c r="T16" s="1482" t="s">
        <v>8</v>
      </c>
      <c r="U16" s="1483">
        <f>H16</f>
        <v>100</v>
      </c>
      <c r="V16" s="1482" t="s">
        <v>8</v>
      </c>
      <c r="W16" s="1483">
        <f>J16</f>
        <v>100</v>
      </c>
      <c r="X16" s="1476"/>
      <c r="Y16" s="3706"/>
      <c r="Z16" s="1484" t="str">
        <f>Q16</f>
        <v>公共配套设施</v>
      </c>
      <c r="AA16" s="1485">
        <f t="shared" si="3"/>
        <v>1</v>
      </c>
      <c r="AB16" s="1485">
        <f t="shared" si="4"/>
        <v>1</v>
      </c>
      <c r="AC16" s="1485">
        <f t="shared" si="5"/>
        <v>1</v>
      </c>
    </row>
    <row r="17" spans="1:29" ht="15">
      <c r="A17" s="508"/>
      <c r="B17" s="542"/>
      <c r="C17" s="844"/>
      <c r="D17" s="531"/>
      <c r="E17" s="552"/>
      <c r="F17" s="533"/>
      <c r="G17" s="552"/>
      <c r="H17" s="531"/>
      <c r="I17" s="552"/>
      <c r="J17" s="531"/>
      <c r="K17" s="870"/>
      <c r="L17" s="1995"/>
      <c r="M17" s="1987"/>
      <c r="N17" s="1987"/>
      <c r="O17" s="1994"/>
      <c r="P17" s="3706"/>
      <c r="Q17" s="1481"/>
      <c r="R17" s="1482"/>
      <c r="S17" s="1483"/>
      <c r="T17" s="1482"/>
      <c r="U17" s="1483"/>
      <c r="V17" s="1482"/>
      <c r="W17" s="1483"/>
      <c r="X17" s="1476"/>
      <c r="Y17" s="3706"/>
      <c r="Z17" s="1484"/>
      <c r="AA17" s="1485">
        <v>1</v>
      </c>
      <c r="AB17" s="1485">
        <v>1</v>
      </c>
      <c r="AC17" s="1485">
        <v>1</v>
      </c>
    </row>
    <row r="18" spans="1:29" ht="28.5">
      <c r="A18" s="508"/>
      <c r="B18" s="2403"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706"/>
      <c r="Q18" s="2397" t="str">
        <f>B18</f>
        <v>基础设施水平</v>
      </c>
      <c r="R18" s="1482" t="s">
        <v>8</v>
      </c>
      <c r="S18" s="1483">
        <f>F18</f>
        <v>100</v>
      </c>
      <c r="T18" s="1482" t="s">
        <v>8</v>
      </c>
      <c r="U18" s="1483">
        <f>H18</f>
        <v>100</v>
      </c>
      <c r="V18" s="1482" t="s">
        <v>8</v>
      </c>
      <c r="W18" s="1483">
        <f>J18</f>
        <v>100</v>
      </c>
      <c r="X18" s="2399"/>
      <c r="Y18" s="3706"/>
      <c r="Z18" s="2398" t="str">
        <f>Q18</f>
        <v>基础设施水平</v>
      </c>
      <c r="AA18" s="1485">
        <f t="shared" ref="AA18" si="8">D18/F18</f>
        <v>1</v>
      </c>
      <c r="AB18" s="1485">
        <f t="shared" ref="AB18" si="9">D18/H18</f>
        <v>1</v>
      </c>
      <c r="AC18" s="1485">
        <f t="shared" ref="AC18" si="10">D18/J18</f>
        <v>1</v>
      </c>
    </row>
    <row r="19" spans="1:29" ht="15">
      <c r="A19" s="508"/>
      <c r="B19" s="554"/>
      <c r="C19" s="844"/>
      <c r="D19" s="535"/>
      <c r="E19" s="844"/>
      <c r="F19" s="539"/>
      <c r="G19" s="844"/>
      <c r="H19" s="531"/>
      <c r="I19" s="552"/>
      <c r="J19" s="531"/>
      <c r="K19" s="2414"/>
      <c r="L19" s="1995"/>
      <c r="M19" s="1987"/>
      <c r="N19" s="1987"/>
      <c r="O19" s="1994"/>
      <c r="P19" s="3706"/>
      <c r="Q19" s="2397"/>
      <c r="R19" s="1482"/>
      <c r="S19" s="1483"/>
      <c r="T19" s="1482"/>
      <c r="U19" s="1483"/>
      <c r="V19" s="1482"/>
      <c r="W19" s="1483"/>
      <c r="X19" s="2399"/>
      <c r="Y19" s="3706"/>
      <c r="Z19" s="2398"/>
      <c r="AA19" s="1485">
        <v>1</v>
      </c>
      <c r="AB19" s="1485">
        <v>1</v>
      </c>
      <c r="AC19" s="1485">
        <v>1</v>
      </c>
    </row>
    <row r="20" spans="1:29" ht="57">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706"/>
      <c r="Q20" s="1481" t="str">
        <f>B20</f>
        <v>自然及人文环境</v>
      </c>
      <c r="R20" s="1482" t="s">
        <v>8</v>
      </c>
      <c r="S20" s="1483">
        <f>F20</f>
        <v>100</v>
      </c>
      <c r="T20" s="1482" t="s">
        <v>8</v>
      </c>
      <c r="U20" s="1483">
        <f>H20</f>
        <v>100</v>
      </c>
      <c r="V20" s="1482" t="s">
        <v>8</v>
      </c>
      <c r="W20" s="1483">
        <f>J20</f>
        <v>100</v>
      </c>
      <c r="X20" s="1476"/>
      <c r="Y20" s="3706"/>
      <c r="Z20" s="1484" t="str">
        <f>Q20</f>
        <v>自然及人文环境</v>
      </c>
      <c r="AA20" s="1485">
        <f t="shared" si="3"/>
        <v>1</v>
      </c>
      <c r="AB20" s="1485">
        <f t="shared" si="4"/>
        <v>1</v>
      </c>
      <c r="AC20" s="1485">
        <f t="shared" si="5"/>
        <v>1</v>
      </c>
    </row>
    <row r="21" spans="1:29" ht="15">
      <c r="A21" s="508"/>
      <c r="B21" s="571"/>
      <c r="C21" s="552"/>
      <c r="D21" s="531"/>
      <c r="E21" s="552"/>
      <c r="F21" s="533"/>
      <c r="G21" s="552"/>
      <c r="H21" s="531"/>
      <c r="I21" s="552"/>
      <c r="J21" s="531"/>
      <c r="K21" s="870"/>
      <c r="L21" s="1995"/>
      <c r="M21" s="1987"/>
      <c r="N21" s="1987"/>
      <c r="O21" s="1994"/>
      <c r="P21" s="3706"/>
      <c r="Q21" s="1481"/>
      <c r="R21" s="1482"/>
      <c r="S21" s="1483"/>
      <c r="T21" s="1482"/>
      <c r="U21" s="1483"/>
      <c r="V21" s="1482"/>
      <c r="W21" s="1483"/>
      <c r="X21" s="1476"/>
      <c r="Y21" s="3706"/>
      <c r="Z21" s="1484"/>
      <c r="AA21" s="1485">
        <v>1</v>
      </c>
      <c r="AB21" s="1485">
        <v>1</v>
      </c>
      <c r="AC21" s="1485">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706"/>
      <c r="Q22" s="1481" t="str">
        <f>B22</f>
        <v>楼层</v>
      </c>
      <c r="R22" s="1482" t="s">
        <v>8</v>
      </c>
      <c r="S22" s="1483">
        <f>F22</f>
        <v>100</v>
      </c>
      <c r="T22" s="1482" t="s">
        <v>8</v>
      </c>
      <c r="U22" s="1483">
        <f>H22</f>
        <v>100</v>
      </c>
      <c r="V22" s="1482" t="s">
        <v>8</v>
      </c>
      <c r="W22" s="1483">
        <f>J22</f>
        <v>100</v>
      </c>
      <c r="X22" s="1476"/>
      <c r="Y22" s="3706"/>
      <c r="Z22" s="1484" t="str">
        <f>Q22</f>
        <v>楼层</v>
      </c>
      <c r="AA22" s="1485">
        <f t="shared" si="3"/>
        <v>1</v>
      </c>
      <c r="AB22" s="1485">
        <f t="shared" si="4"/>
        <v>1</v>
      </c>
      <c r="AC22" s="148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706"/>
      <c r="Q23" s="1481">
        <f>B23</f>
        <v>111</v>
      </c>
      <c r="R23" s="1482" t="s">
        <v>8</v>
      </c>
      <c r="S23" s="1483">
        <f>F23</f>
        <v>100</v>
      </c>
      <c r="T23" s="1482" t="s">
        <v>8</v>
      </c>
      <c r="U23" s="1483">
        <f>H23</f>
        <v>100</v>
      </c>
      <c r="V23" s="1482" t="s">
        <v>8</v>
      </c>
      <c r="W23" s="1483">
        <f>J23</f>
        <v>100</v>
      </c>
      <c r="X23" s="1476"/>
      <c r="Y23" s="3706"/>
      <c r="Z23" s="1484">
        <f>Q23</f>
        <v>111</v>
      </c>
      <c r="AA23" s="1485">
        <f t="shared" si="3"/>
        <v>1</v>
      </c>
      <c r="AB23" s="1485">
        <f t="shared" si="4"/>
        <v>1</v>
      </c>
      <c r="AC23" s="148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706"/>
      <c r="Q24" s="1481">
        <f t="shared" ref="Q24:Q34" si="11">B24</f>
        <v>111</v>
      </c>
      <c r="R24" s="1482" t="s">
        <v>8</v>
      </c>
      <c r="S24" s="1483">
        <f>F24</f>
        <v>100</v>
      </c>
      <c r="T24" s="1482" t="s">
        <v>8</v>
      </c>
      <c r="U24" s="1483">
        <f>H24</f>
        <v>100</v>
      </c>
      <c r="V24" s="1482" t="s">
        <v>8</v>
      </c>
      <c r="W24" s="1483">
        <f>J24</f>
        <v>100</v>
      </c>
      <c r="X24" s="1476"/>
      <c r="Y24" s="3706"/>
      <c r="Z24" s="1484">
        <f>Q24</f>
        <v>111</v>
      </c>
      <c r="AA24" s="1485">
        <f t="shared" si="3"/>
        <v>1</v>
      </c>
      <c r="AB24" s="1485">
        <f t="shared" si="4"/>
        <v>1</v>
      </c>
      <c r="AC24" s="1485">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706"/>
      <c r="Q25" s="1116">
        <f t="shared" si="11"/>
        <v>111</v>
      </c>
      <c r="R25" s="1477" t="s">
        <v>8</v>
      </c>
      <c r="S25" s="1478">
        <f>F25</f>
        <v>100</v>
      </c>
      <c r="T25" s="1477" t="s">
        <v>8</v>
      </c>
      <c r="U25" s="1478">
        <f>H25</f>
        <v>100</v>
      </c>
      <c r="V25" s="1477" t="s">
        <v>8</v>
      </c>
      <c r="W25" s="1478">
        <f>J25</f>
        <v>100</v>
      </c>
      <c r="X25" s="1479"/>
      <c r="Y25" s="3706"/>
      <c r="Z25" s="1115">
        <f>Q25</f>
        <v>111</v>
      </c>
      <c r="AA25" s="1485">
        <f>D25/F25</f>
        <v>1</v>
      </c>
      <c r="AB25" s="1485">
        <f>D25/H25</f>
        <v>1</v>
      </c>
      <c r="AC25" s="1485">
        <f>D25/J25</f>
        <v>1</v>
      </c>
    </row>
    <row r="26" spans="1:29" ht="15">
      <c r="A26" s="2592"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707" t="s">
        <v>799</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708" t="s">
        <v>799</v>
      </c>
      <c r="Z26" s="1484" t="str">
        <f t="shared" ref="Z26:Z34" si="15">Q26</f>
        <v>公共部分装修</v>
      </c>
      <c r="AA26" s="1485">
        <f t="shared" si="3"/>
        <v>1</v>
      </c>
      <c r="AB26" s="1485">
        <f t="shared" si="4"/>
        <v>1</v>
      </c>
      <c r="AC26" s="1485">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708"/>
      <c r="Q27" s="1510" t="str">
        <f t="shared" si="11"/>
        <v>成新率</v>
      </c>
      <c r="R27" s="1486" t="s">
        <v>8</v>
      </c>
      <c r="S27" s="1487" t="e">
        <f t="shared" si="12"/>
        <v>#N/A</v>
      </c>
      <c r="T27" s="1486" t="s">
        <v>8</v>
      </c>
      <c r="U27" s="1487" t="e">
        <f t="shared" si="13"/>
        <v>#N/A</v>
      </c>
      <c r="V27" s="1486" t="s">
        <v>8</v>
      </c>
      <c r="W27" s="1487" t="e">
        <f t="shared" si="14"/>
        <v>#N/A</v>
      </c>
      <c r="X27" s="1488"/>
      <c r="Y27" s="3708"/>
      <c r="Z27" s="1489" t="str">
        <f t="shared" si="15"/>
        <v>成新率</v>
      </c>
      <c r="AA27" s="1485" t="e">
        <f t="shared" si="3"/>
        <v>#N/A</v>
      </c>
      <c r="AB27" s="1485" t="e">
        <f t="shared" si="4"/>
        <v>#N/A</v>
      </c>
      <c r="AC27" s="1485"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708"/>
      <c r="Q28" s="1481" t="str">
        <f t="shared" si="11"/>
        <v>物业等级</v>
      </c>
      <c r="R28" s="1482" t="s">
        <v>8</v>
      </c>
      <c r="S28" s="1483">
        <f t="shared" si="12"/>
        <v>100</v>
      </c>
      <c r="T28" s="1482" t="s">
        <v>8</v>
      </c>
      <c r="U28" s="1483">
        <f t="shared" si="13"/>
        <v>100</v>
      </c>
      <c r="V28" s="1482" t="s">
        <v>8</v>
      </c>
      <c r="W28" s="1483">
        <f t="shared" si="14"/>
        <v>100</v>
      </c>
      <c r="X28" s="1476"/>
      <c r="Y28" s="3708"/>
      <c r="Z28" s="1484" t="str">
        <f t="shared" si="15"/>
        <v>物业等级</v>
      </c>
      <c r="AA28" s="1485">
        <f t="shared" si="3"/>
        <v>1</v>
      </c>
      <c r="AB28" s="1485">
        <f t="shared" si="4"/>
        <v>1</v>
      </c>
      <c r="AC28" s="1485">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708"/>
      <c r="Q29" s="1481" t="str">
        <f t="shared" si="11"/>
        <v>有无电梯</v>
      </c>
      <c r="R29" s="1482" t="s">
        <v>8</v>
      </c>
      <c r="S29" s="1483">
        <f t="shared" si="12"/>
        <v>100</v>
      </c>
      <c r="T29" s="1482" t="s">
        <v>8</v>
      </c>
      <c r="U29" s="1483">
        <f t="shared" si="13"/>
        <v>100</v>
      </c>
      <c r="V29" s="1482" t="s">
        <v>8</v>
      </c>
      <c r="W29" s="1483">
        <f t="shared" si="14"/>
        <v>100</v>
      </c>
      <c r="X29" s="1476"/>
      <c r="Y29" s="3708"/>
      <c r="Z29" s="1484" t="str">
        <f t="shared" si="15"/>
        <v>有无电梯</v>
      </c>
      <c r="AA29" s="1485">
        <f t="shared" si="3"/>
        <v>1</v>
      </c>
      <c r="AB29" s="1485">
        <f t="shared" si="4"/>
        <v>1</v>
      </c>
      <c r="AC29" s="1485">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708"/>
      <c r="Q30" s="1481" t="str">
        <f t="shared" si="11"/>
        <v>建筑面积</v>
      </c>
      <c r="R30" s="1482" t="s">
        <v>8</v>
      </c>
      <c r="S30" s="1483" t="e">
        <f t="shared" si="12"/>
        <v>#N/A</v>
      </c>
      <c r="T30" s="1482" t="s">
        <v>8</v>
      </c>
      <c r="U30" s="1483" t="e">
        <f t="shared" si="13"/>
        <v>#N/A</v>
      </c>
      <c r="V30" s="1482" t="s">
        <v>8</v>
      </c>
      <c r="W30" s="1483" t="e">
        <f t="shared" si="14"/>
        <v>#N/A</v>
      </c>
      <c r="X30" s="1476"/>
      <c r="Y30" s="3708"/>
      <c r="Z30" s="1484" t="str">
        <f t="shared" si="15"/>
        <v>建筑面积</v>
      </c>
      <c r="AA30" s="1485" t="e">
        <f t="shared" si="3"/>
        <v>#N/A</v>
      </c>
      <c r="AB30" s="1485" t="e">
        <f t="shared" si="4"/>
        <v>#N/A</v>
      </c>
      <c r="AC30" s="1485"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708"/>
      <c r="Q31" s="1116" t="str">
        <f t="shared" si="11"/>
        <v>是否封闭</v>
      </c>
      <c r="R31" s="1477" t="s">
        <v>8</v>
      </c>
      <c r="S31" s="1478">
        <f t="shared" si="12"/>
        <v>100</v>
      </c>
      <c r="T31" s="1477" t="s">
        <v>8</v>
      </c>
      <c r="U31" s="1478">
        <f t="shared" si="13"/>
        <v>100</v>
      </c>
      <c r="V31" s="1477" t="s">
        <v>8</v>
      </c>
      <c r="W31" s="1478">
        <f t="shared" si="14"/>
        <v>100</v>
      </c>
      <c r="X31" s="1479"/>
      <c r="Y31" s="3708"/>
      <c r="Z31" s="1115" t="str">
        <f t="shared" si="15"/>
        <v>是否封闭</v>
      </c>
      <c r="AA31" s="1480">
        <f t="shared" si="3"/>
        <v>1</v>
      </c>
      <c r="AB31" s="1480">
        <f t="shared" si="4"/>
        <v>1</v>
      </c>
      <c r="AC31" s="148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708" t="s">
        <v>528</v>
      </c>
      <c r="Q32" s="1481">
        <f t="shared" si="11"/>
        <v>111</v>
      </c>
      <c r="R32" s="1482" t="s">
        <v>8</v>
      </c>
      <c r="S32" s="1483">
        <f t="shared" si="12"/>
        <v>100</v>
      </c>
      <c r="T32" s="1482" t="s">
        <v>8</v>
      </c>
      <c r="U32" s="1483">
        <f t="shared" si="13"/>
        <v>100</v>
      </c>
      <c r="V32" s="1482" t="s">
        <v>8</v>
      </c>
      <c r="W32" s="1483">
        <f t="shared" si="14"/>
        <v>100</v>
      </c>
      <c r="X32" s="1476"/>
      <c r="Y32" s="3708" t="s">
        <v>528</v>
      </c>
      <c r="Z32" s="1484">
        <f t="shared" si="15"/>
        <v>111</v>
      </c>
      <c r="AA32" s="1485">
        <f t="shared" si="3"/>
        <v>1</v>
      </c>
      <c r="AB32" s="1485">
        <f t="shared" si="4"/>
        <v>1</v>
      </c>
      <c r="AC32" s="148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708"/>
      <c r="Q33" s="1481">
        <f t="shared" si="11"/>
        <v>111</v>
      </c>
      <c r="R33" s="1482" t="s">
        <v>8</v>
      </c>
      <c r="S33" s="1483">
        <f t="shared" si="12"/>
        <v>100</v>
      </c>
      <c r="T33" s="1482" t="s">
        <v>8</v>
      </c>
      <c r="U33" s="1483">
        <f t="shared" si="13"/>
        <v>100</v>
      </c>
      <c r="V33" s="1482" t="s">
        <v>8</v>
      </c>
      <c r="W33" s="1483">
        <f t="shared" si="14"/>
        <v>100</v>
      </c>
      <c r="X33" s="1476"/>
      <c r="Y33" s="3708"/>
      <c r="Z33" s="1484">
        <f t="shared" si="15"/>
        <v>111</v>
      </c>
      <c r="AA33" s="1485">
        <f t="shared" si="3"/>
        <v>1</v>
      </c>
      <c r="AB33" s="1485">
        <f t="shared" si="4"/>
        <v>1</v>
      </c>
      <c r="AC33" s="148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708"/>
      <c r="Q34" s="1481">
        <f t="shared" si="11"/>
        <v>111</v>
      </c>
      <c r="R34" s="1482" t="s">
        <v>8</v>
      </c>
      <c r="S34" s="1483">
        <f t="shared" si="12"/>
        <v>100</v>
      </c>
      <c r="T34" s="1482" t="s">
        <v>8</v>
      </c>
      <c r="U34" s="1483">
        <f t="shared" si="13"/>
        <v>100</v>
      </c>
      <c r="V34" s="1482" t="s">
        <v>8</v>
      </c>
      <c r="W34" s="1483">
        <f t="shared" si="14"/>
        <v>100</v>
      </c>
      <c r="X34" s="1476"/>
      <c r="Y34" s="3708"/>
      <c r="Z34" s="1484">
        <f t="shared" si="15"/>
        <v>111</v>
      </c>
      <c r="AA34" s="1485">
        <f t="shared" si="3"/>
        <v>1</v>
      </c>
      <c r="AB34" s="1485">
        <f t="shared" si="4"/>
        <v>1</v>
      </c>
      <c r="AC34" s="1485">
        <f t="shared" si="5"/>
        <v>1</v>
      </c>
    </row>
    <row r="35" spans="1:29" ht="15">
      <c r="A35" s="583" t="s">
        <v>714</v>
      </c>
      <c r="B35" s="858"/>
      <c r="C35" s="2438" t="s">
        <v>1</v>
      </c>
      <c r="D35" s="2439"/>
      <c r="E35" s="2440"/>
      <c r="F35" s="2441"/>
      <c r="G35" s="2442"/>
      <c r="H35" s="2443"/>
      <c r="I35" s="2440"/>
      <c r="J35" s="2443"/>
      <c r="K35" s="1515"/>
      <c r="L35" s="1997"/>
      <c r="M35" s="1998"/>
      <c r="N35" s="1987"/>
      <c r="O35" s="1998"/>
      <c r="P35" s="3703" t="str">
        <f>A35</f>
        <v>成交单价（元/平方米）</v>
      </c>
      <c r="Q35" s="3703"/>
      <c r="R35" s="3845">
        <f>E35</f>
        <v>0</v>
      </c>
      <c r="S35" s="3845"/>
      <c r="T35" s="3845">
        <f>G35</f>
        <v>0</v>
      </c>
      <c r="U35" s="3845"/>
      <c r="V35" s="3845">
        <f>I35</f>
        <v>0</v>
      </c>
      <c r="W35" s="3845"/>
      <c r="X35" s="1471"/>
      <c r="Y35" s="1490"/>
      <c r="Z35" s="1471"/>
      <c r="AA35" s="1471"/>
      <c r="AB35" s="1471"/>
      <c r="AC35" s="1471"/>
    </row>
    <row r="36" spans="1:29" ht="15.75" thickBot="1">
      <c r="A36" s="591" t="s">
        <v>2713</v>
      </c>
      <c r="B36" s="859"/>
      <c r="C36" s="2444" t="e">
        <f>R37</f>
        <v>#DIV/0!</v>
      </c>
      <c r="D36" s="2980" t="s">
        <v>2938</v>
      </c>
      <c r="E36" s="2445" t="e">
        <f>R36</f>
        <v>#DIV/0!</v>
      </c>
      <c r="F36" s="2981"/>
      <c r="G36" s="2444" t="e">
        <f>T36</f>
        <v>#DIV/0!</v>
      </c>
      <c r="H36" s="2981"/>
      <c r="I36" s="2445" t="e">
        <f>V36</f>
        <v>#DIV/0!</v>
      </c>
      <c r="J36" s="2981"/>
      <c r="K36" s="2989">
        <f>F36+H36+J36</f>
        <v>0</v>
      </c>
      <c r="L36" s="1997"/>
      <c r="M36" s="1998"/>
      <c r="N36" s="1987"/>
      <c r="O36" s="1998"/>
      <c r="P36" s="3703" t="str">
        <f>A36</f>
        <v>比较价格（元/平方米）</v>
      </c>
      <c r="Q36" s="3703"/>
      <c r="R36" s="3845" t="e">
        <f>IF(F1="售价",ROUND(PRODUCT(R35,AA7:AA34),0),ROUND(PRODUCT(R35,AA7:AA34),1))</f>
        <v>#DIV/0!</v>
      </c>
      <c r="S36" s="3845"/>
      <c r="T36" s="3845" t="e">
        <f>IF(F1="售价",ROUND(PRODUCT(T35,AB7:AB34),0),ROUND(PRODUCT(T35,AB7:AB34),1))</f>
        <v>#DIV/0!</v>
      </c>
      <c r="U36" s="3845"/>
      <c r="V36" s="3845" t="e">
        <f>IF(F1="售价",ROUND(PRODUCT(V35,AC7:AC34),0),ROUND(PRODUCT(V35,AC7:AC34),1))</f>
        <v>#DIV/0!</v>
      </c>
      <c r="W36" s="3845"/>
      <c r="X36" s="1471"/>
      <c r="Y36" s="1471"/>
      <c r="Z36" s="1471"/>
      <c r="AA36" s="1471"/>
      <c r="AB36" s="1471"/>
      <c r="AC36" s="1471"/>
    </row>
    <row r="37" spans="1:29" ht="15.75" thickBot="1">
      <c r="A37" s="595" t="s">
        <v>2873</v>
      </c>
      <c r="B37" s="596"/>
      <c r="C37" s="2446" t="e">
        <f>R37</f>
        <v>#DIV/0!</v>
      </c>
      <c r="D37" s="2446"/>
      <c r="E37" s="2446"/>
      <c r="F37" s="2446"/>
      <c r="G37" s="2446"/>
      <c r="H37" s="2446"/>
      <c r="I37" s="2446"/>
      <c r="J37" s="2446"/>
      <c r="K37" s="1516"/>
      <c r="L37" s="1997"/>
      <c r="M37" s="1998"/>
      <c r="N37" s="1998"/>
      <c r="O37" s="1998"/>
      <c r="P37" s="3724" t="str">
        <f>A37</f>
        <v>估价对象XX用房的比较价格（楼面单价，元/平方米）</v>
      </c>
      <c r="Q37" s="3725"/>
      <c r="R37" s="3844" t="e">
        <f>IF(F1="售价",ROUND(IF(D36="简单平均",AVERAGE(R36:W36),R36*F36+T36*H36+V36*J36),0),ROUND(IF(D36="简单平均",AVERAGE(R36:V36),R36*F36+T36*H36+V36*J36),1))</f>
        <v>#DIV/0!</v>
      </c>
      <c r="S37" s="3844"/>
      <c r="T37" s="3844"/>
      <c r="U37" s="3844"/>
      <c r="V37" s="3844"/>
      <c r="W37" s="3844"/>
      <c r="X37" s="1471"/>
      <c r="Y37" s="1471"/>
      <c r="Z37" s="1471"/>
      <c r="AA37" s="1471"/>
      <c r="AB37" s="1471"/>
      <c r="AC37" s="1471"/>
    </row>
    <row r="38" spans="1:29">
      <c r="A38" s="3179"/>
      <c r="B38" s="3179"/>
      <c r="C38" s="3179"/>
      <c r="D38" s="3179"/>
      <c r="E38" s="3179"/>
      <c r="F38" s="3179"/>
      <c r="G38" s="3181"/>
      <c r="H38" s="3179"/>
      <c r="I38" s="3179"/>
      <c r="J38" s="3179"/>
      <c r="K38" s="3182"/>
      <c r="L38" s="2002"/>
      <c r="M38" s="1998"/>
      <c r="N38" s="1998"/>
      <c r="O38" s="1998"/>
      <c r="P38" s="1998"/>
      <c r="Q38" s="1998"/>
      <c r="R38" s="1998"/>
      <c r="S38" s="1998"/>
      <c r="T38" s="1998"/>
      <c r="U38" s="1998"/>
      <c r="V38" s="1998"/>
      <c r="W38" s="1998"/>
      <c r="X38" s="1998"/>
      <c r="Y38" s="1998"/>
      <c r="Z38" s="1998"/>
      <c r="AA38" s="1998"/>
      <c r="AB38" s="1998"/>
      <c r="AC38" s="1998"/>
    </row>
    <row r="39" spans="1:29">
      <c r="A39" s="3179"/>
      <c r="B39" s="3179"/>
      <c r="C39" s="3179"/>
      <c r="D39" s="3179"/>
      <c r="E39" s="3179"/>
      <c r="F39" s="3179"/>
      <c r="G39" s="3179"/>
      <c r="H39" s="3179"/>
      <c r="I39" s="3179"/>
      <c r="J39" s="3179"/>
      <c r="K39" s="3182"/>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9"/>
      <c r="B40" s="317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82"/>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9"/>
      <c r="B41" s="317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82"/>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80"/>
      <c r="B42" s="318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3"/>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ht="15">
      <c r="A46" s="619" t="s">
        <v>507</v>
      </c>
      <c r="B46" s="620"/>
      <c r="C46" s="2487" t="str">
        <f>YEAR(C7)&amp;"-"&amp;MONTH(C7)</f>
        <v>2022-3</v>
      </c>
      <c r="D46" s="2489">
        <f>EDATE(C46,-1)</f>
        <v>44593</v>
      </c>
      <c r="E46" s="2489">
        <f t="shared" ref="E46:O46" si="16">EDATE(D46,-1)</f>
        <v>44562</v>
      </c>
      <c r="F46" s="2489">
        <f t="shared" si="16"/>
        <v>44531</v>
      </c>
      <c r="G46" s="2489">
        <f t="shared" si="16"/>
        <v>44501</v>
      </c>
      <c r="H46" s="2489">
        <f t="shared" si="16"/>
        <v>44470</v>
      </c>
      <c r="I46" s="2489">
        <f t="shared" si="16"/>
        <v>44440</v>
      </c>
      <c r="J46" s="2489">
        <f t="shared" si="16"/>
        <v>44409</v>
      </c>
      <c r="K46" s="2489">
        <f t="shared" si="16"/>
        <v>44378</v>
      </c>
      <c r="L46" s="2489">
        <f t="shared" si="16"/>
        <v>44348</v>
      </c>
      <c r="M46" s="2489">
        <f t="shared" si="16"/>
        <v>44317</v>
      </c>
      <c r="N46" s="2489">
        <f t="shared" si="16"/>
        <v>44287</v>
      </c>
      <c r="O46" s="2489">
        <f t="shared" si="16"/>
        <v>44256</v>
      </c>
      <c r="P46" s="2012"/>
      <c r="Q46" s="2013"/>
      <c r="R46" s="2013"/>
      <c r="S46" s="2013"/>
      <c r="T46" s="2013"/>
      <c r="U46" s="2013"/>
      <c r="V46" s="2013"/>
      <c r="W46" s="2013"/>
      <c r="X46" s="2013"/>
      <c r="Y46" s="2013"/>
      <c r="Z46" s="2013"/>
      <c r="AA46" s="2013"/>
      <c r="AB46" s="2013"/>
      <c r="AC46" s="2013"/>
    </row>
    <row r="47" spans="1:29" s="1185" customFormat="1" ht="15">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5.7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ht="15">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5.7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5.7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5.7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5.7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5.75" thickTop="1">
      <c r="A63" s="643"/>
      <c r="B63" s="1783" t="s">
        <v>2511</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2409" t="s">
        <v>2512</v>
      </c>
      <c r="C65" s="2410" t="s">
        <v>2513</v>
      </c>
      <c r="D65" s="2410" t="s">
        <v>2514</v>
      </c>
      <c r="E65" s="2410" t="s">
        <v>2515</v>
      </c>
      <c r="F65" s="2410" t="s">
        <v>2516</v>
      </c>
      <c r="G65" s="2410" t="s">
        <v>2517</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5.7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5.7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5.7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5.7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ht="15">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5.7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5.7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5.7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37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2268</v>
      </c>
      <c r="C1" s="3854" t="s">
        <v>2269</v>
      </c>
      <c r="D1" s="3855"/>
      <c r="E1" s="3855"/>
      <c r="F1" s="3855"/>
      <c r="G1" s="3855"/>
      <c r="H1" s="3855"/>
      <c r="I1" s="3855"/>
      <c r="J1" s="3855"/>
      <c r="K1" s="3855"/>
      <c r="L1" s="3855"/>
      <c r="M1" s="3855"/>
      <c r="N1" s="3855"/>
      <c r="O1" s="3855"/>
      <c r="P1" s="3855"/>
      <c r="Q1" s="3855"/>
      <c r="R1" s="3855"/>
      <c r="S1" s="3856"/>
      <c r="T1" s="2085" t="s">
        <v>2270</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c r="A2" s="2086"/>
      <c r="B2" s="2826"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c r="A5" s="2102"/>
      <c r="B5" s="2743" t="s">
        <v>2866</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c r="A7" s="2102"/>
      <c r="B7" s="2745" t="s">
        <v>2865</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c r="A9" s="2102"/>
      <c r="B9" s="2745" t="s">
        <v>2864</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c r="A11" s="2102"/>
      <c r="B11" s="2743" t="s">
        <v>2877</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c r="A13" s="2102"/>
      <c r="B13" s="2743" t="s">
        <v>2863</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c r="A15" s="2102"/>
      <c r="B15" s="2743" t="s">
        <v>2862</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c r="A17" s="2128" t="s">
        <v>2272</v>
      </c>
      <c r="B17" s="2129" t="s">
        <v>2273</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7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7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c r="A22" s="771" t="s">
        <v>807</v>
      </c>
      <c r="B22" s="53">
        <f>SUM(B24:B10000)</f>
        <v>0</v>
      </c>
      <c r="C22" s="3851" t="s">
        <v>20</v>
      </c>
      <c r="D22" s="3852"/>
      <c r="E22" s="3852"/>
      <c r="F22" s="3852"/>
      <c r="G22" s="3852"/>
      <c r="H22" s="3852"/>
      <c r="I22" s="3852"/>
      <c r="J22" s="3852"/>
      <c r="K22" s="3852"/>
      <c r="L22" s="3852"/>
      <c r="M22" s="3852"/>
      <c r="N22" s="3852"/>
      <c r="O22" s="3852"/>
      <c r="P22" s="3852"/>
      <c r="Q22" s="3853"/>
      <c r="R22" s="474" t="e">
        <f>ROUND(S22*10000/B22,0)</f>
        <v>#DIV/0!</v>
      </c>
      <c r="S22" s="53">
        <f>SUM(S24:S10000)</f>
        <v>0</v>
      </c>
    </row>
    <row r="23" spans="1:45" s="1517" customFormat="1" ht="24">
      <c r="A23" s="17" t="s">
        <v>808</v>
      </c>
      <c r="B23" s="2827"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c r="A24" s="931" t="s">
        <v>812</v>
      </c>
      <c r="B24" s="931"/>
      <c r="C24" s="3243">
        <v>1</v>
      </c>
      <c r="D24" s="3244"/>
      <c r="E24" s="3243">
        <v>1</v>
      </c>
      <c r="F24" s="3244"/>
      <c r="G24" s="3243">
        <v>1</v>
      </c>
      <c r="H24" s="3244"/>
      <c r="I24" s="3243">
        <v>1</v>
      </c>
      <c r="J24" s="3244"/>
      <c r="K24" s="3243">
        <v>1</v>
      </c>
      <c r="L24" s="3244"/>
      <c r="M24" s="3243">
        <v>1</v>
      </c>
      <c r="N24" s="3244"/>
      <c r="O24" s="3243">
        <v>1</v>
      </c>
      <c r="P24" s="3244"/>
      <c r="Q24" s="3243">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26" customWidth="1"/>
    <col min="2" max="2" width="13.25" style="2632" customWidth="1"/>
    <col min="3" max="3" width="15.625" style="2632" customWidth="1"/>
    <col min="4" max="4" width="9.375" style="2632" bestFit="1" customWidth="1"/>
    <col min="5" max="5" width="13.375" style="2632" customWidth="1"/>
    <col min="6" max="6" width="9" style="2632"/>
    <col min="7" max="7" width="9.375" style="2632" bestFit="1" customWidth="1"/>
    <col min="8" max="9" width="9" style="2632"/>
    <col min="10" max="10" width="9.375" style="2632" bestFit="1" customWidth="1"/>
    <col min="11" max="11" width="4" style="2626" customWidth="1"/>
    <col min="12" max="12" width="5.125" style="2632" customWidth="1"/>
    <col min="13" max="13" width="13.75" style="2632" customWidth="1"/>
    <col min="14" max="256" width="9" style="2632"/>
    <col min="257" max="257" width="4.875" style="2624" customWidth="1"/>
    <col min="258" max="258" width="13.25" style="2624" customWidth="1"/>
    <col min="259" max="259" width="15.625" style="2624" customWidth="1"/>
    <col min="260" max="260" width="9.375" style="2624" bestFit="1" customWidth="1"/>
    <col min="261" max="261" width="13.375" style="2624" customWidth="1"/>
    <col min="262" max="262" width="9" style="2624"/>
    <col min="263" max="263" width="9.375" style="2624" bestFit="1" customWidth="1"/>
    <col min="264" max="265" width="9" style="2624"/>
    <col min="266" max="266" width="9.375" style="2624" bestFit="1" customWidth="1"/>
    <col min="267" max="267" width="4" style="2624" customWidth="1"/>
    <col min="268" max="268" width="5.125" style="2624" customWidth="1"/>
    <col min="269" max="269" width="13.75" style="2624" customWidth="1"/>
    <col min="270" max="512" width="9" style="2624"/>
    <col min="513" max="513" width="4.875" style="2624" customWidth="1"/>
    <col min="514" max="514" width="13.25" style="2624" customWidth="1"/>
    <col min="515" max="515" width="15.625" style="2624" customWidth="1"/>
    <col min="516" max="516" width="9.375" style="2624" bestFit="1" customWidth="1"/>
    <col min="517" max="517" width="13.375" style="2624" customWidth="1"/>
    <col min="518" max="518" width="9" style="2624"/>
    <col min="519" max="519" width="9.375" style="2624" bestFit="1" customWidth="1"/>
    <col min="520" max="521" width="9" style="2624"/>
    <col min="522" max="522" width="9.375" style="2624" bestFit="1" customWidth="1"/>
    <col min="523" max="523" width="4" style="2624" customWidth="1"/>
    <col min="524" max="524" width="5.125" style="2624" customWidth="1"/>
    <col min="525" max="525" width="13.75" style="2624" customWidth="1"/>
    <col min="526" max="768" width="9" style="2624"/>
    <col min="769" max="769" width="4.875" style="2624" customWidth="1"/>
    <col min="770" max="770" width="13.25" style="2624" customWidth="1"/>
    <col min="771" max="771" width="15.625" style="2624" customWidth="1"/>
    <col min="772" max="772" width="9.375" style="2624" bestFit="1" customWidth="1"/>
    <col min="773" max="773" width="13.375" style="2624" customWidth="1"/>
    <col min="774" max="774" width="9" style="2624"/>
    <col min="775" max="775" width="9.375" style="2624" bestFit="1" customWidth="1"/>
    <col min="776" max="777" width="9" style="2624"/>
    <col min="778" max="778" width="9.375" style="2624" bestFit="1" customWidth="1"/>
    <col min="779" max="779" width="4" style="2624" customWidth="1"/>
    <col min="780" max="780" width="5.125" style="2624" customWidth="1"/>
    <col min="781" max="781" width="13.75" style="2624" customWidth="1"/>
    <col min="782" max="1024" width="9" style="2624"/>
    <col min="1025" max="1025" width="4.875" style="2624" customWidth="1"/>
    <col min="1026" max="1026" width="13.25" style="2624" customWidth="1"/>
    <col min="1027" max="1027" width="15.625" style="2624" customWidth="1"/>
    <col min="1028" max="1028" width="9.375" style="2624" bestFit="1" customWidth="1"/>
    <col min="1029" max="1029" width="13.375" style="2624" customWidth="1"/>
    <col min="1030" max="1030" width="9" style="2624"/>
    <col min="1031" max="1031" width="9.375" style="2624" bestFit="1" customWidth="1"/>
    <col min="1032" max="1033" width="9" style="2624"/>
    <col min="1034" max="1034" width="9.375" style="2624" bestFit="1" customWidth="1"/>
    <col min="1035" max="1035" width="4" style="2624" customWidth="1"/>
    <col min="1036" max="1036" width="5.125" style="2624" customWidth="1"/>
    <col min="1037" max="1037" width="13.75" style="2624" customWidth="1"/>
    <col min="1038" max="1280" width="9" style="2624"/>
    <col min="1281" max="1281" width="4.875" style="2624" customWidth="1"/>
    <col min="1282" max="1282" width="13.25" style="2624" customWidth="1"/>
    <col min="1283" max="1283" width="15.625" style="2624" customWidth="1"/>
    <col min="1284" max="1284" width="9.375" style="2624" bestFit="1" customWidth="1"/>
    <col min="1285" max="1285" width="13.375" style="2624" customWidth="1"/>
    <col min="1286" max="1286" width="9" style="2624"/>
    <col min="1287" max="1287" width="9.375" style="2624" bestFit="1" customWidth="1"/>
    <col min="1288" max="1289" width="9" style="2624"/>
    <col min="1290" max="1290" width="9.375" style="2624" bestFit="1" customWidth="1"/>
    <col min="1291" max="1291" width="4" style="2624" customWidth="1"/>
    <col min="1292" max="1292" width="5.125" style="2624" customWidth="1"/>
    <col min="1293" max="1293" width="13.75" style="2624" customWidth="1"/>
    <col min="1294" max="1536" width="9" style="2624"/>
    <col min="1537" max="1537" width="4.875" style="2624" customWidth="1"/>
    <col min="1538" max="1538" width="13.25" style="2624" customWidth="1"/>
    <col min="1539" max="1539" width="15.625" style="2624" customWidth="1"/>
    <col min="1540" max="1540" width="9.375" style="2624" bestFit="1" customWidth="1"/>
    <col min="1541" max="1541" width="13.375" style="2624" customWidth="1"/>
    <col min="1542" max="1542" width="9" style="2624"/>
    <col min="1543" max="1543" width="9.375" style="2624" bestFit="1" customWidth="1"/>
    <col min="1544" max="1545" width="9" style="2624"/>
    <col min="1546" max="1546" width="9.375" style="2624" bestFit="1" customWidth="1"/>
    <col min="1547" max="1547" width="4" style="2624" customWidth="1"/>
    <col min="1548" max="1548" width="5.125" style="2624" customWidth="1"/>
    <col min="1549" max="1549" width="13.75" style="2624" customWidth="1"/>
    <col min="1550" max="1792" width="9" style="2624"/>
    <col min="1793" max="1793" width="4.875" style="2624" customWidth="1"/>
    <col min="1794" max="1794" width="13.25" style="2624" customWidth="1"/>
    <col min="1795" max="1795" width="15.625" style="2624" customWidth="1"/>
    <col min="1796" max="1796" width="9.375" style="2624" bestFit="1" customWidth="1"/>
    <col min="1797" max="1797" width="13.375" style="2624" customWidth="1"/>
    <col min="1798" max="1798" width="9" style="2624"/>
    <col min="1799" max="1799" width="9.375" style="2624" bestFit="1" customWidth="1"/>
    <col min="1800" max="1801" width="9" style="2624"/>
    <col min="1802" max="1802" width="9.375" style="2624" bestFit="1" customWidth="1"/>
    <col min="1803" max="1803" width="4" style="2624" customWidth="1"/>
    <col min="1804" max="1804" width="5.125" style="2624" customWidth="1"/>
    <col min="1805" max="1805" width="13.75" style="2624" customWidth="1"/>
    <col min="1806" max="2048" width="9" style="2624"/>
    <col min="2049" max="2049" width="4.875" style="2624" customWidth="1"/>
    <col min="2050" max="2050" width="13.25" style="2624" customWidth="1"/>
    <col min="2051" max="2051" width="15.625" style="2624" customWidth="1"/>
    <col min="2052" max="2052" width="9.375" style="2624" bestFit="1" customWidth="1"/>
    <col min="2053" max="2053" width="13.375" style="2624" customWidth="1"/>
    <col min="2054" max="2054" width="9" style="2624"/>
    <col min="2055" max="2055" width="9.375" style="2624" bestFit="1" customWidth="1"/>
    <col min="2056" max="2057" width="9" style="2624"/>
    <col min="2058" max="2058" width="9.375" style="2624" bestFit="1" customWidth="1"/>
    <col min="2059" max="2059" width="4" style="2624" customWidth="1"/>
    <col min="2060" max="2060" width="5.125" style="2624" customWidth="1"/>
    <col min="2061" max="2061" width="13.75" style="2624" customWidth="1"/>
    <col min="2062" max="2304" width="9" style="2624"/>
    <col min="2305" max="2305" width="4.875" style="2624" customWidth="1"/>
    <col min="2306" max="2306" width="13.25" style="2624" customWidth="1"/>
    <col min="2307" max="2307" width="15.625" style="2624" customWidth="1"/>
    <col min="2308" max="2308" width="9.375" style="2624" bestFit="1" customWidth="1"/>
    <col min="2309" max="2309" width="13.375" style="2624" customWidth="1"/>
    <col min="2310" max="2310" width="9" style="2624"/>
    <col min="2311" max="2311" width="9.375" style="2624" bestFit="1" customWidth="1"/>
    <col min="2312" max="2313" width="9" style="2624"/>
    <col min="2314" max="2314" width="9.375" style="2624" bestFit="1" customWidth="1"/>
    <col min="2315" max="2315" width="4" style="2624" customWidth="1"/>
    <col min="2316" max="2316" width="5.125" style="2624" customWidth="1"/>
    <col min="2317" max="2317" width="13.75" style="2624" customWidth="1"/>
    <col min="2318" max="2560" width="9" style="2624"/>
    <col min="2561" max="2561" width="4.875" style="2624" customWidth="1"/>
    <col min="2562" max="2562" width="13.25" style="2624" customWidth="1"/>
    <col min="2563" max="2563" width="15.625" style="2624" customWidth="1"/>
    <col min="2564" max="2564" width="9.375" style="2624" bestFit="1" customWidth="1"/>
    <col min="2565" max="2565" width="13.375" style="2624" customWidth="1"/>
    <col min="2566" max="2566" width="9" style="2624"/>
    <col min="2567" max="2567" width="9.375" style="2624" bestFit="1" customWidth="1"/>
    <col min="2568" max="2569" width="9" style="2624"/>
    <col min="2570" max="2570" width="9.375" style="2624" bestFit="1" customWidth="1"/>
    <col min="2571" max="2571" width="4" style="2624" customWidth="1"/>
    <col min="2572" max="2572" width="5.125" style="2624" customWidth="1"/>
    <col min="2573" max="2573" width="13.75" style="2624" customWidth="1"/>
    <col min="2574" max="2816" width="9" style="2624"/>
    <col min="2817" max="2817" width="4.875" style="2624" customWidth="1"/>
    <col min="2818" max="2818" width="13.25" style="2624" customWidth="1"/>
    <col min="2819" max="2819" width="15.625" style="2624" customWidth="1"/>
    <col min="2820" max="2820" width="9.375" style="2624" bestFit="1" customWidth="1"/>
    <col min="2821" max="2821" width="13.375" style="2624" customWidth="1"/>
    <col min="2822" max="2822" width="9" style="2624"/>
    <col min="2823" max="2823" width="9.375" style="2624" bestFit="1" customWidth="1"/>
    <col min="2824" max="2825" width="9" style="2624"/>
    <col min="2826" max="2826" width="9.375" style="2624" bestFit="1" customWidth="1"/>
    <col min="2827" max="2827" width="4" style="2624" customWidth="1"/>
    <col min="2828" max="2828" width="5.125" style="2624" customWidth="1"/>
    <col min="2829" max="2829" width="13.75" style="2624" customWidth="1"/>
    <col min="2830" max="3072" width="9" style="2624"/>
    <col min="3073" max="3073" width="4.875" style="2624" customWidth="1"/>
    <col min="3074" max="3074" width="13.25" style="2624" customWidth="1"/>
    <col min="3075" max="3075" width="15.625" style="2624" customWidth="1"/>
    <col min="3076" max="3076" width="9.375" style="2624" bestFit="1" customWidth="1"/>
    <col min="3077" max="3077" width="13.375" style="2624" customWidth="1"/>
    <col min="3078" max="3078" width="9" style="2624"/>
    <col min="3079" max="3079" width="9.375" style="2624" bestFit="1" customWidth="1"/>
    <col min="3080" max="3081" width="9" style="2624"/>
    <col min="3082" max="3082" width="9.375" style="2624" bestFit="1" customWidth="1"/>
    <col min="3083" max="3083" width="4" style="2624" customWidth="1"/>
    <col min="3084" max="3084" width="5.125" style="2624" customWidth="1"/>
    <col min="3085" max="3085" width="13.75" style="2624" customWidth="1"/>
    <col min="3086" max="3328" width="9" style="2624"/>
    <col min="3329" max="3329" width="4.875" style="2624" customWidth="1"/>
    <col min="3330" max="3330" width="13.25" style="2624" customWidth="1"/>
    <col min="3331" max="3331" width="15.625" style="2624" customWidth="1"/>
    <col min="3332" max="3332" width="9.375" style="2624" bestFit="1" customWidth="1"/>
    <col min="3333" max="3333" width="13.375" style="2624" customWidth="1"/>
    <col min="3334" max="3334" width="9" style="2624"/>
    <col min="3335" max="3335" width="9.375" style="2624" bestFit="1" customWidth="1"/>
    <col min="3336" max="3337" width="9" style="2624"/>
    <col min="3338" max="3338" width="9.375" style="2624" bestFit="1" customWidth="1"/>
    <col min="3339" max="3339" width="4" style="2624" customWidth="1"/>
    <col min="3340" max="3340" width="5.125" style="2624" customWidth="1"/>
    <col min="3341" max="3341" width="13.75" style="2624" customWidth="1"/>
    <col min="3342" max="3584" width="9" style="2624"/>
    <col min="3585" max="3585" width="4.875" style="2624" customWidth="1"/>
    <col min="3586" max="3586" width="13.25" style="2624" customWidth="1"/>
    <col min="3587" max="3587" width="15.625" style="2624" customWidth="1"/>
    <col min="3588" max="3588" width="9.375" style="2624" bestFit="1" customWidth="1"/>
    <col min="3589" max="3589" width="13.375" style="2624" customWidth="1"/>
    <col min="3590" max="3590" width="9" style="2624"/>
    <col min="3591" max="3591" width="9.375" style="2624" bestFit="1" customWidth="1"/>
    <col min="3592" max="3593" width="9" style="2624"/>
    <col min="3594" max="3594" width="9.375" style="2624" bestFit="1" customWidth="1"/>
    <col min="3595" max="3595" width="4" style="2624" customWidth="1"/>
    <col min="3596" max="3596" width="5.125" style="2624" customWidth="1"/>
    <col min="3597" max="3597" width="13.75" style="2624" customWidth="1"/>
    <col min="3598" max="3840" width="9" style="2624"/>
    <col min="3841" max="3841" width="4.875" style="2624" customWidth="1"/>
    <col min="3842" max="3842" width="13.25" style="2624" customWidth="1"/>
    <col min="3843" max="3843" width="15.625" style="2624" customWidth="1"/>
    <col min="3844" max="3844" width="9.375" style="2624" bestFit="1" customWidth="1"/>
    <col min="3845" max="3845" width="13.375" style="2624" customWidth="1"/>
    <col min="3846" max="3846" width="9" style="2624"/>
    <col min="3847" max="3847" width="9.375" style="2624" bestFit="1" customWidth="1"/>
    <col min="3848" max="3849" width="9" style="2624"/>
    <col min="3850" max="3850" width="9.375" style="2624" bestFit="1" customWidth="1"/>
    <col min="3851" max="3851" width="4" style="2624" customWidth="1"/>
    <col min="3852" max="3852" width="5.125" style="2624" customWidth="1"/>
    <col min="3853" max="3853" width="13.75" style="2624" customWidth="1"/>
    <col min="3854" max="4096" width="9" style="2624"/>
    <col min="4097" max="4097" width="4.875" style="2624" customWidth="1"/>
    <col min="4098" max="4098" width="13.25" style="2624" customWidth="1"/>
    <col min="4099" max="4099" width="15.625" style="2624" customWidth="1"/>
    <col min="4100" max="4100" width="9.375" style="2624" bestFit="1" customWidth="1"/>
    <col min="4101" max="4101" width="13.375" style="2624" customWidth="1"/>
    <col min="4102" max="4102" width="9" style="2624"/>
    <col min="4103" max="4103" width="9.375" style="2624" bestFit="1" customWidth="1"/>
    <col min="4104" max="4105" width="9" style="2624"/>
    <col min="4106" max="4106" width="9.375" style="2624" bestFit="1" customWidth="1"/>
    <col min="4107" max="4107" width="4" style="2624" customWidth="1"/>
    <col min="4108" max="4108" width="5.125" style="2624" customWidth="1"/>
    <col min="4109" max="4109" width="13.75" style="2624" customWidth="1"/>
    <col min="4110" max="4352" width="9" style="2624"/>
    <col min="4353" max="4353" width="4.875" style="2624" customWidth="1"/>
    <col min="4354" max="4354" width="13.25" style="2624" customWidth="1"/>
    <col min="4355" max="4355" width="15.625" style="2624" customWidth="1"/>
    <col min="4356" max="4356" width="9.375" style="2624" bestFit="1" customWidth="1"/>
    <col min="4357" max="4357" width="13.375" style="2624" customWidth="1"/>
    <col min="4358" max="4358" width="9" style="2624"/>
    <col min="4359" max="4359" width="9.375" style="2624" bestFit="1" customWidth="1"/>
    <col min="4360" max="4361" width="9" style="2624"/>
    <col min="4362" max="4362" width="9.375" style="2624" bestFit="1" customWidth="1"/>
    <col min="4363" max="4363" width="4" style="2624" customWidth="1"/>
    <col min="4364" max="4364" width="5.125" style="2624" customWidth="1"/>
    <col min="4365" max="4365" width="13.75" style="2624" customWidth="1"/>
    <col min="4366" max="4608" width="9" style="2624"/>
    <col min="4609" max="4609" width="4.875" style="2624" customWidth="1"/>
    <col min="4610" max="4610" width="13.25" style="2624" customWidth="1"/>
    <col min="4611" max="4611" width="15.625" style="2624" customWidth="1"/>
    <col min="4612" max="4612" width="9.375" style="2624" bestFit="1" customWidth="1"/>
    <col min="4613" max="4613" width="13.375" style="2624" customWidth="1"/>
    <col min="4614" max="4614" width="9" style="2624"/>
    <col min="4615" max="4615" width="9.375" style="2624" bestFit="1" customWidth="1"/>
    <col min="4616" max="4617" width="9" style="2624"/>
    <col min="4618" max="4618" width="9.375" style="2624" bestFit="1" customWidth="1"/>
    <col min="4619" max="4619" width="4" style="2624" customWidth="1"/>
    <col min="4620" max="4620" width="5.125" style="2624" customWidth="1"/>
    <col min="4621" max="4621" width="13.75" style="2624" customWidth="1"/>
    <col min="4622" max="4864" width="9" style="2624"/>
    <col min="4865" max="4865" width="4.875" style="2624" customWidth="1"/>
    <col min="4866" max="4866" width="13.25" style="2624" customWidth="1"/>
    <col min="4867" max="4867" width="15.625" style="2624" customWidth="1"/>
    <col min="4868" max="4868" width="9.375" style="2624" bestFit="1" customWidth="1"/>
    <col min="4869" max="4869" width="13.375" style="2624" customWidth="1"/>
    <col min="4870" max="4870" width="9" style="2624"/>
    <col min="4871" max="4871" width="9.375" style="2624" bestFit="1" customWidth="1"/>
    <col min="4872" max="4873" width="9" style="2624"/>
    <col min="4874" max="4874" width="9.375" style="2624" bestFit="1" customWidth="1"/>
    <col min="4875" max="4875" width="4" style="2624" customWidth="1"/>
    <col min="4876" max="4876" width="5.125" style="2624" customWidth="1"/>
    <col min="4877" max="4877" width="13.75" style="2624" customWidth="1"/>
    <col min="4878" max="5120" width="9" style="2624"/>
    <col min="5121" max="5121" width="4.875" style="2624" customWidth="1"/>
    <col min="5122" max="5122" width="13.25" style="2624" customWidth="1"/>
    <col min="5123" max="5123" width="15.625" style="2624" customWidth="1"/>
    <col min="5124" max="5124" width="9.375" style="2624" bestFit="1" customWidth="1"/>
    <col min="5125" max="5125" width="13.375" style="2624" customWidth="1"/>
    <col min="5126" max="5126" width="9" style="2624"/>
    <col min="5127" max="5127" width="9.375" style="2624" bestFit="1" customWidth="1"/>
    <col min="5128" max="5129" width="9" style="2624"/>
    <col min="5130" max="5130" width="9.375" style="2624" bestFit="1" customWidth="1"/>
    <col min="5131" max="5131" width="4" style="2624" customWidth="1"/>
    <col min="5132" max="5132" width="5.125" style="2624" customWidth="1"/>
    <col min="5133" max="5133" width="13.75" style="2624" customWidth="1"/>
    <col min="5134" max="5376" width="9" style="2624"/>
    <col min="5377" max="5377" width="4.875" style="2624" customWidth="1"/>
    <col min="5378" max="5378" width="13.25" style="2624" customWidth="1"/>
    <col min="5379" max="5379" width="15.625" style="2624" customWidth="1"/>
    <col min="5380" max="5380" width="9.375" style="2624" bestFit="1" customWidth="1"/>
    <col min="5381" max="5381" width="13.375" style="2624" customWidth="1"/>
    <col min="5382" max="5382" width="9" style="2624"/>
    <col min="5383" max="5383" width="9.375" style="2624" bestFit="1" customWidth="1"/>
    <col min="5384" max="5385" width="9" style="2624"/>
    <col min="5386" max="5386" width="9.375" style="2624" bestFit="1" customWidth="1"/>
    <col min="5387" max="5387" width="4" style="2624" customWidth="1"/>
    <col min="5388" max="5388" width="5.125" style="2624" customWidth="1"/>
    <col min="5389" max="5389" width="13.75" style="2624" customWidth="1"/>
    <col min="5390" max="5632" width="9" style="2624"/>
    <col min="5633" max="5633" width="4.875" style="2624" customWidth="1"/>
    <col min="5634" max="5634" width="13.25" style="2624" customWidth="1"/>
    <col min="5635" max="5635" width="15.625" style="2624" customWidth="1"/>
    <col min="5636" max="5636" width="9.375" style="2624" bestFit="1" customWidth="1"/>
    <col min="5637" max="5637" width="13.375" style="2624" customWidth="1"/>
    <col min="5638" max="5638" width="9" style="2624"/>
    <col min="5639" max="5639" width="9.375" style="2624" bestFit="1" customWidth="1"/>
    <col min="5640" max="5641" width="9" style="2624"/>
    <col min="5642" max="5642" width="9.375" style="2624" bestFit="1" customWidth="1"/>
    <col min="5643" max="5643" width="4" style="2624" customWidth="1"/>
    <col min="5644" max="5644" width="5.125" style="2624" customWidth="1"/>
    <col min="5645" max="5645" width="13.75" style="2624" customWidth="1"/>
    <col min="5646" max="5888" width="9" style="2624"/>
    <col min="5889" max="5889" width="4.875" style="2624" customWidth="1"/>
    <col min="5890" max="5890" width="13.25" style="2624" customWidth="1"/>
    <col min="5891" max="5891" width="15.625" style="2624" customWidth="1"/>
    <col min="5892" max="5892" width="9.375" style="2624" bestFit="1" customWidth="1"/>
    <col min="5893" max="5893" width="13.375" style="2624" customWidth="1"/>
    <col min="5894" max="5894" width="9" style="2624"/>
    <col min="5895" max="5895" width="9.375" style="2624" bestFit="1" customWidth="1"/>
    <col min="5896" max="5897" width="9" style="2624"/>
    <col min="5898" max="5898" width="9.375" style="2624" bestFit="1" customWidth="1"/>
    <col min="5899" max="5899" width="4" style="2624" customWidth="1"/>
    <col min="5900" max="5900" width="5.125" style="2624" customWidth="1"/>
    <col min="5901" max="5901" width="13.75" style="2624" customWidth="1"/>
    <col min="5902" max="6144" width="9" style="2624"/>
    <col min="6145" max="6145" width="4.875" style="2624" customWidth="1"/>
    <col min="6146" max="6146" width="13.25" style="2624" customWidth="1"/>
    <col min="6147" max="6147" width="15.625" style="2624" customWidth="1"/>
    <col min="6148" max="6148" width="9.375" style="2624" bestFit="1" customWidth="1"/>
    <col min="6149" max="6149" width="13.375" style="2624" customWidth="1"/>
    <col min="6150" max="6150" width="9" style="2624"/>
    <col min="6151" max="6151" width="9.375" style="2624" bestFit="1" customWidth="1"/>
    <col min="6152" max="6153" width="9" style="2624"/>
    <col min="6154" max="6154" width="9.375" style="2624" bestFit="1" customWidth="1"/>
    <col min="6155" max="6155" width="4" style="2624" customWidth="1"/>
    <col min="6156" max="6156" width="5.125" style="2624" customWidth="1"/>
    <col min="6157" max="6157" width="13.75" style="2624" customWidth="1"/>
    <col min="6158" max="6400" width="9" style="2624"/>
    <col min="6401" max="6401" width="4.875" style="2624" customWidth="1"/>
    <col min="6402" max="6402" width="13.25" style="2624" customWidth="1"/>
    <col min="6403" max="6403" width="15.625" style="2624" customWidth="1"/>
    <col min="6404" max="6404" width="9.375" style="2624" bestFit="1" customWidth="1"/>
    <col min="6405" max="6405" width="13.375" style="2624" customWidth="1"/>
    <col min="6406" max="6406" width="9" style="2624"/>
    <col min="6407" max="6407" width="9.375" style="2624" bestFit="1" customWidth="1"/>
    <col min="6408" max="6409" width="9" style="2624"/>
    <col min="6410" max="6410" width="9.375" style="2624" bestFit="1" customWidth="1"/>
    <col min="6411" max="6411" width="4" style="2624" customWidth="1"/>
    <col min="6412" max="6412" width="5.125" style="2624" customWidth="1"/>
    <col min="6413" max="6413" width="13.75" style="2624" customWidth="1"/>
    <col min="6414" max="6656" width="9" style="2624"/>
    <col min="6657" max="6657" width="4.875" style="2624" customWidth="1"/>
    <col min="6658" max="6658" width="13.25" style="2624" customWidth="1"/>
    <col min="6659" max="6659" width="15.625" style="2624" customWidth="1"/>
    <col min="6660" max="6660" width="9.375" style="2624" bestFit="1" customWidth="1"/>
    <col min="6661" max="6661" width="13.375" style="2624" customWidth="1"/>
    <col min="6662" max="6662" width="9" style="2624"/>
    <col min="6663" max="6663" width="9.375" style="2624" bestFit="1" customWidth="1"/>
    <col min="6664" max="6665" width="9" style="2624"/>
    <col min="6666" max="6666" width="9.375" style="2624" bestFit="1" customWidth="1"/>
    <col min="6667" max="6667" width="4" style="2624" customWidth="1"/>
    <col min="6668" max="6668" width="5.125" style="2624" customWidth="1"/>
    <col min="6669" max="6669" width="13.75" style="2624" customWidth="1"/>
    <col min="6670" max="6912" width="9" style="2624"/>
    <col min="6913" max="6913" width="4.875" style="2624" customWidth="1"/>
    <col min="6914" max="6914" width="13.25" style="2624" customWidth="1"/>
    <col min="6915" max="6915" width="15.625" style="2624" customWidth="1"/>
    <col min="6916" max="6916" width="9.375" style="2624" bestFit="1" customWidth="1"/>
    <col min="6917" max="6917" width="13.375" style="2624" customWidth="1"/>
    <col min="6918" max="6918" width="9" style="2624"/>
    <col min="6919" max="6919" width="9.375" style="2624" bestFit="1" customWidth="1"/>
    <col min="6920" max="6921" width="9" style="2624"/>
    <col min="6922" max="6922" width="9.375" style="2624" bestFit="1" customWidth="1"/>
    <col min="6923" max="6923" width="4" style="2624" customWidth="1"/>
    <col min="6924" max="6924" width="5.125" style="2624" customWidth="1"/>
    <col min="6925" max="6925" width="13.75" style="2624" customWidth="1"/>
    <col min="6926" max="7168" width="9" style="2624"/>
    <col min="7169" max="7169" width="4.875" style="2624" customWidth="1"/>
    <col min="7170" max="7170" width="13.25" style="2624" customWidth="1"/>
    <col min="7171" max="7171" width="15.625" style="2624" customWidth="1"/>
    <col min="7172" max="7172" width="9.375" style="2624" bestFit="1" customWidth="1"/>
    <col min="7173" max="7173" width="13.375" style="2624" customWidth="1"/>
    <col min="7174" max="7174" width="9" style="2624"/>
    <col min="7175" max="7175" width="9.375" style="2624" bestFit="1" customWidth="1"/>
    <col min="7176" max="7177" width="9" style="2624"/>
    <col min="7178" max="7178" width="9.375" style="2624" bestFit="1" customWidth="1"/>
    <col min="7179" max="7179" width="4" style="2624" customWidth="1"/>
    <col min="7180" max="7180" width="5.125" style="2624" customWidth="1"/>
    <col min="7181" max="7181" width="13.75" style="2624" customWidth="1"/>
    <col min="7182" max="7424" width="9" style="2624"/>
    <col min="7425" max="7425" width="4.875" style="2624" customWidth="1"/>
    <col min="7426" max="7426" width="13.25" style="2624" customWidth="1"/>
    <col min="7427" max="7427" width="15.625" style="2624" customWidth="1"/>
    <col min="7428" max="7428" width="9.375" style="2624" bestFit="1" customWidth="1"/>
    <col min="7429" max="7429" width="13.375" style="2624" customWidth="1"/>
    <col min="7430" max="7430" width="9" style="2624"/>
    <col min="7431" max="7431" width="9.375" style="2624" bestFit="1" customWidth="1"/>
    <col min="7432" max="7433" width="9" style="2624"/>
    <col min="7434" max="7434" width="9.375" style="2624" bestFit="1" customWidth="1"/>
    <col min="7435" max="7435" width="4" style="2624" customWidth="1"/>
    <col min="7436" max="7436" width="5.125" style="2624" customWidth="1"/>
    <col min="7437" max="7437" width="13.75" style="2624" customWidth="1"/>
    <col min="7438" max="7680" width="9" style="2624"/>
    <col min="7681" max="7681" width="4.875" style="2624" customWidth="1"/>
    <col min="7682" max="7682" width="13.25" style="2624" customWidth="1"/>
    <col min="7683" max="7683" width="15.625" style="2624" customWidth="1"/>
    <col min="7684" max="7684" width="9.375" style="2624" bestFit="1" customWidth="1"/>
    <col min="7685" max="7685" width="13.375" style="2624" customWidth="1"/>
    <col min="7686" max="7686" width="9" style="2624"/>
    <col min="7687" max="7687" width="9.375" style="2624" bestFit="1" customWidth="1"/>
    <col min="7688" max="7689" width="9" style="2624"/>
    <col min="7690" max="7690" width="9.375" style="2624" bestFit="1" customWidth="1"/>
    <col min="7691" max="7691" width="4" style="2624" customWidth="1"/>
    <col min="7692" max="7692" width="5.125" style="2624" customWidth="1"/>
    <col min="7693" max="7693" width="13.75" style="2624" customWidth="1"/>
    <col min="7694" max="7936" width="9" style="2624"/>
    <col min="7937" max="7937" width="4.875" style="2624" customWidth="1"/>
    <col min="7938" max="7938" width="13.25" style="2624" customWidth="1"/>
    <col min="7939" max="7939" width="15.625" style="2624" customWidth="1"/>
    <col min="7940" max="7940" width="9.375" style="2624" bestFit="1" customWidth="1"/>
    <col min="7941" max="7941" width="13.375" style="2624" customWidth="1"/>
    <col min="7942" max="7942" width="9" style="2624"/>
    <col min="7943" max="7943" width="9.375" style="2624" bestFit="1" customWidth="1"/>
    <col min="7944" max="7945" width="9" style="2624"/>
    <col min="7946" max="7946" width="9.375" style="2624" bestFit="1" customWidth="1"/>
    <col min="7947" max="7947" width="4" style="2624" customWidth="1"/>
    <col min="7948" max="7948" width="5.125" style="2624" customWidth="1"/>
    <col min="7949" max="7949" width="13.75" style="2624" customWidth="1"/>
    <col min="7950" max="8192" width="9" style="2624"/>
    <col min="8193" max="8193" width="4.875" style="2624" customWidth="1"/>
    <col min="8194" max="8194" width="13.25" style="2624" customWidth="1"/>
    <col min="8195" max="8195" width="15.625" style="2624" customWidth="1"/>
    <col min="8196" max="8196" width="9.375" style="2624" bestFit="1" customWidth="1"/>
    <col min="8197" max="8197" width="13.375" style="2624" customWidth="1"/>
    <col min="8198" max="8198" width="9" style="2624"/>
    <col min="8199" max="8199" width="9.375" style="2624" bestFit="1" customWidth="1"/>
    <col min="8200" max="8201" width="9" style="2624"/>
    <col min="8202" max="8202" width="9.375" style="2624" bestFit="1" customWidth="1"/>
    <col min="8203" max="8203" width="4" style="2624" customWidth="1"/>
    <col min="8204" max="8204" width="5.125" style="2624" customWidth="1"/>
    <col min="8205" max="8205" width="13.75" style="2624" customWidth="1"/>
    <col min="8206" max="8448" width="9" style="2624"/>
    <col min="8449" max="8449" width="4.875" style="2624" customWidth="1"/>
    <col min="8450" max="8450" width="13.25" style="2624" customWidth="1"/>
    <col min="8451" max="8451" width="15.625" style="2624" customWidth="1"/>
    <col min="8452" max="8452" width="9.375" style="2624" bestFit="1" customWidth="1"/>
    <col min="8453" max="8453" width="13.375" style="2624" customWidth="1"/>
    <col min="8454" max="8454" width="9" style="2624"/>
    <col min="8455" max="8455" width="9.375" style="2624" bestFit="1" customWidth="1"/>
    <col min="8456" max="8457" width="9" style="2624"/>
    <col min="8458" max="8458" width="9.375" style="2624" bestFit="1" customWidth="1"/>
    <col min="8459" max="8459" width="4" style="2624" customWidth="1"/>
    <col min="8460" max="8460" width="5.125" style="2624" customWidth="1"/>
    <col min="8461" max="8461" width="13.75" style="2624" customWidth="1"/>
    <col min="8462" max="8704" width="9" style="2624"/>
    <col min="8705" max="8705" width="4.875" style="2624" customWidth="1"/>
    <col min="8706" max="8706" width="13.25" style="2624" customWidth="1"/>
    <col min="8707" max="8707" width="15.625" style="2624" customWidth="1"/>
    <col min="8708" max="8708" width="9.375" style="2624" bestFit="1" customWidth="1"/>
    <col min="8709" max="8709" width="13.375" style="2624" customWidth="1"/>
    <col min="8710" max="8710" width="9" style="2624"/>
    <col min="8711" max="8711" width="9.375" style="2624" bestFit="1" customWidth="1"/>
    <col min="8712" max="8713" width="9" style="2624"/>
    <col min="8714" max="8714" width="9.375" style="2624" bestFit="1" customWidth="1"/>
    <col min="8715" max="8715" width="4" style="2624" customWidth="1"/>
    <col min="8716" max="8716" width="5.125" style="2624" customWidth="1"/>
    <col min="8717" max="8717" width="13.75" style="2624" customWidth="1"/>
    <col min="8718" max="8960" width="9" style="2624"/>
    <col min="8961" max="8961" width="4.875" style="2624" customWidth="1"/>
    <col min="8962" max="8962" width="13.25" style="2624" customWidth="1"/>
    <col min="8963" max="8963" width="15.625" style="2624" customWidth="1"/>
    <col min="8964" max="8964" width="9.375" style="2624" bestFit="1" customWidth="1"/>
    <col min="8965" max="8965" width="13.375" style="2624" customWidth="1"/>
    <col min="8966" max="8966" width="9" style="2624"/>
    <col min="8967" max="8967" width="9.375" style="2624" bestFit="1" customWidth="1"/>
    <col min="8968" max="8969" width="9" style="2624"/>
    <col min="8970" max="8970" width="9.375" style="2624" bestFit="1" customWidth="1"/>
    <col min="8971" max="8971" width="4" style="2624" customWidth="1"/>
    <col min="8972" max="8972" width="5.125" style="2624" customWidth="1"/>
    <col min="8973" max="8973" width="13.75" style="2624" customWidth="1"/>
    <col min="8974" max="9216" width="9" style="2624"/>
    <col min="9217" max="9217" width="4.875" style="2624" customWidth="1"/>
    <col min="9218" max="9218" width="13.25" style="2624" customWidth="1"/>
    <col min="9219" max="9219" width="15.625" style="2624" customWidth="1"/>
    <col min="9220" max="9220" width="9.375" style="2624" bestFit="1" customWidth="1"/>
    <col min="9221" max="9221" width="13.375" style="2624" customWidth="1"/>
    <col min="9222" max="9222" width="9" style="2624"/>
    <col min="9223" max="9223" width="9.375" style="2624" bestFit="1" customWidth="1"/>
    <col min="9224" max="9225" width="9" style="2624"/>
    <col min="9226" max="9226" width="9.375" style="2624" bestFit="1" customWidth="1"/>
    <col min="9227" max="9227" width="4" style="2624" customWidth="1"/>
    <col min="9228" max="9228" width="5.125" style="2624" customWidth="1"/>
    <col min="9229" max="9229" width="13.75" style="2624" customWidth="1"/>
    <col min="9230" max="9472" width="9" style="2624"/>
    <col min="9473" max="9473" width="4.875" style="2624" customWidth="1"/>
    <col min="9474" max="9474" width="13.25" style="2624" customWidth="1"/>
    <col min="9475" max="9475" width="15.625" style="2624" customWidth="1"/>
    <col min="9476" max="9476" width="9.375" style="2624" bestFit="1" customWidth="1"/>
    <col min="9477" max="9477" width="13.375" style="2624" customWidth="1"/>
    <col min="9478" max="9478" width="9" style="2624"/>
    <col min="9479" max="9479" width="9.375" style="2624" bestFit="1" customWidth="1"/>
    <col min="9480" max="9481" width="9" style="2624"/>
    <col min="9482" max="9482" width="9.375" style="2624" bestFit="1" customWidth="1"/>
    <col min="9483" max="9483" width="4" style="2624" customWidth="1"/>
    <col min="9484" max="9484" width="5.125" style="2624" customWidth="1"/>
    <col min="9485" max="9485" width="13.75" style="2624" customWidth="1"/>
    <col min="9486" max="9728" width="9" style="2624"/>
    <col min="9729" max="9729" width="4.875" style="2624" customWidth="1"/>
    <col min="9730" max="9730" width="13.25" style="2624" customWidth="1"/>
    <col min="9731" max="9731" width="15.625" style="2624" customWidth="1"/>
    <col min="9732" max="9732" width="9.375" style="2624" bestFit="1" customWidth="1"/>
    <col min="9733" max="9733" width="13.375" style="2624" customWidth="1"/>
    <col min="9734" max="9734" width="9" style="2624"/>
    <col min="9735" max="9735" width="9.375" style="2624" bestFit="1" customWidth="1"/>
    <col min="9736" max="9737" width="9" style="2624"/>
    <col min="9738" max="9738" width="9.375" style="2624" bestFit="1" customWidth="1"/>
    <col min="9739" max="9739" width="4" style="2624" customWidth="1"/>
    <col min="9740" max="9740" width="5.125" style="2624" customWidth="1"/>
    <col min="9741" max="9741" width="13.75" style="2624" customWidth="1"/>
    <col min="9742" max="9984" width="9" style="2624"/>
    <col min="9985" max="9985" width="4.875" style="2624" customWidth="1"/>
    <col min="9986" max="9986" width="13.25" style="2624" customWidth="1"/>
    <col min="9987" max="9987" width="15.625" style="2624" customWidth="1"/>
    <col min="9988" max="9988" width="9.375" style="2624" bestFit="1" customWidth="1"/>
    <col min="9989" max="9989" width="13.375" style="2624" customWidth="1"/>
    <col min="9990" max="9990" width="9" style="2624"/>
    <col min="9991" max="9991" width="9.375" style="2624" bestFit="1" customWidth="1"/>
    <col min="9992" max="9993" width="9" style="2624"/>
    <col min="9994" max="9994" width="9.375" style="2624" bestFit="1" customWidth="1"/>
    <col min="9995" max="9995" width="4" style="2624" customWidth="1"/>
    <col min="9996" max="9996" width="5.125" style="2624" customWidth="1"/>
    <col min="9997" max="9997" width="13.75" style="2624" customWidth="1"/>
    <col min="9998" max="10240" width="9" style="2624"/>
    <col min="10241" max="10241" width="4.875" style="2624" customWidth="1"/>
    <col min="10242" max="10242" width="13.25" style="2624" customWidth="1"/>
    <col min="10243" max="10243" width="15.625" style="2624" customWidth="1"/>
    <col min="10244" max="10244" width="9.375" style="2624" bestFit="1" customWidth="1"/>
    <col min="10245" max="10245" width="13.375" style="2624" customWidth="1"/>
    <col min="10246" max="10246" width="9" style="2624"/>
    <col min="10247" max="10247" width="9.375" style="2624" bestFit="1" customWidth="1"/>
    <col min="10248" max="10249" width="9" style="2624"/>
    <col min="10250" max="10250" width="9.375" style="2624" bestFit="1" customWidth="1"/>
    <col min="10251" max="10251" width="4" style="2624" customWidth="1"/>
    <col min="10252" max="10252" width="5.125" style="2624" customWidth="1"/>
    <col min="10253" max="10253" width="13.75" style="2624" customWidth="1"/>
    <col min="10254" max="10496" width="9" style="2624"/>
    <col min="10497" max="10497" width="4.875" style="2624" customWidth="1"/>
    <col min="10498" max="10498" width="13.25" style="2624" customWidth="1"/>
    <col min="10499" max="10499" width="15.625" style="2624" customWidth="1"/>
    <col min="10500" max="10500" width="9.375" style="2624" bestFit="1" customWidth="1"/>
    <col min="10501" max="10501" width="13.375" style="2624" customWidth="1"/>
    <col min="10502" max="10502" width="9" style="2624"/>
    <col min="10503" max="10503" width="9.375" style="2624" bestFit="1" customWidth="1"/>
    <col min="10504" max="10505" width="9" style="2624"/>
    <col min="10506" max="10506" width="9.375" style="2624" bestFit="1" customWidth="1"/>
    <col min="10507" max="10507" width="4" style="2624" customWidth="1"/>
    <col min="10508" max="10508" width="5.125" style="2624" customWidth="1"/>
    <col min="10509" max="10509" width="13.75" style="2624" customWidth="1"/>
    <col min="10510" max="10752" width="9" style="2624"/>
    <col min="10753" max="10753" width="4.875" style="2624" customWidth="1"/>
    <col min="10754" max="10754" width="13.25" style="2624" customWidth="1"/>
    <col min="10755" max="10755" width="15.625" style="2624" customWidth="1"/>
    <col min="10756" max="10756" width="9.375" style="2624" bestFit="1" customWidth="1"/>
    <col min="10757" max="10757" width="13.375" style="2624" customWidth="1"/>
    <col min="10758" max="10758" width="9" style="2624"/>
    <col min="10759" max="10759" width="9.375" style="2624" bestFit="1" customWidth="1"/>
    <col min="10760" max="10761" width="9" style="2624"/>
    <col min="10762" max="10762" width="9.375" style="2624" bestFit="1" customWidth="1"/>
    <col min="10763" max="10763" width="4" style="2624" customWidth="1"/>
    <col min="10764" max="10764" width="5.125" style="2624" customWidth="1"/>
    <col min="10765" max="10765" width="13.75" style="2624" customWidth="1"/>
    <col min="10766" max="11008" width="9" style="2624"/>
    <col min="11009" max="11009" width="4.875" style="2624" customWidth="1"/>
    <col min="11010" max="11010" width="13.25" style="2624" customWidth="1"/>
    <col min="11011" max="11011" width="15.625" style="2624" customWidth="1"/>
    <col min="11012" max="11012" width="9.375" style="2624" bestFit="1" customWidth="1"/>
    <col min="11013" max="11013" width="13.375" style="2624" customWidth="1"/>
    <col min="11014" max="11014" width="9" style="2624"/>
    <col min="11015" max="11015" width="9.375" style="2624" bestFit="1" customWidth="1"/>
    <col min="11016" max="11017" width="9" style="2624"/>
    <col min="11018" max="11018" width="9.375" style="2624" bestFit="1" customWidth="1"/>
    <col min="11019" max="11019" width="4" style="2624" customWidth="1"/>
    <col min="11020" max="11020" width="5.125" style="2624" customWidth="1"/>
    <col min="11021" max="11021" width="13.75" style="2624" customWidth="1"/>
    <col min="11022" max="11264" width="9" style="2624"/>
    <col min="11265" max="11265" width="4.875" style="2624" customWidth="1"/>
    <col min="11266" max="11266" width="13.25" style="2624" customWidth="1"/>
    <col min="11267" max="11267" width="15.625" style="2624" customWidth="1"/>
    <col min="11268" max="11268" width="9.375" style="2624" bestFit="1" customWidth="1"/>
    <col min="11269" max="11269" width="13.375" style="2624" customWidth="1"/>
    <col min="11270" max="11270" width="9" style="2624"/>
    <col min="11271" max="11271" width="9.375" style="2624" bestFit="1" customWidth="1"/>
    <col min="11272" max="11273" width="9" style="2624"/>
    <col min="11274" max="11274" width="9.375" style="2624" bestFit="1" customWidth="1"/>
    <col min="11275" max="11275" width="4" style="2624" customWidth="1"/>
    <col min="11276" max="11276" width="5.125" style="2624" customWidth="1"/>
    <col min="11277" max="11277" width="13.75" style="2624" customWidth="1"/>
    <col min="11278" max="11520" width="9" style="2624"/>
    <col min="11521" max="11521" width="4.875" style="2624" customWidth="1"/>
    <col min="11522" max="11522" width="13.25" style="2624" customWidth="1"/>
    <col min="11523" max="11523" width="15.625" style="2624" customWidth="1"/>
    <col min="11524" max="11524" width="9.375" style="2624" bestFit="1" customWidth="1"/>
    <col min="11525" max="11525" width="13.375" style="2624" customWidth="1"/>
    <col min="11526" max="11526" width="9" style="2624"/>
    <col min="11527" max="11527" width="9.375" style="2624" bestFit="1" customWidth="1"/>
    <col min="11528" max="11529" width="9" style="2624"/>
    <col min="11530" max="11530" width="9.375" style="2624" bestFit="1" customWidth="1"/>
    <col min="11531" max="11531" width="4" style="2624" customWidth="1"/>
    <col min="11532" max="11532" width="5.125" style="2624" customWidth="1"/>
    <col min="11533" max="11533" width="13.75" style="2624" customWidth="1"/>
    <col min="11534" max="11776" width="9" style="2624"/>
    <col min="11777" max="11777" width="4.875" style="2624" customWidth="1"/>
    <col min="11778" max="11778" width="13.25" style="2624" customWidth="1"/>
    <col min="11779" max="11779" width="15.625" style="2624" customWidth="1"/>
    <col min="11780" max="11780" width="9.375" style="2624" bestFit="1" customWidth="1"/>
    <col min="11781" max="11781" width="13.375" style="2624" customWidth="1"/>
    <col min="11782" max="11782" width="9" style="2624"/>
    <col min="11783" max="11783" width="9.375" style="2624" bestFit="1" customWidth="1"/>
    <col min="11784" max="11785" width="9" style="2624"/>
    <col min="11786" max="11786" width="9.375" style="2624" bestFit="1" customWidth="1"/>
    <col min="11787" max="11787" width="4" style="2624" customWidth="1"/>
    <col min="11788" max="11788" width="5.125" style="2624" customWidth="1"/>
    <col min="11789" max="11789" width="13.75" style="2624" customWidth="1"/>
    <col min="11790" max="12032" width="9" style="2624"/>
    <col min="12033" max="12033" width="4.875" style="2624" customWidth="1"/>
    <col min="12034" max="12034" width="13.25" style="2624" customWidth="1"/>
    <col min="12035" max="12035" width="15.625" style="2624" customWidth="1"/>
    <col min="12036" max="12036" width="9.375" style="2624" bestFit="1" customWidth="1"/>
    <col min="12037" max="12037" width="13.375" style="2624" customWidth="1"/>
    <col min="12038" max="12038" width="9" style="2624"/>
    <col min="12039" max="12039" width="9.375" style="2624" bestFit="1" customWidth="1"/>
    <col min="12040" max="12041" width="9" style="2624"/>
    <col min="12042" max="12042" width="9.375" style="2624" bestFit="1" customWidth="1"/>
    <col min="12043" max="12043" width="4" style="2624" customWidth="1"/>
    <col min="12044" max="12044" width="5.125" style="2624" customWidth="1"/>
    <col min="12045" max="12045" width="13.75" style="2624" customWidth="1"/>
    <col min="12046" max="12288" width="9" style="2624"/>
    <col min="12289" max="12289" width="4.875" style="2624" customWidth="1"/>
    <col min="12290" max="12290" width="13.25" style="2624" customWidth="1"/>
    <col min="12291" max="12291" width="15.625" style="2624" customWidth="1"/>
    <col min="12292" max="12292" width="9.375" style="2624" bestFit="1" customWidth="1"/>
    <col min="12293" max="12293" width="13.375" style="2624" customWidth="1"/>
    <col min="12294" max="12294" width="9" style="2624"/>
    <col min="12295" max="12295" width="9.375" style="2624" bestFit="1" customWidth="1"/>
    <col min="12296" max="12297" width="9" style="2624"/>
    <col min="12298" max="12298" width="9.375" style="2624" bestFit="1" customWidth="1"/>
    <col min="12299" max="12299" width="4" style="2624" customWidth="1"/>
    <col min="12300" max="12300" width="5.125" style="2624" customWidth="1"/>
    <col min="12301" max="12301" width="13.75" style="2624" customWidth="1"/>
    <col min="12302" max="12544" width="9" style="2624"/>
    <col min="12545" max="12545" width="4.875" style="2624" customWidth="1"/>
    <col min="12546" max="12546" width="13.25" style="2624" customWidth="1"/>
    <col min="12547" max="12547" width="15.625" style="2624" customWidth="1"/>
    <col min="12548" max="12548" width="9.375" style="2624" bestFit="1" customWidth="1"/>
    <col min="12549" max="12549" width="13.375" style="2624" customWidth="1"/>
    <col min="12550" max="12550" width="9" style="2624"/>
    <col min="12551" max="12551" width="9.375" style="2624" bestFit="1" customWidth="1"/>
    <col min="12552" max="12553" width="9" style="2624"/>
    <col min="12554" max="12554" width="9.375" style="2624" bestFit="1" customWidth="1"/>
    <col min="12555" max="12555" width="4" style="2624" customWidth="1"/>
    <col min="12556" max="12556" width="5.125" style="2624" customWidth="1"/>
    <col min="12557" max="12557" width="13.75" style="2624" customWidth="1"/>
    <col min="12558" max="12800" width="9" style="2624"/>
    <col min="12801" max="12801" width="4.875" style="2624" customWidth="1"/>
    <col min="12802" max="12802" width="13.25" style="2624" customWidth="1"/>
    <col min="12803" max="12803" width="15.625" style="2624" customWidth="1"/>
    <col min="12804" max="12804" width="9.375" style="2624" bestFit="1" customWidth="1"/>
    <col min="12805" max="12805" width="13.375" style="2624" customWidth="1"/>
    <col min="12806" max="12806" width="9" style="2624"/>
    <col min="12807" max="12807" width="9.375" style="2624" bestFit="1" customWidth="1"/>
    <col min="12808" max="12809" width="9" style="2624"/>
    <col min="12810" max="12810" width="9.375" style="2624" bestFit="1" customWidth="1"/>
    <col min="12811" max="12811" width="4" style="2624" customWidth="1"/>
    <col min="12812" max="12812" width="5.125" style="2624" customWidth="1"/>
    <col min="12813" max="12813" width="13.75" style="2624" customWidth="1"/>
    <col min="12814" max="13056" width="9" style="2624"/>
    <col min="13057" max="13057" width="4.875" style="2624" customWidth="1"/>
    <col min="13058" max="13058" width="13.25" style="2624" customWidth="1"/>
    <col min="13059" max="13059" width="15.625" style="2624" customWidth="1"/>
    <col min="13060" max="13060" width="9.375" style="2624" bestFit="1" customWidth="1"/>
    <col min="13061" max="13061" width="13.375" style="2624" customWidth="1"/>
    <col min="13062" max="13062" width="9" style="2624"/>
    <col min="13063" max="13063" width="9.375" style="2624" bestFit="1" customWidth="1"/>
    <col min="13064" max="13065" width="9" style="2624"/>
    <col min="13066" max="13066" width="9.375" style="2624" bestFit="1" customWidth="1"/>
    <col min="13067" max="13067" width="4" style="2624" customWidth="1"/>
    <col min="13068" max="13068" width="5.125" style="2624" customWidth="1"/>
    <col min="13069" max="13069" width="13.75" style="2624" customWidth="1"/>
    <col min="13070" max="13312" width="9" style="2624"/>
    <col min="13313" max="13313" width="4.875" style="2624" customWidth="1"/>
    <col min="13314" max="13314" width="13.25" style="2624" customWidth="1"/>
    <col min="13315" max="13315" width="15.625" style="2624" customWidth="1"/>
    <col min="13316" max="13316" width="9.375" style="2624" bestFit="1" customWidth="1"/>
    <col min="13317" max="13317" width="13.375" style="2624" customWidth="1"/>
    <col min="13318" max="13318" width="9" style="2624"/>
    <col min="13319" max="13319" width="9.375" style="2624" bestFit="1" customWidth="1"/>
    <col min="13320" max="13321" width="9" style="2624"/>
    <col min="13322" max="13322" width="9.375" style="2624" bestFit="1" customWidth="1"/>
    <col min="13323" max="13323" width="4" style="2624" customWidth="1"/>
    <col min="13324" max="13324" width="5.125" style="2624" customWidth="1"/>
    <col min="13325" max="13325" width="13.75" style="2624" customWidth="1"/>
    <col min="13326" max="13568" width="9" style="2624"/>
    <col min="13569" max="13569" width="4.875" style="2624" customWidth="1"/>
    <col min="13570" max="13570" width="13.25" style="2624" customWidth="1"/>
    <col min="13571" max="13571" width="15.625" style="2624" customWidth="1"/>
    <col min="13572" max="13572" width="9.375" style="2624" bestFit="1" customWidth="1"/>
    <col min="13573" max="13573" width="13.375" style="2624" customWidth="1"/>
    <col min="13574" max="13574" width="9" style="2624"/>
    <col min="13575" max="13575" width="9.375" style="2624" bestFit="1" customWidth="1"/>
    <col min="13576" max="13577" width="9" style="2624"/>
    <col min="13578" max="13578" width="9.375" style="2624" bestFit="1" customWidth="1"/>
    <col min="13579" max="13579" width="4" style="2624" customWidth="1"/>
    <col min="13580" max="13580" width="5.125" style="2624" customWidth="1"/>
    <col min="13581" max="13581" width="13.75" style="2624" customWidth="1"/>
    <col min="13582" max="13824" width="9" style="2624"/>
    <col min="13825" max="13825" width="4.875" style="2624" customWidth="1"/>
    <col min="13826" max="13826" width="13.25" style="2624" customWidth="1"/>
    <col min="13827" max="13827" width="15.625" style="2624" customWidth="1"/>
    <col min="13828" max="13828" width="9.375" style="2624" bestFit="1" customWidth="1"/>
    <col min="13829" max="13829" width="13.375" style="2624" customWidth="1"/>
    <col min="13830" max="13830" width="9" style="2624"/>
    <col min="13831" max="13831" width="9.375" style="2624" bestFit="1" customWidth="1"/>
    <col min="13832" max="13833" width="9" style="2624"/>
    <col min="13834" max="13834" width="9.375" style="2624" bestFit="1" customWidth="1"/>
    <col min="13835" max="13835" width="4" style="2624" customWidth="1"/>
    <col min="13836" max="13836" width="5.125" style="2624" customWidth="1"/>
    <col min="13837" max="13837" width="13.75" style="2624" customWidth="1"/>
    <col min="13838" max="14080" width="9" style="2624"/>
    <col min="14081" max="14081" width="4.875" style="2624" customWidth="1"/>
    <col min="14082" max="14082" width="13.25" style="2624" customWidth="1"/>
    <col min="14083" max="14083" width="15.625" style="2624" customWidth="1"/>
    <col min="14084" max="14084" width="9.375" style="2624" bestFit="1" customWidth="1"/>
    <col min="14085" max="14085" width="13.375" style="2624" customWidth="1"/>
    <col min="14086" max="14086" width="9" style="2624"/>
    <col min="14087" max="14087" width="9.375" style="2624" bestFit="1" customWidth="1"/>
    <col min="14088" max="14089" width="9" style="2624"/>
    <col min="14090" max="14090" width="9.375" style="2624" bestFit="1" customWidth="1"/>
    <col min="14091" max="14091" width="4" style="2624" customWidth="1"/>
    <col min="14092" max="14092" width="5.125" style="2624" customWidth="1"/>
    <col min="14093" max="14093" width="13.75" style="2624" customWidth="1"/>
    <col min="14094" max="14336" width="9" style="2624"/>
    <col min="14337" max="14337" width="4.875" style="2624" customWidth="1"/>
    <col min="14338" max="14338" width="13.25" style="2624" customWidth="1"/>
    <col min="14339" max="14339" width="15.625" style="2624" customWidth="1"/>
    <col min="14340" max="14340" width="9.375" style="2624" bestFit="1" customWidth="1"/>
    <col min="14341" max="14341" width="13.375" style="2624" customWidth="1"/>
    <col min="14342" max="14342" width="9" style="2624"/>
    <col min="14343" max="14343" width="9.375" style="2624" bestFit="1" customWidth="1"/>
    <col min="14344" max="14345" width="9" style="2624"/>
    <col min="14346" max="14346" width="9.375" style="2624" bestFit="1" customWidth="1"/>
    <col min="14347" max="14347" width="4" style="2624" customWidth="1"/>
    <col min="14348" max="14348" width="5.125" style="2624" customWidth="1"/>
    <col min="14349" max="14349" width="13.75" style="2624" customWidth="1"/>
    <col min="14350" max="14592" width="9" style="2624"/>
    <col min="14593" max="14593" width="4.875" style="2624" customWidth="1"/>
    <col min="14594" max="14594" width="13.25" style="2624" customWidth="1"/>
    <col min="14595" max="14595" width="15.625" style="2624" customWidth="1"/>
    <col min="14596" max="14596" width="9.375" style="2624" bestFit="1" customWidth="1"/>
    <col min="14597" max="14597" width="13.375" style="2624" customWidth="1"/>
    <col min="14598" max="14598" width="9" style="2624"/>
    <col min="14599" max="14599" width="9.375" style="2624" bestFit="1" customWidth="1"/>
    <col min="14600" max="14601" width="9" style="2624"/>
    <col min="14602" max="14602" width="9.375" style="2624" bestFit="1" customWidth="1"/>
    <col min="14603" max="14603" width="4" style="2624" customWidth="1"/>
    <col min="14604" max="14604" width="5.125" style="2624" customWidth="1"/>
    <col min="14605" max="14605" width="13.75" style="2624" customWidth="1"/>
    <col min="14606" max="14848" width="9" style="2624"/>
    <col min="14849" max="14849" width="4.875" style="2624" customWidth="1"/>
    <col min="14850" max="14850" width="13.25" style="2624" customWidth="1"/>
    <col min="14851" max="14851" width="15.625" style="2624" customWidth="1"/>
    <col min="14852" max="14852" width="9.375" style="2624" bestFit="1" customWidth="1"/>
    <col min="14853" max="14853" width="13.375" style="2624" customWidth="1"/>
    <col min="14854" max="14854" width="9" style="2624"/>
    <col min="14855" max="14855" width="9.375" style="2624" bestFit="1" customWidth="1"/>
    <col min="14856" max="14857" width="9" style="2624"/>
    <col min="14858" max="14858" width="9.375" style="2624" bestFit="1" customWidth="1"/>
    <col min="14859" max="14859" width="4" style="2624" customWidth="1"/>
    <col min="14860" max="14860" width="5.125" style="2624" customWidth="1"/>
    <col min="14861" max="14861" width="13.75" style="2624" customWidth="1"/>
    <col min="14862" max="15104" width="9" style="2624"/>
    <col min="15105" max="15105" width="4.875" style="2624" customWidth="1"/>
    <col min="15106" max="15106" width="13.25" style="2624" customWidth="1"/>
    <col min="15107" max="15107" width="15.625" style="2624" customWidth="1"/>
    <col min="15108" max="15108" width="9.375" style="2624" bestFit="1" customWidth="1"/>
    <col min="15109" max="15109" width="13.375" style="2624" customWidth="1"/>
    <col min="15110" max="15110" width="9" style="2624"/>
    <col min="15111" max="15111" width="9.375" style="2624" bestFit="1" customWidth="1"/>
    <col min="15112" max="15113" width="9" style="2624"/>
    <col min="15114" max="15114" width="9.375" style="2624" bestFit="1" customWidth="1"/>
    <col min="15115" max="15115" width="4" style="2624" customWidth="1"/>
    <col min="15116" max="15116" width="5.125" style="2624" customWidth="1"/>
    <col min="15117" max="15117" width="13.75" style="2624" customWidth="1"/>
    <col min="15118" max="15360" width="9" style="2624"/>
    <col min="15361" max="15361" width="4.875" style="2624" customWidth="1"/>
    <col min="15362" max="15362" width="13.25" style="2624" customWidth="1"/>
    <col min="15363" max="15363" width="15.625" style="2624" customWidth="1"/>
    <col min="15364" max="15364" width="9.375" style="2624" bestFit="1" customWidth="1"/>
    <col min="15365" max="15365" width="13.375" style="2624" customWidth="1"/>
    <col min="15366" max="15366" width="9" style="2624"/>
    <col min="15367" max="15367" width="9.375" style="2624" bestFit="1" customWidth="1"/>
    <col min="15368" max="15369" width="9" style="2624"/>
    <col min="15370" max="15370" width="9.375" style="2624" bestFit="1" customWidth="1"/>
    <col min="15371" max="15371" width="4" style="2624" customWidth="1"/>
    <col min="15372" max="15372" width="5.125" style="2624" customWidth="1"/>
    <col min="15373" max="15373" width="13.75" style="2624" customWidth="1"/>
    <col min="15374" max="15616" width="9" style="2624"/>
    <col min="15617" max="15617" width="4.875" style="2624" customWidth="1"/>
    <col min="15618" max="15618" width="13.25" style="2624" customWidth="1"/>
    <col min="15619" max="15619" width="15.625" style="2624" customWidth="1"/>
    <col min="15620" max="15620" width="9.375" style="2624" bestFit="1" customWidth="1"/>
    <col min="15621" max="15621" width="13.375" style="2624" customWidth="1"/>
    <col min="15622" max="15622" width="9" style="2624"/>
    <col min="15623" max="15623" width="9.375" style="2624" bestFit="1" customWidth="1"/>
    <col min="15624" max="15625" width="9" style="2624"/>
    <col min="15626" max="15626" width="9.375" style="2624" bestFit="1" customWidth="1"/>
    <col min="15627" max="15627" width="4" style="2624" customWidth="1"/>
    <col min="15628" max="15628" width="5.125" style="2624" customWidth="1"/>
    <col min="15629" max="15629" width="13.75" style="2624" customWidth="1"/>
    <col min="15630" max="15872" width="9" style="2624"/>
    <col min="15873" max="15873" width="4.875" style="2624" customWidth="1"/>
    <col min="15874" max="15874" width="13.25" style="2624" customWidth="1"/>
    <col min="15875" max="15875" width="15.625" style="2624" customWidth="1"/>
    <col min="15876" max="15876" width="9.375" style="2624" bestFit="1" customWidth="1"/>
    <col min="15877" max="15877" width="13.375" style="2624" customWidth="1"/>
    <col min="15878" max="15878" width="9" style="2624"/>
    <col min="15879" max="15879" width="9.375" style="2624" bestFit="1" customWidth="1"/>
    <col min="15880" max="15881" width="9" style="2624"/>
    <col min="15882" max="15882" width="9.375" style="2624" bestFit="1" customWidth="1"/>
    <col min="15883" max="15883" width="4" style="2624" customWidth="1"/>
    <col min="15884" max="15884" width="5.125" style="2624" customWidth="1"/>
    <col min="15885" max="15885" width="13.75" style="2624" customWidth="1"/>
    <col min="15886" max="16128" width="9" style="2624"/>
    <col min="16129" max="16129" width="4.875" style="2624" customWidth="1"/>
    <col min="16130" max="16130" width="13.25" style="2624" customWidth="1"/>
    <col min="16131" max="16131" width="15.625" style="2624" customWidth="1"/>
    <col min="16132" max="16132" width="9.375" style="2624" bestFit="1" customWidth="1"/>
    <col min="16133" max="16133" width="13.375" style="2624" customWidth="1"/>
    <col min="16134" max="16134" width="9" style="2624"/>
    <col min="16135" max="16135" width="9.375" style="2624" bestFit="1" customWidth="1"/>
    <col min="16136" max="16137" width="9" style="2624"/>
    <col min="16138" max="16138" width="9.375" style="2624" bestFit="1" customWidth="1"/>
    <col min="16139" max="16139" width="4" style="2624" customWidth="1"/>
    <col min="16140" max="16140" width="5.125" style="2624" customWidth="1"/>
    <col min="16141" max="16141" width="13.75" style="2624" customWidth="1"/>
    <col min="16142" max="16384" width="9" style="2624"/>
  </cols>
  <sheetData>
    <row r="1" spans="1:257" s="2684" customFormat="1" ht="14.25" thickBot="1">
      <c r="A1" s="2683"/>
      <c r="B1" s="2685" t="s">
        <v>2740</v>
      </c>
      <c r="C1" s="2689">
        <f>项目基本情况!D3</f>
        <v>44623</v>
      </c>
      <c r="H1" s="2623">
        <f>IF(C1&gt;C13,0,MATCH(C1,C$13:C$100,-1))+IF(SUMIF(C13:C100,C1,D13:D100)=0,13,12)</f>
        <v>13</v>
      </c>
      <c r="I1" s="2623">
        <f>MATCH(C2,H3:H7,1)+IF(SUMIF(H3:H7,C2,I3:I7)=0,2,1)</f>
        <v>5</v>
      </c>
      <c r="J1" s="2682">
        <f ca="1">MATCH(C3,H3:H7,1)+IF(SUMIF(H3:H7,C3,J3:J7)=0,2,1)</f>
        <v>4</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2771</v>
      </c>
      <c r="C2" s="2690">
        <f>'数据-取费表'!B22</f>
        <v>2.5</v>
      </c>
      <c r="D2" s="2685" t="s">
        <v>2741</v>
      </c>
      <c r="E2" s="2688">
        <f ca="1">INDIRECT("I"&amp;$I$1)/100</f>
        <v>4.7500000000000001E-2</v>
      </c>
      <c r="G2" s="2625"/>
      <c r="H2" s="2625"/>
      <c r="I2" s="2625" t="s">
        <v>2742</v>
      </c>
      <c r="K2" s="2625"/>
      <c r="L2" s="2625"/>
      <c r="M2" s="2625"/>
      <c r="N2" s="2625" t="s">
        <v>2743</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2773</v>
      </c>
      <c r="C3" s="2687">
        <f>'数据-取费表'!B19</f>
        <v>1</v>
      </c>
      <c r="D3" s="2685" t="s">
        <v>2741</v>
      </c>
      <c r="E3" s="2688">
        <f ca="1">INDIRECT("J"&amp;$J$1)/100</f>
        <v>4.3499999999999997E-2</v>
      </c>
      <c r="G3" s="2627" t="s">
        <v>2744</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2772</v>
      </c>
      <c r="C4" s="2688">
        <f ca="1">N4/100</f>
        <v>1.4999999999999999E-2</v>
      </c>
      <c r="G4" s="2633" t="s">
        <v>2745</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2746</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2747</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25" thickBot="1">
      <c r="A7" s="2626"/>
      <c r="G7" s="2638" t="s">
        <v>2748</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0.25">
      <c r="A9" s="2646"/>
      <c r="B9" s="2647" t="s">
        <v>2749</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2.5">
      <c r="A10" s="2652"/>
      <c r="B10" s="2653" t="s">
        <v>2750</v>
      </c>
      <c r="C10" s="2652"/>
      <c r="D10" s="2652"/>
      <c r="E10" s="2652"/>
      <c r="F10" s="2652"/>
      <c r="G10" s="2652"/>
      <c r="H10" s="2652"/>
      <c r="I10" s="2626"/>
      <c r="J10" s="2626"/>
      <c r="K10" s="2652"/>
      <c r="L10" s="2653" t="s">
        <v>2751</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2752</v>
      </c>
      <c r="C11" s="2657" t="s">
        <v>2753</v>
      </c>
      <c r="D11" s="2658" t="s">
        <v>2754</v>
      </c>
      <c r="E11" s="2659"/>
      <c r="F11" s="2658" t="s">
        <v>2755</v>
      </c>
      <c r="G11" s="2660"/>
      <c r="H11" s="2659"/>
      <c r="I11" s="2658" t="s">
        <v>2756</v>
      </c>
      <c r="J11" s="2659"/>
      <c r="K11" s="2655"/>
      <c r="L11" s="2656" t="s">
        <v>2752</v>
      </c>
      <c r="M11" s="2657" t="s">
        <v>2753</v>
      </c>
      <c r="N11" s="2656" t="s">
        <v>2757</v>
      </c>
      <c r="O11" s="2658" t="s">
        <v>2758</v>
      </c>
      <c r="P11" s="2660"/>
      <c r="Q11" s="2660"/>
      <c r="R11" s="2660"/>
      <c r="S11" s="2660"/>
      <c r="T11" s="2659"/>
      <c r="U11" s="2658" t="s">
        <v>2759</v>
      </c>
      <c r="V11" s="2660"/>
      <c r="W11" s="2659"/>
      <c r="X11" s="2656" t="s">
        <v>2760</v>
      </c>
      <c r="Y11" s="2656" t="s">
        <v>2761</v>
      </c>
      <c r="Z11" s="2656" t="s">
        <v>2762</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2763</v>
      </c>
      <c r="E12" s="2665" t="s">
        <v>2764</v>
      </c>
      <c r="F12" s="2665" t="s">
        <v>2765</v>
      </c>
      <c r="G12" s="2665" t="s">
        <v>2766</v>
      </c>
      <c r="H12" s="2665" t="s">
        <v>2748</v>
      </c>
      <c r="I12" s="2666" t="s">
        <v>2767</v>
      </c>
      <c r="J12" s="2666" t="s">
        <v>2767</v>
      </c>
      <c r="K12" s="2662"/>
      <c r="L12" s="2663"/>
      <c r="M12" s="2664"/>
      <c r="N12" s="2663"/>
      <c r="O12" s="2666" t="s">
        <v>2768</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14.25">
      <c r="A13" s="2668"/>
      <c r="B13" s="2669" t="s">
        <v>2769</v>
      </c>
      <c r="C13" s="2670">
        <v>42301</v>
      </c>
      <c r="D13" s="2671">
        <v>4.3499999999999996</v>
      </c>
      <c r="E13" s="2671">
        <v>4.3499999999999996</v>
      </c>
      <c r="F13" s="2671">
        <v>4.75</v>
      </c>
      <c r="G13" s="2671">
        <v>4.75</v>
      </c>
      <c r="H13" s="2671">
        <v>4.9000000000000004</v>
      </c>
      <c r="I13" s="2671">
        <v>2.75</v>
      </c>
      <c r="J13" s="2671">
        <v>3.25</v>
      </c>
      <c r="K13" s="2668"/>
      <c r="L13" s="2669" t="s">
        <v>2769</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2770</v>
      </c>
      <c r="Y42" s="2675" t="s">
        <v>2770</v>
      </c>
      <c r="Z42" s="2675" t="s">
        <v>2770</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2770</v>
      </c>
      <c r="Y43" s="2675" t="s">
        <v>2770</v>
      </c>
      <c r="Z43" s="2675" t="s">
        <v>2770</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2770</v>
      </c>
      <c r="Y44" s="2675" t="s">
        <v>2770</v>
      </c>
      <c r="Z44" s="2675" t="s">
        <v>2770</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2770</v>
      </c>
      <c r="Y45" s="2675" t="s">
        <v>2770</v>
      </c>
      <c r="Z45" s="2675" t="s">
        <v>2770</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2770</v>
      </c>
      <c r="Y46" s="2675" t="s">
        <v>2770</v>
      </c>
      <c r="Z46" s="2675" t="s">
        <v>2770</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2770</v>
      </c>
      <c r="Y47" s="2675" t="s">
        <v>2770</v>
      </c>
      <c r="Z47" s="2675" t="s">
        <v>2770</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2770</v>
      </c>
      <c r="Y48" s="2675" t="s">
        <v>2770</v>
      </c>
      <c r="Z48" s="2675" t="s">
        <v>2770</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2770</v>
      </c>
      <c r="Y49" s="2675" t="s">
        <v>2770</v>
      </c>
      <c r="Z49" s="2675" t="s">
        <v>2770</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2770</v>
      </c>
      <c r="Y50" s="2675" t="s">
        <v>2770</v>
      </c>
      <c r="Z50" s="2675" t="s">
        <v>2770</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2770</v>
      </c>
      <c r="V51" s="2675" t="s">
        <v>2770</v>
      </c>
      <c r="W51" s="2675" t="s">
        <v>2770</v>
      </c>
      <c r="X51" s="2675" t="s">
        <v>2770</v>
      </c>
      <c r="Y51" s="2675" t="s">
        <v>2770</v>
      </c>
      <c r="Z51" s="2675" t="s">
        <v>2770</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2770</v>
      </c>
      <c r="J55" s="2675" t="s">
        <v>2770</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375" customWidth="1"/>
    <col min="4" max="4" width="7.125" customWidth="1"/>
    <col min="5" max="7" width="7.375" customWidth="1"/>
    <col min="8" max="10" width="6.375" customWidth="1"/>
  </cols>
  <sheetData>
    <row r="1" spans="1:18" ht="18.75">
      <c r="A1" s="3508" t="s">
        <v>2005</v>
      </c>
      <c r="B1" s="3508"/>
      <c r="C1" s="3508"/>
      <c r="D1" s="3508"/>
      <c r="E1" s="3508"/>
      <c r="F1" s="3508"/>
      <c r="G1" s="3508"/>
      <c r="H1" s="3508"/>
      <c r="I1" s="3508"/>
      <c r="J1" s="3508"/>
      <c r="K1" s="3508"/>
      <c r="L1" s="3508"/>
      <c r="M1" s="3508"/>
      <c r="N1" s="3508"/>
      <c r="O1" s="3508"/>
      <c r="P1" s="3508"/>
      <c r="Q1" s="3508"/>
      <c r="R1" s="3508"/>
    </row>
    <row r="2" spans="1:18">
      <c r="A2" s="1695" t="s">
        <v>2007</v>
      </c>
      <c r="B2" s="1695"/>
      <c r="C2" s="1695"/>
      <c r="D2" s="1695"/>
      <c r="E2" s="1695"/>
      <c r="F2" s="1695"/>
      <c r="G2" s="1695"/>
      <c r="H2" s="1695"/>
      <c r="I2" s="1696"/>
      <c r="J2" s="1696"/>
      <c r="K2" s="1697" t="str">
        <f>"估价期日："&amp;TEXT(项目基本情况!D3,"yyyy年m月d日;;")</f>
        <v>估价期日：2022年3月3日</v>
      </c>
      <c r="L2" s="1695"/>
      <c r="M2" s="1695"/>
      <c r="N2" s="1695"/>
      <c r="O2" s="1695"/>
      <c r="P2" s="1695"/>
      <c r="Q2" s="1695"/>
      <c r="R2" s="1697" t="str">
        <f>"估价期日的国有建设用地使用权性质："&amp;项目基本情况!B16</f>
        <v>估价期日的国有建设用地使用权性质：出让</v>
      </c>
    </row>
    <row r="3" spans="1:18" ht="23.25" customHeight="1">
      <c r="A3" s="3509" t="s">
        <v>1996</v>
      </c>
      <c r="B3" s="3509" t="s">
        <v>2684</v>
      </c>
      <c r="C3" s="3510" t="s">
        <v>1997</v>
      </c>
      <c r="D3" s="3509" t="s">
        <v>2688</v>
      </c>
      <c r="E3" s="3512" t="s">
        <v>1998</v>
      </c>
      <c r="F3" s="3512"/>
      <c r="G3" s="3512"/>
      <c r="H3" s="3512" t="s">
        <v>1999</v>
      </c>
      <c r="I3" s="3512"/>
      <c r="J3" s="3512"/>
      <c r="K3" s="3510" t="s">
        <v>2000</v>
      </c>
      <c r="L3" s="3510" t="s">
        <v>2001</v>
      </c>
      <c r="M3" s="3509" t="s">
        <v>2685</v>
      </c>
      <c r="N3" s="3511" t="str">
        <f>"（分摊）"&amp;项目基本情况!B16&amp;"国有建设用地使用权面积/㎡"</f>
        <v>（分摊）出让国有建设用地使用权面积/㎡</v>
      </c>
      <c r="O3" s="3509" t="s">
        <v>2030</v>
      </c>
      <c r="P3" s="3510" t="s">
        <v>2010</v>
      </c>
      <c r="Q3" s="3510" t="s">
        <v>2031</v>
      </c>
      <c r="R3" s="3510" t="s">
        <v>2002</v>
      </c>
    </row>
    <row r="4" spans="1:18" ht="36.75" customHeight="1">
      <c r="A4" s="3509"/>
      <c r="B4" s="3509"/>
      <c r="C4" s="3510"/>
      <c r="D4" s="3509"/>
      <c r="E4" s="2459" t="s">
        <v>2009</v>
      </c>
      <c r="F4" s="2459" t="s">
        <v>2697</v>
      </c>
      <c r="G4" s="2459" t="s">
        <v>2003</v>
      </c>
      <c r="H4" s="2459" t="s">
        <v>2004</v>
      </c>
      <c r="I4" s="2459" t="s">
        <v>2698</v>
      </c>
      <c r="J4" s="2459" t="s">
        <v>2003</v>
      </c>
      <c r="K4" s="3510"/>
      <c r="L4" s="3510"/>
      <c r="M4" s="3509"/>
      <c r="N4" s="3511"/>
      <c r="O4" s="3509"/>
      <c r="P4" s="3510"/>
      <c r="Q4" s="3510"/>
      <c r="R4" s="3510"/>
    </row>
    <row r="5" spans="1:18" ht="135" customHeight="1">
      <c r="A5" s="1830" t="s">
        <v>2608</v>
      </c>
      <c r="B5" s="2552" t="s">
        <v>2606</v>
      </c>
      <c r="C5" s="2458">
        <v>22</v>
      </c>
      <c r="D5" s="2457" t="s">
        <v>2607</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v>
      </c>
      <c r="L5" s="1698" t="str">
        <f>"红线外"&amp;项目基本情况!T40&amp;"、宗地红线内场地"&amp;项目基本情况!D36</f>
        <v>红线外七通、宗地红线内场地</v>
      </c>
      <c r="M5" s="1698">
        <f>IF(项目基本情况!B16="出让",项目基本情况!D20,"——")</f>
        <v>0</v>
      </c>
      <c r="N5" s="1698">
        <f>项目基本情况!C22</f>
        <v>18388.8</v>
      </c>
      <c r="O5" s="1698">
        <f>项目基本情况!C21</f>
        <v>18388.8</v>
      </c>
      <c r="P5" s="1698" t="e">
        <f ca="1">结果表!E42</f>
        <v>#REF!</v>
      </c>
      <c r="Q5" s="1698" t="e">
        <f ca="1">结果表!D42</f>
        <v>#REF!</v>
      </c>
      <c r="R5" s="1699" t="e">
        <f ca="1">结果表!C42</f>
        <v>#REF!</v>
      </c>
    </row>
    <row r="6" spans="1:18">
      <c r="A6" s="3505" t="str">
        <f>IF(项目基本情况!B9="市场价格","——","抵押价格")</f>
        <v>抵押价格</v>
      </c>
      <c r="B6" s="3506"/>
      <c r="C6" s="3506"/>
      <c r="D6" s="3506"/>
      <c r="E6" s="3506"/>
      <c r="F6" s="3506"/>
      <c r="G6" s="3506"/>
      <c r="H6" s="3506"/>
      <c r="I6" s="3506"/>
      <c r="J6" s="3506"/>
      <c r="K6" s="3506"/>
      <c r="L6" s="3506"/>
      <c r="M6" s="3506"/>
      <c r="N6" s="3506"/>
      <c r="O6" s="3506"/>
      <c r="P6" s="3506"/>
      <c r="Q6" s="3507"/>
      <c r="R6" s="1700" t="str">
        <f>结果表!O39</f>
        <v>——</v>
      </c>
    </row>
    <row r="7" spans="1:18">
      <c r="A7" s="3505" t="str">
        <f>IF(项目基本情况!B9="市场价格","——",IF(项目基本情况!E8="已注销及未注销","抵押担保权已注销时的抵押价格","——"))</f>
        <v>——</v>
      </c>
      <c r="B7" s="3506"/>
      <c r="C7" s="3506"/>
      <c r="D7" s="3506"/>
      <c r="E7" s="3506"/>
      <c r="F7" s="3506"/>
      <c r="G7" s="3506"/>
      <c r="H7" s="3506"/>
      <c r="I7" s="3506"/>
      <c r="J7" s="3506"/>
      <c r="K7" s="3506"/>
      <c r="L7" s="3506"/>
      <c r="M7" s="3506"/>
      <c r="N7" s="3506"/>
      <c r="O7" s="3506"/>
      <c r="P7" s="3506"/>
      <c r="Q7" s="3507"/>
      <c r="R7" s="1700" t="str">
        <f>结果表!O40</f>
        <v>——</v>
      </c>
    </row>
    <row r="8" spans="1:18">
      <c r="A8" s="3505">
        <f>IF(项目基本情况!B9="市场价格","——",项目基本情况!E9)</f>
        <v>0</v>
      </c>
      <c r="B8" s="3506"/>
      <c r="C8" s="3506"/>
      <c r="D8" s="3506"/>
      <c r="E8" s="3506"/>
      <c r="F8" s="3506"/>
      <c r="G8" s="3506"/>
      <c r="H8" s="3506"/>
      <c r="I8" s="3506"/>
      <c r="J8" s="3506"/>
      <c r="K8" s="3506"/>
      <c r="L8" s="3506"/>
      <c r="M8" s="3506"/>
      <c r="N8" s="3506"/>
      <c r="O8" s="3506"/>
      <c r="P8" s="3506"/>
      <c r="Q8" s="3507"/>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0" customWidth="1"/>
    <col min="2" max="3" width="21.375" style="1690" customWidth="1"/>
    <col min="4" max="4" width="19.875" style="1690" customWidth="1"/>
    <col min="5" max="16384" width="9" style="1690"/>
  </cols>
  <sheetData>
    <row r="1" spans="1:4">
      <c r="A1" s="3513" t="s">
        <v>2032</v>
      </c>
      <c r="B1" s="3513"/>
      <c r="C1" s="3513"/>
      <c r="D1" s="3513"/>
    </row>
    <row r="2" spans="1:4" ht="47.25" customHeight="1">
      <c r="A2" s="3517" t="str">
        <f>"1.权利限制："&amp;项目基本情况!L24&amp;"未设定租赁等其他他项权利。"</f>
        <v>1.权利限制：根据估价对象《不动产权证书》原件、《国有土地使用权》复印件，截至估价期日，估价对象抵押权未见登记。未设定租赁等其他他项权利。</v>
      </c>
      <c r="B2" s="3517"/>
      <c r="C2" s="3517"/>
      <c r="D2" s="3517"/>
    </row>
    <row r="3" spans="1:4" ht="48" customHeight="1">
      <c r="A3" s="35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3"/>
      <c r="C3" s="3513"/>
      <c r="D3" s="3513"/>
    </row>
    <row r="4" spans="1:4" ht="36.75" customHeight="1">
      <c r="A4" s="3513" t="str">
        <f>"3.估价规划限制条件：详见"&amp;项目基本情况!E21&amp;"。"</f>
        <v>3.估价规划限制条件：详见《建设工程规划许可证》[]、《出让合同》[]。</v>
      </c>
      <c r="B4" s="3513"/>
      <c r="C4" s="3513"/>
      <c r="D4" s="3513"/>
    </row>
    <row r="5" spans="1:4">
      <c r="A5" s="3516" t="s">
        <v>2033</v>
      </c>
      <c r="B5" s="3516"/>
      <c r="C5" s="3516"/>
      <c r="D5" s="3516"/>
    </row>
    <row r="6" spans="1:4">
      <c r="A6" s="3513" t="s">
        <v>2011</v>
      </c>
      <c r="B6" s="3513"/>
      <c r="C6" s="3513"/>
      <c r="D6" s="3513"/>
    </row>
    <row r="7" spans="1:4" ht="33" customHeight="1">
      <c r="A7" s="3513" t="s">
        <v>2528</v>
      </c>
      <c r="B7" s="3513"/>
      <c r="C7" s="3513"/>
      <c r="D7" s="3513"/>
    </row>
    <row r="8" spans="1:4" ht="32.25" customHeight="1">
      <c r="A8" s="35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3"/>
      <c r="C8" s="3513"/>
      <c r="D8" s="3513"/>
    </row>
    <row r="9" spans="1:4" ht="33.75" customHeight="1">
      <c r="A9" s="3513" t="str">
        <f>IF(项目基本情况!B8="抵押","3.抵押双方在办理抵押登记手续时，应使用本公司出具的正式《土地估价报告》，特提请报告使用者注意。","——")</f>
        <v>——</v>
      </c>
      <c r="B9" s="3513"/>
      <c r="C9" s="3513"/>
      <c r="D9" s="3513"/>
    </row>
    <row r="10" spans="1:4">
      <c r="A10" s="3513" t="str">
        <f>IF(项目基本情况!B8="抵押","4.估价师所知悉的法定优先受偿款情况为：","——")</f>
        <v>——</v>
      </c>
      <c r="B10" s="3513"/>
      <c r="C10" s="3513"/>
      <c r="D10" s="3513"/>
    </row>
    <row r="11" spans="1:4" ht="37.5" customHeight="1">
      <c r="A11" s="3515" t="str">
        <f>IF(项目基本情况!B8="抵押","（1）"&amp;CONCATENATE(项目基本情况!L24,项目基本情况!L25,项目基本情况!L26),"——")</f>
        <v>——</v>
      </c>
      <c r="B11" s="3515"/>
      <c r="C11" s="3515"/>
      <c r="D11" s="3515"/>
    </row>
    <row r="12" spans="1:4" ht="168" customHeight="1">
      <c r="A12" s="3516" t="s">
        <v>2035</v>
      </c>
      <c r="B12" s="3516"/>
      <c r="C12" s="3516"/>
      <c r="D12" s="3516"/>
    </row>
    <row r="13" spans="1:4">
      <c r="A13" s="3514" t="s">
        <v>2699</v>
      </c>
      <c r="B13" s="3514"/>
      <c r="C13" s="3514"/>
      <c r="D13" s="3514"/>
    </row>
    <row r="14" spans="1:4">
      <c r="A14" s="3515" t="str">
        <f>IF(项目基本情况!B8="抵押","综上，"&amp;结果表!K47,"——")</f>
        <v>——</v>
      </c>
      <c r="B14" s="3515"/>
      <c r="C14" s="3515"/>
      <c r="D14" s="3515"/>
    </row>
    <row r="15" spans="1:4" ht="58.5" customHeight="1">
      <c r="A15" s="35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3"/>
      <c r="C15" s="3513"/>
      <c r="D15" s="3513"/>
    </row>
    <row r="16" spans="1:4" ht="70.5" customHeight="1">
      <c r="A16" s="35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3"/>
      <c r="C16" s="3513"/>
      <c r="D16" s="3513"/>
    </row>
    <row r="17" spans="1:4">
      <c r="A17" s="3513" t="s">
        <v>2655</v>
      </c>
      <c r="B17" s="3513"/>
      <c r="C17" s="3513"/>
      <c r="D17" s="3513"/>
    </row>
    <row r="18" spans="1:4">
      <c r="A18" s="3513" t="s">
        <v>2647</v>
      </c>
      <c r="B18" s="3513"/>
      <c r="C18" s="3513"/>
      <c r="D18" s="3513"/>
    </row>
    <row r="19" spans="1:4">
      <c r="A19" s="2553" t="s">
        <v>2648</v>
      </c>
      <c r="B19" s="2553" t="s">
        <v>2649</v>
      </c>
      <c r="C19" s="2553" t="s">
        <v>2650</v>
      </c>
      <c r="D19" s="2553" t="s">
        <v>2651</v>
      </c>
    </row>
    <row r="20" spans="1:4">
      <c r="A20" s="2553" t="str">
        <f>项目基本情况!B4</f>
        <v>土地估价师</v>
      </c>
      <c r="B20" s="2553">
        <f>项目基本情况!C4</f>
        <v>0</v>
      </c>
      <c r="C20" s="2555"/>
      <c r="D20" s="1688" t="s">
        <v>2656</v>
      </c>
    </row>
    <row r="21" spans="1:4">
      <c r="A21" s="2553" t="str">
        <f>项目基本情况!D4</f>
        <v>土地估价师</v>
      </c>
      <c r="B21" s="2553">
        <f>项目基本情况!E4</f>
        <v>0</v>
      </c>
      <c r="C21" s="2555"/>
      <c r="D21" s="1688" t="s">
        <v>2657</v>
      </c>
    </row>
    <row r="23" spans="1:4">
      <c r="A23" s="3513" t="s">
        <v>2652</v>
      </c>
      <c r="B23" s="3513"/>
      <c r="C23" s="3513"/>
      <c r="D23" s="3513"/>
    </row>
    <row r="24" spans="1:4">
      <c r="A24" s="2553" t="s">
        <v>2648</v>
      </c>
      <c r="B24" s="2553" t="s">
        <v>2653</v>
      </c>
      <c r="C24" s="2553" t="s">
        <v>2650</v>
      </c>
      <c r="D24" s="2553" t="s">
        <v>2651</v>
      </c>
    </row>
    <row r="25" spans="1:4">
      <c r="A25" s="2556" t="s">
        <v>2654</v>
      </c>
      <c r="B25" s="2553" t="s">
        <v>927</v>
      </c>
      <c r="C25" s="2555"/>
      <c r="D25" s="1688" t="s">
        <v>2657</v>
      </c>
    </row>
    <row r="29" spans="1:4">
      <c r="D29" s="2554" t="s">
        <v>2006</v>
      </c>
    </row>
    <row r="30" spans="1:4">
      <c r="D30" s="255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375" defaultRowHeight="15.75"/>
  <cols>
    <col min="1" max="1" width="14.375" style="1130" customWidth="1"/>
    <col min="2" max="16384" width="14.37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3525" t="s">
        <v>53</v>
      </c>
      <c r="B15" s="3526" t="s">
        <v>822</v>
      </c>
      <c r="C15" s="3522"/>
    </row>
    <row r="16" spans="1:7" ht="14.25">
      <c r="A16" s="3525"/>
      <c r="B16" s="3523" t="s">
        <v>54</v>
      </c>
      <c r="C16" s="1137" t="s">
        <v>53</v>
      </c>
    </row>
    <row r="17" spans="1:3" ht="14.25">
      <c r="A17" s="3525"/>
      <c r="B17" s="3523"/>
      <c r="C17" s="1137" t="s">
        <v>55</v>
      </c>
    </row>
    <row r="18" spans="1:3" ht="14.25">
      <c r="A18" s="3525"/>
      <c r="B18" s="3523"/>
      <c r="C18" s="1137" t="s">
        <v>56</v>
      </c>
    </row>
    <row r="19" spans="1:3" ht="14.25">
      <c r="A19" s="3525"/>
      <c r="B19" s="3521" t="s">
        <v>57</v>
      </c>
      <c r="C19" s="3522"/>
    </row>
    <row r="20" spans="1:3" ht="14.25">
      <c r="A20" s="1138" t="s">
        <v>58</v>
      </c>
      <c r="B20" s="1139"/>
      <c r="C20" s="1140"/>
    </row>
    <row r="21" spans="1:3" ht="14.25">
      <c r="A21" s="3524" t="s">
        <v>59</v>
      </c>
      <c r="B21" s="3521" t="s">
        <v>60</v>
      </c>
      <c r="C21" s="3522"/>
    </row>
    <row r="22" spans="1:3" ht="14.25">
      <c r="A22" s="3524"/>
      <c r="B22" s="3521" t="s">
        <v>61</v>
      </c>
      <c r="C22" s="3522"/>
    </row>
    <row r="23" spans="1:3" ht="14.25">
      <c r="A23" s="3524"/>
      <c r="B23" s="3521" t="s">
        <v>62</v>
      </c>
      <c r="C23" s="3522"/>
    </row>
    <row r="24" spans="1:3" ht="14.25">
      <c r="A24" s="3524"/>
      <c r="B24" s="3527" t="s">
        <v>63</v>
      </c>
      <c r="C24" s="1141" t="s">
        <v>813</v>
      </c>
    </row>
    <row r="25" spans="1:3" ht="14.25">
      <c r="A25" s="3524"/>
      <c r="B25" s="3528"/>
      <c r="C25" s="1141" t="s">
        <v>814</v>
      </c>
    </row>
    <row r="26" spans="1:3" ht="14.25">
      <c r="A26" s="3524"/>
      <c r="B26" s="3528"/>
      <c r="C26" s="1141" t="s">
        <v>815</v>
      </c>
    </row>
    <row r="27" spans="1:3" ht="14.25">
      <c r="A27" s="3524"/>
      <c r="B27" s="3528"/>
      <c r="C27" s="1141" t="s">
        <v>816</v>
      </c>
    </row>
    <row r="28" spans="1:3" ht="14.25">
      <c r="A28" s="3524"/>
      <c r="B28" s="3528"/>
      <c r="C28" s="1141" t="s">
        <v>817</v>
      </c>
    </row>
    <row r="29" spans="1:3" ht="14.25">
      <c r="A29" s="3524"/>
      <c r="B29" s="3528"/>
      <c r="C29" s="1141" t="s">
        <v>818</v>
      </c>
    </row>
    <row r="30" spans="1:3" ht="14.25">
      <c r="A30" s="3524"/>
      <c r="B30" s="3528"/>
      <c r="C30" s="1141" t="s">
        <v>819</v>
      </c>
    </row>
    <row r="31" spans="1:3" ht="14.25">
      <c r="A31" s="3524"/>
      <c r="B31" s="3528"/>
      <c r="C31" s="1141" t="s">
        <v>820</v>
      </c>
    </row>
    <row r="32" spans="1:3" ht="14.25">
      <c r="A32" s="3524"/>
      <c r="B32" s="3528"/>
      <c r="C32" s="1141" t="s">
        <v>1621</v>
      </c>
    </row>
    <row r="33" spans="1:3" ht="14.25">
      <c r="A33" s="3524"/>
      <c r="B33" s="3518" t="s">
        <v>1627</v>
      </c>
      <c r="C33" s="1141" t="s">
        <v>1622</v>
      </c>
    </row>
    <row r="34" spans="1:3" ht="14.25">
      <c r="A34" s="3524"/>
      <c r="B34" s="3519"/>
      <c r="C34" s="1146" t="s">
        <v>1623</v>
      </c>
    </row>
    <row r="35" spans="1:3" ht="14.25">
      <c r="A35" s="3524"/>
      <c r="B35" s="3519"/>
      <c r="C35" s="1147" t="s">
        <v>1624</v>
      </c>
    </row>
    <row r="36" spans="1:3" ht="14.25">
      <c r="A36" s="3524"/>
      <c r="B36" s="3519"/>
      <c r="C36" s="1147" t="s">
        <v>1625</v>
      </c>
    </row>
    <row r="37" spans="1:3" ht="14.25">
      <c r="A37" s="3524"/>
      <c r="B37" s="3520"/>
      <c r="C37" s="1148" t="s">
        <v>1626</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B20" sqref="B20"/>
    </sheetView>
  </sheetViews>
  <sheetFormatPr defaultColWidth="22.625" defaultRowHeight="20.25" customHeight="1"/>
  <cols>
    <col min="1" max="1" width="24.75" style="2796" customWidth="1"/>
    <col min="2" max="2" width="22.75" style="2796" bestFit="1" customWidth="1"/>
    <col min="3" max="3" width="25.75" style="2796" bestFit="1" customWidth="1"/>
    <col min="4" max="4" width="22.625" style="2796"/>
    <col min="5" max="5" width="22.75" style="2796" bestFit="1" customWidth="1"/>
    <col min="6" max="6" width="25.625" style="2796" customWidth="1"/>
    <col min="7" max="16384" width="22.625" style="2796"/>
  </cols>
  <sheetData>
    <row r="1" spans="1:7" ht="20.25" customHeight="1">
      <c r="A1" s="2991"/>
      <c r="B1" s="2991"/>
      <c r="C1" s="2991"/>
      <c r="D1" s="2991"/>
      <c r="E1" s="2991"/>
      <c r="F1" s="2991"/>
      <c r="G1" s="2991"/>
    </row>
    <row r="2" spans="1:7" ht="20.25" customHeight="1">
      <c r="A2" s="2992" t="s">
        <v>1876</v>
      </c>
      <c r="B2" s="2993">
        <f ca="1">TODAY()</f>
        <v>44624</v>
      </c>
      <c r="C2" s="2994" t="s">
        <v>1877</v>
      </c>
      <c r="D2" s="2994"/>
      <c r="E2" s="2991"/>
      <c r="F2" s="2991"/>
      <c r="G2" s="2991"/>
    </row>
    <row r="3" spans="1:7" ht="20.25" customHeight="1">
      <c r="A3" s="3015" t="s">
        <v>1878</v>
      </c>
      <c r="B3" s="2996" t="s">
        <v>1879</v>
      </c>
      <c r="C3" s="2997" t="s">
        <v>1880</v>
      </c>
      <c r="D3" s="3016" t="s">
        <v>1881</v>
      </c>
      <c r="E3" s="2996" t="s">
        <v>1882</v>
      </c>
      <c r="F3" s="2996" t="s">
        <v>1880</v>
      </c>
      <c r="G3" s="2991"/>
    </row>
    <row r="4" spans="1:7" ht="20.25" customHeight="1">
      <c r="A4" s="2996" t="s">
        <v>1883</v>
      </c>
      <c r="B4" s="2996">
        <f ca="1">IF(C4&lt;B2,"已过期",1119970066)</f>
        <v>1119970066</v>
      </c>
      <c r="C4" s="2999">
        <v>44876</v>
      </c>
      <c r="D4" s="3007" t="s">
        <v>1883</v>
      </c>
      <c r="E4" s="2996">
        <f ca="1">IF(F4&lt;B2,"已过期",96010014)</f>
        <v>96010014</v>
      </c>
      <c r="F4" s="2998">
        <v>47118</v>
      </c>
      <c r="G4" s="2991"/>
    </row>
    <row r="5" spans="1:7" ht="20.25" customHeight="1">
      <c r="A5" s="2996" t="s">
        <v>1884</v>
      </c>
      <c r="B5" s="2996">
        <f ca="1">IF(C5&lt;B2,"已过期",1119970111)</f>
        <v>1119970111</v>
      </c>
      <c r="C5" s="2999">
        <v>44876</v>
      </c>
      <c r="D5" s="3007" t="s">
        <v>1884</v>
      </c>
      <c r="E5" s="2996">
        <f ca="1">IF(F5&lt;B2,"已过期",94010078)</f>
        <v>94010078</v>
      </c>
      <c r="F5" s="2998">
        <v>46387</v>
      </c>
      <c r="G5" s="2991"/>
    </row>
    <row r="6" spans="1:7" ht="20.25" customHeight="1">
      <c r="A6" s="2996" t="s">
        <v>1885</v>
      </c>
      <c r="B6" s="2996" t="str">
        <f ca="1">IF(C6&lt;B2,"已过期",1120050019)</f>
        <v>已过期</v>
      </c>
      <c r="C6" s="2999">
        <v>44395</v>
      </c>
      <c r="D6" s="3007" t="s">
        <v>1885</v>
      </c>
      <c r="E6" s="2996">
        <f ca="1">IF(F6&lt;B2,"已过期",2002110030)</f>
        <v>2002110030</v>
      </c>
      <c r="F6" s="2998">
        <v>46387</v>
      </c>
      <c r="G6" s="2991"/>
    </row>
    <row r="7" spans="1:7" ht="20.25" customHeight="1">
      <c r="A7" s="2996" t="s">
        <v>1886</v>
      </c>
      <c r="B7" s="2996">
        <f ca="1">IF(C7&lt;B2,"已过期",1120000080)</f>
        <v>1120000080</v>
      </c>
      <c r="C7" s="2999">
        <v>44876</v>
      </c>
      <c r="D7" s="3007" t="s">
        <v>1886</v>
      </c>
      <c r="E7" s="2996">
        <f ca="1">IF(F7&lt;B2,"已过期",2000110082)</f>
        <v>2000110082</v>
      </c>
      <c r="F7" s="2998">
        <v>46387</v>
      </c>
      <c r="G7" s="2991"/>
    </row>
    <row r="8" spans="1:7" ht="20.25" customHeight="1">
      <c r="A8" s="2996" t="s">
        <v>1887</v>
      </c>
      <c r="B8" s="2996">
        <f ca="1">IF(C8&lt;B2,"已过期",1419970001)</f>
        <v>1419970001</v>
      </c>
      <c r="C8" s="2999">
        <v>44899</v>
      </c>
      <c r="D8" s="3007" t="s">
        <v>1887</v>
      </c>
      <c r="E8" s="2996">
        <f ca="1">IF(F8&lt;B2,"已过期",2002110125)</f>
        <v>2002110125</v>
      </c>
      <c r="F8" s="2998">
        <v>47118</v>
      </c>
      <c r="G8" s="2991"/>
    </row>
    <row r="9" spans="1:7" ht="20.25" customHeight="1">
      <c r="A9" s="2996" t="s">
        <v>1888</v>
      </c>
      <c r="B9" s="2996" t="str">
        <f ca="1">IF(C9&lt;B2,"已过期",1120060040)</f>
        <v>已过期</v>
      </c>
      <c r="C9" s="2999">
        <v>44554</v>
      </c>
      <c r="D9" s="3007" t="s">
        <v>1888</v>
      </c>
      <c r="E9" s="2996">
        <f ca="1">IF(F9&lt;B2,"已过期",2004110096)</f>
        <v>2004110096</v>
      </c>
      <c r="F9" s="2998">
        <v>47118</v>
      </c>
      <c r="G9" s="2991"/>
    </row>
    <row r="10" spans="1:7" ht="20.25" customHeight="1">
      <c r="A10" s="2996" t="s">
        <v>1889</v>
      </c>
      <c r="B10" s="2996">
        <f ca="1">IF(C10&lt;B2,"已过期",1120100036)</f>
        <v>1120100036</v>
      </c>
      <c r="C10" s="2999">
        <v>44675</v>
      </c>
      <c r="D10" s="3007" t="s">
        <v>1889</v>
      </c>
      <c r="E10" s="2996">
        <f ca="1">IF(F10&lt;B2,"已过期",2010110070)</f>
        <v>2010110070</v>
      </c>
      <c r="F10" s="2998">
        <v>47907</v>
      </c>
      <c r="G10" s="2991"/>
    </row>
    <row r="11" spans="1:7" ht="20.25" customHeight="1">
      <c r="A11" s="2996" t="s">
        <v>1890</v>
      </c>
      <c r="B11" s="2996">
        <f ca="1">IF(C11&lt;B2,"已过期",1120070131)</f>
        <v>1120070131</v>
      </c>
      <c r="C11" s="2999">
        <v>44849</v>
      </c>
      <c r="D11" s="3007" t="s">
        <v>1890</v>
      </c>
      <c r="E11" s="2996">
        <f ca="1">IF(F11&lt;B2,"已过期",2014110011)</f>
        <v>2014110011</v>
      </c>
      <c r="F11" s="2998">
        <v>49302</v>
      </c>
      <c r="G11" s="2991"/>
    </row>
    <row r="12" spans="1:7" ht="20.25" customHeight="1">
      <c r="A12" s="2996" t="s">
        <v>2914</v>
      </c>
      <c r="B12" s="2996">
        <f ca="1">IF(C12&lt;B2,"已过期",1120040230)</f>
        <v>1120040230</v>
      </c>
      <c r="C12" s="2999">
        <v>44864</v>
      </c>
      <c r="D12" s="3007" t="s">
        <v>2915</v>
      </c>
      <c r="E12" s="2996">
        <f ca="1">IF(F12&lt;B2,"已过期",98030020)</f>
        <v>98030020</v>
      </c>
      <c r="F12" s="2998">
        <v>47118</v>
      </c>
      <c r="G12" s="2991"/>
    </row>
    <row r="13" spans="1:7" ht="20.25" customHeight="1">
      <c r="A13" s="2996"/>
      <c r="B13" s="2996"/>
      <c r="C13" s="2999"/>
      <c r="D13" s="3007" t="s">
        <v>1891</v>
      </c>
      <c r="E13" s="2996">
        <f ca="1">IF(F13&lt;B2,"已过期",2011110090)</f>
        <v>2011110090</v>
      </c>
      <c r="F13" s="2998">
        <v>48302</v>
      </c>
      <c r="G13" s="2991"/>
    </row>
    <row r="14" spans="1:7" ht="20.25" customHeight="1">
      <c r="A14" s="2996" t="s">
        <v>1892</v>
      </c>
      <c r="B14" s="2996" t="str">
        <f ca="1">IF(C14&lt;B2,"已过期",1120020033)</f>
        <v>已过期</v>
      </c>
      <c r="C14" s="2999">
        <v>44339</v>
      </c>
      <c r="D14" s="3007" t="s">
        <v>1892</v>
      </c>
      <c r="E14" s="2996">
        <f ca="1">IF(F14&lt;B2,"已过期",2000110137)</f>
        <v>2000110137</v>
      </c>
      <c r="F14" s="2998">
        <v>46387</v>
      </c>
      <c r="G14" s="2991"/>
    </row>
    <row r="15" spans="1:7" ht="20.25" customHeight="1">
      <c r="A15" s="2996" t="s">
        <v>2926</v>
      </c>
      <c r="B15" s="2996" t="str">
        <f ca="1">IF(C14&lt;B2,"已过期",1119980106)</f>
        <v>已过期</v>
      </c>
      <c r="C15" s="2999">
        <v>44969</v>
      </c>
      <c r="D15" s="3007"/>
      <c r="E15" s="2996"/>
      <c r="F15" s="2996"/>
      <c r="G15" s="2991"/>
    </row>
    <row r="16" spans="1:7" s="2797" customFormat="1" ht="20.25" customHeight="1">
      <c r="A16" s="2995" t="s">
        <v>2020</v>
      </c>
      <c r="B16" s="2995" t="s">
        <v>2020</v>
      </c>
      <c r="C16" s="2999"/>
      <c r="D16" s="3008" t="s">
        <v>2020</v>
      </c>
      <c r="E16" s="2996" t="s">
        <v>2020</v>
      </c>
      <c r="F16" s="2998"/>
      <c r="G16" s="3000"/>
    </row>
    <row r="17" spans="1:7" ht="20.25" customHeight="1">
      <c r="A17" s="3532" t="s">
        <v>1893</v>
      </c>
      <c r="B17" s="3533"/>
      <c r="C17" s="3533"/>
      <c r="D17" s="3533"/>
      <c r="E17" s="3533"/>
      <c r="F17" s="3533"/>
      <c r="G17" s="3000"/>
    </row>
    <row r="18" spans="1:7" ht="20.25" customHeight="1">
      <c r="A18" s="3529" t="s">
        <v>1894</v>
      </c>
      <c r="B18" s="3529"/>
      <c r="C18" s="3530"/>
      <c r="D18" s="3531" t="s">
        <v>1895</v>
      </c>
      <c r="E18" s="3529"/>
      <c r="F18" s="3529"/>
      <c r="G18" s="3000"/>
    </row>
    <row r="19" spans="1:7" s="2795" customFormat="1" ht="20.25" customHeight="1">
      <c r="A19" s="3001" t="s">
        <v>1896</v>
      </c>
      <c r="B19" s="3002" t="s">
        <v>1897</v>
      </c>
      <c r="C19" s="3009" t="s">
        <v>1898</v>
      </c>
      <c r="D19" s="3007" t="s">
        <v>1896</v>
      </c>
      <c r="E19" s="3002" t="s">
        <v>1897</v>
      </c>
      <c r="F19" s="3002" t="s">
        <v>1898</v>
      </c>
      <c r="G19" s="2992"/>
    </row>
    <row r="20" spans="1:7" s="2795" customFormat="1" ht="20.25" customHeight="1">
      <c r="A20" s="3003" t="s">
        <v>1899</v>
      </c>
      <c r="B20" s="3003" t="s">
        <v>1900</v>
      </c>
      <c r="C20" s="3010">
        <v>44820</v>
      </c>
      <c r="D20" s="3012" t="s">
        <v>1901</v>
      </c>
      <c r="E20" s="3003" t="s">
        <v>1902</v>
      </c>
      <c r="F20" s="3004">
        <v>44377</v>
      </c>
      <c r="G20" s="2992"/>
    </row>
    <row r="21" spans="1:7" s="2795" customFormat="1" ht="20.25" customHeight="1">
      <c r="A21" s="3003"/>
      <c r="B21" s="3003"/>
      <c r="C21" s="3011"/>
      <c r="D21" s="3012" t="s">
        <v>1903</v>
      </c>
      <c r="E21" s="3003" t="s">
        <v>2925</v>
      </c>
      <c r="F21" s="3004">
        <v>44012</v>
      </c>
      <c r="G21" s="2992"/>
    </row>
    <row r="22" spans="1:7" ht="20.25" customHeight="1">
      <c r="A22" s="2991"/>
      <c r="B22" s="2991"/>
      <c r="C22" s="3005"/>
      <c r="D22" s="3013"/>
      <c r="E22" s="3014"/>
      <c r="F22" s="3006" t="s">
        <v>2939</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50" customWidth="1"/>
    <col min="2" max="2" width="18.875" style="1128" customWidth="1"/>
    <col min="3" max="3" width="18.875" style="11" hidden="1" customWidth="1"/>
    <col min="4" max="4" width="5.375" style="9" hidden="1" customWidth="1"/>
    <col min="5" max="5" width="7.125" style="9" hidden="1" customWidth="1"/>
    <col min="6" max="6" width="10.625" style="9" hidden="1" customWidth="1"/>
    <col min="7" max="7" width="7.3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2499</v>
      </c>
      <c r="R1" s="2400"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8" t="s">
        <v>2891</v>
      </c>
      <c r="C18" s="1467"/>
    </row>
    <row r="19" spans="1:3">
      <c r="A19" s="8" t="s">
        <v>120</v>
      </c>
      <c r="B19" s="2758" t="s">
        <v>2898</v>
      </c>
      <c r="C19" s="1467"/>
    </row>
    <row r="20" spans="1:3">
      <c r="A20" s="8" t="s">
        <v>121</v>
      </c>
      <c r="B20" s="2758" t="s">
        <v>2940</v>
      </c>
      <c r="C20" s="1467"/>
    </row>
    <row r="21" spans="1:3">
      <c r="A21" s="8" t="s">
        <v>122</v>
      </c>
      <c r="B21" s="8" t="s">
        <v>3122</v>
      </c>
      <c r="C21" s="1467"/>
    </row>
    <row r="22" spans="1:3">
      <c r="A22" s="8" t="s">
        <v>123</v>
      </c>
      <c r="B22" s="8" t="s">
        <v>1616</v>
      </c>
      <c r="C22" s="1467"/>
    </row>
    <row r="23" spans="1:3">
      <c r="A23" s="8" t="s">
        <v>124</v>
      </c>
      <c r="B23" s="8" t="s">
        <v>1616</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1953</v>
      </c>
      <c r="B52" s="1659" t="s">
        <v>1954</v>
      </c>
      <c r="C52" s="1657" t="s">
        <v>1955</v>
      </c>
      <c r="D52" s="1657" t="s">
        <v>1956</v>
      </c>
      <c r="E52" s="1658"/>
    </row>
    <row r="53" spans="1:5">
      <c r="A53" s="3534"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3日，在规划利用条件下、设定土地开发程度为红线外“七通”、宗地内场地，设定用途为，剩余土地使用年限为的出让国有建设用地使用权价格。</v>
      </c>
      <c r="D53" s="1658"/>
      <c r="E53" s="1658"/>
    </row>
    <row r="54" spans="1:5">
      <c r="A54" s="3534"/>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534"/>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534"/>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534"/>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权重表</vt:lpstr>
      <vt:lpstr>结果表</vt:lpstr>
      <vt:lpstr>剩余法-待开发</vt:lpstr>
      <vt:lpstr>不动产收益法</vt:lpstr>
      <vt:lpstr>剩余法-现房</vt:lpstr>
      <vt:lpstr>比较法-住宅、综合</vt:lpstr>
      <vt:lpstr>办公租金案例</vt:lpstr>
      <vt:lpstr>基准地价</vt:lpstr>
      <vt:lpstr>修正</vt:lpstr>
      <vt:lpstr>区片价</vt:lpstr>
      <vt:lpstr>容积率修正</vt:lpstr>
      <vt:lpstr>因素修正幅度</vt:lpstr>
      <vt:lpstr>地价</vt:lpstr>
      <vt:lpstr>基准地价（汇总）</vt:lpstr>
      <vt:lpstr>收益还原法</vt:lpstr>
      <vt:lpstr>不动产收益法-酒店模型</vt:lpstr>
      <vt:lpstr>酒店收入计算</vt:lpstr>
      <vt:lpstr>比较法-工业</vt:lpstr>
      <vt:lpstr>成本逼近法</vt:lpstr>
      <vt:lpstr>土地案例</vt:lpstr>
      <vt:lpstr>成本案例比较法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2022-03-04T05:58:09Z</dcterms:modified>
</cp:coreProperties>
</file>