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23"/>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sheetId="21" r:id="rId22"/>
    <sheet name="不动产比较法-商业" sheetId="33" r:id="rId23"/>
    <sheet name="不动产收益法" sheetId="15"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9" r:id="rId42"/>
  </sheets>
  <externalReferences>
    <externalReference r:id="rId43"/>
  </externalReferences>
  <definedNames>
    <definedName name="_xlnm._FilterDatabase" localSheetId="24"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22"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40" i="39" l="1"/>
  <c r="G40" i="39"/>
  <c r="E40" i="39"/>
  <c r="C40" i="39"/>
  <c r="I9" i="39"/>
  <c r="G9" i="39"/>
  <c r="E9" i="39"/>
  <c r="I7" i="39"/>
  <c r="G7" i="39"/>
  <c r="E7" i="39"/>
  <c r="M3" i="69"/>
  <c r="M4" i="69"/>
  <c r="G48" i="39" s="1"/>
  <c r="M5" i="69"/>
  <c r="M6" i="69"/>
  <c r="M7" i="69"/>
  <c r="I48" i="39" s="1"/>
  <c r="M8" i="69"/>
  <c r="M9" i="69"/>
  <c r="M10" i="69"/>
  <c r="M11" i="69"/>
  <c r="M12" i="69"/>
  <c r="M13" i="69"/>
  <c r="M14" i="69"/>
  <c r="M15" i="69"/>
  <c r="M16" i="69"/>
  <c r="M17" i="69"/>
  <c r="M18" i="69"/>
  <c r="M19" i="69"/>
  <c r="M20" i="69"/>
  <c r="M21" i="69"/>
  <c r="M22" i="69"/>
  <c r="M2" i="69"/>
  <c r="E48" i="39" s="1"/>
  <c r="AL13" i="3" l="1"/>
  <c r="G21" i="6"/>
  <c r="F20" i="6"/>
  <c r="F19" i="6"/>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11" i="68" l="1"/>
  <c r="J10" i="68" s="1"/>
  <c r="F11" i="68"/>
  <c r="M8" i="68"/>
  <c r="F38" i="68"/>
  <c r="F9" i="68"/>
  <c r="M9" i="68"/>
  <c r="F40" i="68"/>
  <c r="F8" i="68"/>
  <c r="F37" i="68"/>
  <c r="F13" i="68"/>
  <c r="F26" i="68"/>
  <c r="F16" i="68"/>
  <c r="J15" i="68"/>
  <c r="F36" i="68"/>
  <c r="M22" i="68"/>
  <c r="F42" i="68"/>
  <c r="C76" i="68"/>
  <c r="M24" i="68"/>
  <c r="M6" i="68"/>
  <c r="M28" i="68"/>
  <c r="M23" i="68"/>
  <c r="M26" i="68"/>
  <c r="Q71" i="68" l="1"/>
  <c r="F51" i="68"/>
  <c r="F65" i="68"/>
  <c r="F64" i="68"/>
  <c r="F66" i="68"/>
  <c r="F68" i="68"/>
  <c r="F70"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B10" i="67"/>
  <c r="B8" i="67"/>
  <c r="B14" i="67"/>
  <c r="E9" i="67"/>
  <c r="E8" i="67"/>
  <c r="F13" i="67"/>
  <c r="B11" i="67"/>
  <c r="E14" i="67"/>
  <c r="F12" i="67"/>
  <c r="F10" i="67"/>
  <c r="E11" i="67"/>
  <c r="B9" i="67"/>
  <c r="E10" i="67"/>
  <c r="F8" i="67"/>
  <c r="F9" i="67"/>
  <c r="F11" i="67"/>
  <c r="E12" i="67"/>
  <c r="B12" i="67"/>
  <c r="F14" i="67"/>
  <c r="E13"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6" i="65"/>
  <c r="N4" i="65"/>
  <c r="I3" i="65"/>
  <c r="N3" i="65"/>
  <c r="C4" i="65" l="1"/>
  <c r="B39" i="1" s="1"/>
  <c r="I5" i="65"/>
  <c r="I7" i="65"/>
  <c r="I6" i="65"/>
  <c r="J7" i="65"/>
  <c r="J5" i="65"/>
  <c r="I4" i="65"/>
  <c r="J6" i="65"/>
  <c r="J3" i="65"/>
  <c r="J4" i="65"/>
  <c r="J1" i="65" l="1"/>
  <c r="E20" i="46"/>
  <c r="M5" i="54"/>
  <c r="A23" i="51"/>
  <c r="E3" i="65"/>
  <c r="F17" i="11" l="1"/>
  <c r="Y12" i="46"/>
  <c r="AA9" i="46"/>
  <c r="AA10" i="46" s="1"/>
  <c r="AB9" i="46"/>
  <c r="AB10" i="46" s="1"/>
  <c r="AC9" i="46"/>
  <c r="AD9" i="46"/>
  <c r="AE9" i="46"/>
  <c r="AF9" i="46"/>
  <c r="AF10" i="46" s="1"/>
  <c r="AG9" i="46"/>
  <c r="AG10" i="46" s="1"/>
  <c r="AH9" i="46"/>
  <c r="AI9" i="46"/>
  <c r="AI10" i="46" s="1"/>
  <c r="AJ9" i="46"/>
  <c r="AJ10" i="46" s="1"/>
  <c r="Z9" i="46"/>
  <c r="Z10" i="46" s="1"/>
  <c r="AH10" i="46"/>
  <c r="AE10" i="46"/>
  <c r="AD10" i="46"/>
  <c r="AC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AA10" i="59" l="1"/>
  <c r="AA11" i="59"/>
  <c r="AA12" i="59"/>
  <c r="AA13" i="59"/>
  <c r="Y15" i="59"/>
  <c r="Z15" i="59" s="1"/>
  <c r="Y16" i="59"/>
  <c r="Z16" i="59" s="1"/>
  <c r="Y17" i="59"/>
  <c r="Z17" i="59" s="1"/>
  <c r="B48" i="59"/>
  <c r="X11" i="59"/>
  <c r="X12" i="59"/>
  <c r="X13" i="59"/>
  <c r="AB15" i="59"/>
  <c r="AB16" i="59"/>
  <c r="AB17" i="59"/>
  <c r="B60" i="59"/>
  <c r="B59" i="59" s="1"/>
  <c r="C15" i="59"/>
  <c r="Y14" i="59"/>
  <c r="Z14" i="59" s="1"/>
  <c r="B19" i="59"/>
  <c r="B20" i="59" s="1"/>
  <c r="B21" i="59" s="1"/>
  <c r="S21" i="59" s="1"/>
  <c r="X18" i="59"/>
  <c r="B9" i="59"/>
  <c r="X5" i="59"/>
  <c r="F11" i="59"/>
  <c r="AB10" i="59"/>
  <c r="AB11" i="59"/>
  <c r="AB12" i="59"/>
  <c r="AB13" i="59"/>
  <c r="E15" i="59"/>
  <c r="E16" i="59" s="1"/>
  <c r="E17" i="59" s="1"/>
  <c r="U17" i="59" s="1"/>
  <c r="AA14" i="59"/>
  <c r="AA15" i="59"/>
  <c r="AA16" i="59"/>
  <c r="AA17" i="59"/>
  <c r="C19" i="59"/>
  <c r="Y18" i="59"/>
  <c r="Z18" i="59" s="1"/>
  <c r="Q46" i="59"/>
  <c r="C9" i="59"/>
  <c r="Y5" i="59"/>
  <c r="Z5" i="59" s="1"/>
  <c r="B11" i="59"/>
  <c r="X10" i="59"/>
  <c r="F15" i="59"/>
  <c r="AB14" i="59"/>
  <c r="E19" i="59"/>
  <c r="E20" i="59" s="1"/>
  <c r="E21" i="59" s="1"/>
  <c r="U21" i="59" s="1"/>
  <c r="AA18" i="59"/>
  <c r="E9" i="59"/>
  <c r="AA5" i="59"/>
  <c r="C11" i="59"/>
  <c r="C12" i="59" s="1"/>
  <c r="Y10" i="59"/>
  <c r="Z10" i="59" s="1"/>
  <c r="Y11" i="59"/>
  <c r="Z11" i="59" s="1"/>
  <c r="Y12" i="59"/>
  <c r="Z12" i="59" s="1"/>
  <c r="Y13" i="59"/>
  <c r="Z13" i="59" s="1"/>
  <c r="B15" i="59"/>
  <c r="B16" i="59" s="1"/>
  <c r="B17" i="59" s="1"/>
  <c r="S17" i="59" s="1"/>
  <c r="X14" i="59"/>
  <c r="X15" i="59"/>
  <c r="X16" i="59"/>
  <c r="X17" i="59"/>
  <c r="F19" i="59"/>
  <c r="F20" i="59" s="1"/>
  <c r="F21" i="59" s="1"/>
  <c r="V21" i="59" s="1"/>
  <c r="AB18" i="59"/>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4" i="59"/>
  <c r="F25" i="59" s="1"/>
  <c r="V25" i="59" s="1"/>
  <c r="F28" i="59"/>
  <c r="F29" i="59" s="1"/>
  <c r="V29" i="59" s="1"/>
  <c r="F36" i="59"/>
  <c r="F37" i="59" s="1"/>
  <c r="V37" i="59" s="1"/>
  <c r="F40" i="59"/>
  <c r="F41" i="59" s="1"/>
  <c r="V41" i="59" s="1"/>
  <c r="F44" i="59"/>
  <c r="F45" i="59" s="1"/>
  <c r="V45" i="59" s="1"/>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9" i="59" l="1"/>
  <c r="E8" i="59"/>
  <c r="E7" i="59" s="1"/>
  <c r="E6" i="59" s="1"/>
  <c r="E5" i="59" s="1"/>
  <c r="D9" i="59"/>
  <c r="T9" i="59"/>
  <c r="C8" i="59"/>
  <c r="V9" i="59"/>
  <c r="F8" i="59"/>
  <c r="F7" i="59" s="1"/>
  <c r="F6" i="59" s="1"/>
  <c r="F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7" i="40"/>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G17" i="11"/>
  <c r="F15" i="15"/>
  <c r="F17" i="15"/>
  <c r="F18" i="15"/>
  <c r="F20" i="15"/>
  <c r="F21" i="15"/>
  <c r="F33" i="15"/>
  <c r="F60" i="15" s="1"/>
  <c r="F13" i="44"/>
  <c r="K2" i="4"/>
  <c r="A2" i="9" s="1"/>
  <c r="K1" i="4"/>
  <c r="B1" i="4"/>
  <c r="B37" i="50" s="1"/>
  <c r="B2" i="63" s="1"/>
  <c r="C31" i="57"/>
  <c r="C32" i="57"/>
  <c r="I23" i="57"/>
  <c r="D20" i="57"/>
  <c r="I19" i="57"/>
  <c r="I18" i="57"/>
  <c r="I17" i="57"/>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0" i="46" s="1"/>
  <c r="M99" i="46"/>
  <c r="M108" i="46" s="1"/>
  <c r="N99" i="46"/>
  <c r="N108" i="46" s="1"/>
  <c r="C99" i="46"/>
  <c r="C108" i="46" s="1"/>
  <c r="L108" i="46"/>
  <c r="D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A478" i="3" s="1"/>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A445" i="3" s="1"/>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S105" i="31" s="1"/>
  <c r="R106" i="31"/>
  <c r="S106" i="31" s="1"/>
  <c r="R107" i="31"/>
  <c r="R108" i="31"/>
  <c r="S108" i="31" s="1"/>
  <c r="R109" i="31"/>
  <c r="R110" i="31"/>
  <c r="S110" i="31" s="1"/>
  <c r="R111" i="31"/>
  <c r="R112" i="31"/>
  <c r="S112" i="31" s="1"/>
  <c r="R113" i="31"/>
  <c r="S113" i="31" s="1"/>
  <c r="R114" i="31"/>
  <c r="S114" i="31" s="1"/>
  <c r="R115" i="31"/>
  <c r="R116" i="31"/>
  <c r="S116" i="31" s="1"/>
  <c r="R117" i="3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R214" i="31"/>
  <c r="S214" i="31" s="1"/>
  <c r="R215" i="31"/>
  <c r="R216" i="31"/>
  <c r="S216" i="31" s="1"/>
  <c r="R217" i="31"/>
  <c r="S217" i="31" s="1"/>
  <c r="R218" i="31"/>
  <c r="S218" i="31" s="1"/>
  <c r="R219" i="31"/>
  <c r="R220" i="31"/>
  <c r="S220" i="31" s="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S324" i="31" s="1"/>
  <c r="R325" i="31"/>
  <c r="S325" i="31" s="1"/>
  <c r="R326" i="31"/>
  <c r="R327" i="31"/>
  <c r="R328" i="31"/>
  <c r="S328" i="31" s="1"/>
  <c r="R329" i="31"/>
  <c r="R330" i="31"/>
  <c r="R331" i="31"/>
  <c r="R332" i="31"/>
  <c r="S332" i="31" s="1"/>
  <c r="R333" i="31"/>
  <c r="R334" i="31"/>
  <c r="R335" i="31"/>
  <c r="R336" i="31"/>
  <c r="S336" i="31" s="1"/>
  <c r="R337" i="31"/>
  <c r="S337" i="31" s="1"/>
  <c r="R338" i="31"/>
  <c r="R339" i="31"/>
  <c r="R340" i="31"/>
  <c r="S340" i="31" s="1"/>
  <c r="R341" i="31"/>
  <c r="S341" i="31" s="1"/>
  <c r="R342" i="31"/>
  <c r="R343" i="31"/>
  <c r="R344" i="31"/>
  <c r="S344" i="31" s="1"/>
  <c r="R345" i="31"/>
  <c r="R346" i="31"/>
  <c r="R347" i="31"/>
  <c r="R348" i="31"/>
  <c r="S348" i="31" s="1"/>
  <c r="R349" i="31"/>
  <c r="S349" i="31" s="1"/>
  <c r="R350" i="31"/>
  <c r="R351" i="31"/>
  <c r="R352" i="31"/>
  <c r="S352" i="31" s="1"/>
  <c r="R353" i="31"/>
  <c r="S353" i="31" s="1"/>
  <c r="R354" i="31"/>
  <c r="R355" i="31"/>
  <c r="R356" i="31"/>
  <c r="S356" i="31" s="1"/>
  <c r="R357" i="31"/>
  <c r="S357" i="31" s="1"/>
  <c r="R358" i="31"/>
  <c r="R359" i="31"/>
  <c r="R360" i="31"/>
  <c r="S360" i="31" s="1"/>
  <c r="R361" i="31"/>
  <c r="R362" i="31"/>
  <c r="R363" i="31"/>
  <c r="R364" i="31"/>
  <c r="S364" i="31" s="1"/>
  <c r="R365" i="31"/>
  <c r="R366" i="31"/>
  <c r="R367" i="31"/>
  <c r="R368" i="31"/>
  <c r="S368" i="31" s="1"/>
  <c r="R369" i="31"/>
  <c r="S369" i="31" s="1"/>
  <c r="R370" i="31"/>
  <c r="R371" i="31"/>
  <c r="R372" i="31"/>
  <c r="S372" i="31" s="1"/>
  <c r="R373" i="31"/>
  <c r="S373" i="31" s="1"/>
  <c r="R374" i="31"/>
  <c r="R375" i="31"/>
  <c r="R376" i="31"/>
  <c r="S376" i="31" s="1"/>
  <c r="R377" i="31"/>
  <c r="R378" i="31"/>
  <c r="R379" i="31"/>
  <c r="R380" i="31"/>
  <c r="S380" i="31" s="1"/>
  <c r="R381" i="31"/>
  <c r="S381" i="31" s="1"/>
  <c r="R382" i="31"/>
  <c r="R383" i="31"/>
  <c r="R384" i="31"/>
  <c r="S384" i="31" s="1"/>
  <c r="R385" i="31"/>
  <c r="S385" i="31" s="1"/>
  <c r="R386" i="31"/>
  <c r="R387" i="31"/>
  <c r="R388" i="31"/>
  <c r="S388" i="31" s="1"/>
  <c r="R389" i="31"/>
  <c r="S389" i="31" s="1"/>
  <c r="R390" i="31"/>
  <c r="R391" i="31"/>
  <c r="R392" i="31"/>
  <c r="S392" i="31" s="1"/>
  <c r="R393" i="31"/>
  <c r="R394" i="31"/>
  <c r="R395" i="31"/>
  <c r="R396" i="31"/>
  <c r="S396" i="31" s="1"/>
  <c r="R397" i="31"/>
  <c r="R398" i="31"/>
  <c r="R399" i="31"/>
  <c r="R400" i="31"/>
  <c r="S400" i="31" s="1"/>
  <c r="R401" i="31"/>
  <c r="S401" i="31" s="1"/>
  <c r="R402" i="31"/>
  <c r="R403" i="31"/>
  <c r="R404" i="31"/>
  <c r="S404" i="31" s="1"/>
  <c r="R405" i="31"/>
  <c r="S405" i="31" s="1"/>
  <c r="R406" i="31"/>
  <c r="R407" i="31"/>
  <c r="R408" i="31"/>
  <c r="S408" i="31" s="1"/>
  <c r="R409" i="31"/>
  <c r="R410" i="31"/>
  <c r="R411" i="31"/>
  <c r="R412" i="31"/>
  <c r="S412" i="31" s="1"/>
  <c r="R413" i="31"/>
  <c r="S413" i="31" s="1"/>
  <c r="R414" i="31"/>
  <c r="R415" i="31"/>
  <c r="R416" i="31"/>
  <c r="S416" i="31" s="1"/>
  <c r="R417" i="31"/>
  <c r="S417" i="31" s="1"/>
  <c r="R418" i="31"/>
  <c r="R419" i="31"/>
  <c r="R420" i="31"/>
  <c r="S420" i="31" s="1"/>
  <c r="R421" i="31"/>
  <c r="S421" i="31" s="1"/>
  <c r="R422" i="31"/>
  <c r="R423" i="3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S437" i="31" s="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S493" i="31" s="1"/>
  <c r="R494" i="31"/>
  <c r="R495" i="3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A7" i="46"/>
  <c r="F41" i="4"/>
  <c r="J57" i="39"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D3" i="33" s="1"/>
  <c r="C33" i="33" s="1"/>
  <c r="E21" i="6"/>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9" i="31"/>
  <c r="S418" i="31"/>
  <c r="S415" i="31"/>
  <c r="S414" i="31"/>
  <c r="S411" i="31"/>
  <c r="S410" i="31"/>
  <c r="S409" i="31"/>
  <c r="S407" i="31"/>
  <c r="S406" i="31"/>
  <c r="S403" i="31"/>
  <c r="S402" i="31"/>
  <c r="S399" i="31"/>
  <c r="S398" i="31"/>
  <c r="S397" i="31"/>
  <c r="S395" i="31"/>
  <c r="S394" i="31"/>
  <c r="S393" i="31"/>
  <c r="S391" i="31"/>
  <c r="S390" i="31"/>
  <c r="S387" i="31"/>
  <c r="S386" i="31"/>
  <c r="S383" i="31"/>
  <c r="S382" i="31"/>
  <c r="S379" i="31"/>
  <c r="S378" i="31"/>
  <c r="S377" i="31"/>
  <c r="S375" i="31"/>
  <c r="S374" i="31"/>
  <c r="S371" i="31"/>
  <c r="S370" i="31"/>
  <c r="S367" i="31"/>
  <c r="S366" i="31"/>
  <c r="S365" i="31"/>
  <c r="S363" i="31"/>
  <c r="S362" i="31"/>
  <c r="S361" i="31"/>
  <c r="S359" i="31"/>
  <c r="S358" i="31"/>
  <c r="S355" i="31"/>
  <c r="S354" i="31"/>
  <c r="S351" i="31"/>
  <c r="S350" i="31"/>
  <c r="S347" i="31"/>
  <c r="S346" i="31"/>
  <c r="S345" i="31"/>
  <c r="S343" i="31"/>
  <c r="S342" i="31"/>
  <c r="S339" i="31"/>
  <c r="S338" i="31"/>
  <c r="S335" i="31"/>
  <c r="S334" i="31"/>
  <c r="S333" i="31"/>
  <c r="S331" i="31"/>
  <c r="S330" i="31"/>
  <c r="S329" i="31"/>
  <c r="S327" i="31"/>
  <c r="S326" i="31"/>
  <c r="S323" i="31"/>
  <c r="S322"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7" i="31"/>
  <c r="S221" i="31"/>
  <c r="S219" i="31"/>
  <c r="S215" i="31"/>
  <c r="S213" i="31"/>
  <c r="S211" i="31"/>
  <c r="S207" i="31"/>
  <c r="S203" i="31"/>
  <c r="S199" i="31"/>
  <c r="S197" i="31"/>
  <c r="S195" i="31"/>
  <c r="S191" i="31"/>
  <c r="S189" i="31"/>
  <c r="S187" i="31"/>
  <c r="S183" i="31"/>
  <c r="S181" i="31"/>
  <c r="S179" i="31"/>
  <c r="S175" i="31"/>
  <c r="S171" i="31"/>
  <c r="S167" i="31"/>
  <c r="S165" i="31"/>
  <c r="S163" i="31"/>
  <c r="S159" i="31"/>
  <c r="S157" i="31"/>
  <c r="S155" i="31"/>
  <c r="S151" i="31"/>
  <c r="S149" i="31"/>
  <c r="S147" i="31"/>
  <c r="S143" i="31"/>
  <c r="S139" i="31"/>
  <c r="S135" i="31"/>
  <c r="S133" i="31"/>
  <c r="S131" i="31"/>
  <c r="S127" i="31"/>
  <c r="S125" i="31"/>
  <c r="S123" i="31"/>
  <c r="S496" i="31"/>
  <c r="S495" i="31"/>
  <c r="S494" i="31"/>
  <c r="S491" i="31"/>
  <c r="S490" i="31"/>
  <c r="S488" i="31"/>
  <c r="S487" i="31"/>
  <c r="S486" i="31"/>
  <c r="S484" i="31"/>
  <c r="S483" i="31"/>
  <c r="S482" i="31"/>
  <c r="S480" i="31"/>
  <c r="S479" i="31"/>
  <c r="S478" i="31"/>
  <c r="S476" i="31"/>
  <c r="S475" i="31"/>
  <c r="S474" i="31"/>
  <c r="S471" i="31"/>
  <c r="S443" i="31"/>
  <c r="S441" i="31"/>
  <c r="S439" i="31"/>
  <c r="S435" i="31"/>
  <c r="S433" i="31"/>
  <c r="S431" i="31"/>
  <c r="S119" i="31"/>
  <c r="S117" i="31"/>
  <c r="S115" i="31"/>
  <c r="S467" i="31"/>
  <c r="S463" i="31"/>
  <c r="S459" i="31"/>
  <c r="S457" i="31"/>
  <c r="S455" i="31"/>
  <c r="S451" i="31"/>
  <c r="S53" i="31"/>
  <c r="S51" i="31"/>
  <c r="S47" i="31"/>
  <c r="S45" i="31"/>
  <c r="S43" i="31"/>
  <c r="S39" i="31"/>
  <c r="S35" i="31"/>
  <c r="S75" i="31"/>
  <c r="S73" i="31"/>
  <c r="S71" i="31"/>
  <c r="S67" i="31"/>
  <c r="S65" i="31"/>
  <c r="S63" i="31"/>
  <c r="S59" i="31"/>
  <c r="S57" i="31"/>
  <c r="S55" i="31"/>
  <c r="S95" i="31"/>
  <c r="S91" i="31"/>
  <c r="S89" i="31"/>
  <c r="S87" i="31"/>
  <c r="S83" i="31"/>
  <c r="S81" i="31"/>
  <c r="S79" i="31"/>
  <c r="S31" i="31"/>
  <c r="S99" i="31"/>
  <c r="S101" i="31"/>
  <c r="S103" i="31"/>
  <c r="S107" i="31"/>
  <c r="S109" i="31"/>
  <c r="S111" i="31"/>
  <c r="S447" i="31"/>
  <c r="S507"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D113" i="33"/>
  <c r="D111" i="33"/>
  <c r="E111" i="33" s="1"/>
  <c r="F111" i="33" s="1"/>
  <c r="S515" i="31"/>
  <c r="S517" i="31"/>
  <c r="S519" i="31"/>
  <c r="S523" i="31"/>
  <c r="F41" i="21"/>
  <c r="AA41" i="21" s="1"/>
  <c r="J41" i="21"/>
  <c r="AC41" i="21"/>
  <c r="H41" i="21"/>
  <c r="D83" i="39"/>
  <c r="E83" i="39" s="1"/>
  <c r="F83" i="39" s="1"/>
  <c r="G83" i="39" s="1"/>
  <c r="H83" i="39" s="1"/>
  <c r="I83" i="39" s="1"/>
  <c r="J83" i="39" s="1"/>
  <c r="K83" i="39" s="1"/>
  <c r="L83" i="39" s="1"/>
  <c r="M83" i="39" s="1"/>
  <c r="D78" i="40"/>
  <c r="F13" i="40"/>
  <c r="S13" i="40" s="1"/>
  <c r="B122" i="40"/>
  <c r="F42" i="40" s="1"/>
  <c r="AA42" i="40" s="1"/>
  <c r="B120" i="40"/>
  <c r="F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s="1"/>
  <c r="J17" i="40" s="1"/>
  <c r="B83" i="40"/>
  <c r="F16" i="40" s="1"/>
  <c r="AA16" i="40" s="1"/>
  <c r="B81" i="40"/>
  <c r="J15" i="40" s="1"/>
  <c r="W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J46" i="39" s="1"/>
  <c r="W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D91" i="39"/>
  <c r="E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F39" i="37" s="1"/>
  <c r="B108" i="37"/>
  <c r="C23" i="37"/>
  <c r="C19" i="37"/>
  <c r="C17" i="37"/>
  <c r="C15" i="37"/>
  <c r="B112" i="37"/>
  <c r="J40" i="37" s="1"/>
  <c r="D107" i="37"/>
  <c r="E107" i="37" s="1"/>
  <c r="F107" i="37" s="1"/>
  <c r="G107" i="37" s="1"/>
  <c r="H107" i="37" s="1"/>
  <c r="I107" i="37" s="1"/>
  <c r="J107" i="37" s="1"/>
  <c r="K107" i="37" s="1"/>
  <c r="L107" i="37" s="1"/>
  <c r="M107" i="37" s="1"/>
  <c r="D105" i="37"/>
  <c r="E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c r="F75" i="37" s="1"/>
  <c r="D73" i="37"/>
  <c r="E73" i="37" s="1"/>
  <c r="F73" i="37" s="1"/>
  <c r="G73" i="37" s="1"/>
  <c r="D71" i="37"/>
  <c r="E71" i="37" s="1"/>
  <c r="F71" i="37" s="1"/>
  <c r="G71" i="37" s="1"/>
  <c r="F15" i="37"/>
  <c r="AA15" i="37" s="1"/>
  <c r="B68" i="37"/>
  <c r="H14" i="37" s="1"/>
  <c r="U14" i="37" s="1"/>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J26" i="36"/>
  <c r="W26" i="36" s="1"/>
  <c r="B75" i="36"/>
  <c r="B73" i="36"/>
  <c r="H24" i="36" s="1"/>
  <c r="B71" i="36"/>
  <c r="D70" i="36"/>
  <c r="H22" i="36"/>
  <c r="AB22" i="36" s="1"/>
  <c r="D68" i="36"/>
  <c r="E68" i="36" s="1"/>
  <c r="D64" i="36"/>
  <c r="E64" i="36" s="1"/>
  <c r="F64" i="36" s="1"/>
  <c r="G64" i="36" s="1"/>
  <c r="J16" i="36"/>
  <c r="D62" i="36"/>
  <c r="E62" i="36" s="1"/>
  <c r="B59" i="36"/>
  <c r="B57"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J35" i="35" s="1"/>
  <c r="B97" i="35"/>
  <c r="H34" i="35" s="1"/>
  <c r="B77" i="35"/>
  <c r="B75" i="35"/>
  <c r="F24" i="35" s="1"/>
  <c r="AA24" i="35" s="1"/>
  <c r="B73" i="35"/>
  <c r="J23" i="35" s="1"/>
  <c r="AC23" i="35" s="1"/>
  <c r="B57" i="35"/>
  <c r="F11" i="35" s="1"/>
  <c r="S11" i="35" s="1"/>
  <c r="B61" i="35"/>
  <c r="B59" i="35"/>
  <c r="B131" i="34"/>
  <c r="F47" i="34" s="1"/>
  <c r="AA47" i="34" s="1"/>
  <c r="B129" i="34"/>
  <c r="H46" i="34" s="1"/>
  <c r="AB46" i="34" s="1"/>
  <c r="B127" i="34"/>
  <c r="J45" i="34" s="1"/>
  <c r="W45" i="34" s="1"/>
  <c r="B99" i="34"/>
  <c r="H32" i="34" s="1"/>
  <c r="AB32" i="34" s="1"/>
  <c r="B97" i="34"/>
  <c r="F31" i="34" s="1"/>
  <c r="S31" i="34" s="1"/>
  <c r="B95" i="34"/>
  <c r="F30" i="34" s="1"/>
  <c r="S30" i="34" s="1"/>
  <c r="B93" i="34"/>
  <c r="B75" i="34"/>
  <c r="H14" i="34" s="1"/>
  <c r="AB14" i="34" s="1"/>
  <c r="B73" i="34"/>
  <c r="H13" i="34" s="1"/>
  <c r="U13" i="34" s="1"/>
  <c r="B71" i="34"/>
  <c r="J12" i="34" s="1"/>
  <c r="B130" i="33"/>
  <c r="F46" i="33" s="1"/>
  <c r="B128" i="33"/>
  <c r="B126" i="33"/>
  <c r="J44" i="33" s="1"/>
  <c r="AC44" i="33" s="1"/>
  <c r="B98" i="33"/>
  <c r="F31" i="33" s="1"/>
  <c r="AA31" i="33" s="1"/>
  <c r="B96" i="33"/>
  <c r="B94" i="33"/>
  <c r="J29" i="33" s="1"/>
  <c r="W29" i="33" s="1"/>
  <c r="B74" i="33"/>
  <c r="B72" i="33"/>
  <c r="J13" i="33" s="1"/>
  <c r="W13" i="33" s="1"/>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U8" i="34" s="1"/>
  <c r="F8" i="34"/>
  <c r="AA8" i="34" s="1"/>
  <c r="D121" i="33"/>
  <c r="J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U34"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c r="Q35" i="33"/>
  <c r="Z35" i="33" s="1"/>
  <c r="H35" i="33"/>
  <c r="AB35" i="33" s="1"/>
  <c r="Q34" i="33"/>
  <c r="Z34" i="33" s="1"/>
  <c r="Q33" i="33"/>
  <c r="Z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9" i="33"/>
  <c r="AC9" i="33" s="1"/>
  <c r="J8" i="33"/>
  <c r="W8" i="33" s="1"/>
  <c r="H8" i="33"/>
  <c r="U8" i="33" s="1"/>
  <c r="F8" i="33"/>
  <c r="S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H17" i="21" s="1"/>
  <c r="AB17" i="21" s="1"/>
  <c r="D85" i="21"/>
  <c r="E85" i="21" s="1"/>
  <c r="D81" i="21"/>
  <c r="E81" i="21" s="1"/>
  <c r="F81" i="21" s="1"/>
  <c r="G81" i="21" s="1"/>
  <c r="D77" i="21"/>
  <c r="E77" i="21" s="1"/>
  <c r="B130" i="21"/>
  <c r="H46" i="21" s="1"/>
  <c r="B128" i="21"/>
  <c r="B126" i="21"/>
  <c r="J44" i="21" s="1"/>
  <c r="AC44" i="21" s="1"/>
  <c r="B98" i="21"/>
  <c r="B96" i="21"/>
  <c r="J30" i="21" s="1"/>
  <c r="B94" i="21"/>
  <c r="B92" i="21"/>
  <c r="F28" i="21" s="1"/>
  <c r="AA28" i="21" s="1"/>
  <c r="B90" i="21"/>
  <c r="F27" i="21" s="1"/>
  <c r="AA27" i="21" s="1"/>
  <c r="B74" i="21"/>
  <c r="J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H38" i="21"/>
  <c r="AB38" i="21" s="1"/>
  <c r="H43" i="21"/>
  <c r="AB43" i="21" s="1"/>
  <c r="F32" i="21"/>
  <c r="S32" i="21" s="1"/>
  <c r="F38" i="21"/>
  <c r="S38" i="21" s="1"/>
  <c r="F36" i="21"/>
  <c r="F39" i="21"/>
  <c r="AA39" i="21" s="1"/>
  <c r="J40" i="21"/>
  <c r="W40" i="21" s="1"/>
  <c r="J8" i="21"/>
  <c r="W8" i="21" s="1"/>
  <c r="H8" i="21"/>
  <c r="U8" i="21" s="1"/>
  <c r="H10" i="21"/>
  <c r="U10" i="21" s="1"/>
  <c r="J34" i="21"/>
  <c r="W34" i="21" s="1"/>
  <c r="H36" i="21"/>
  <c r="U36" i="21" s="1"/>
  <c r="J10" i="21"/>
  <c r="AC10" i="21" s="1"/>
  <c r="H26" i="21"/>
  <c r="F19" i="21"/>
  <c r="AA19" i="21" s="1"/>
  <c r="J26" i="21"/>
  <c r="W26" i="21" s="1"/>
  <c r="F26" i="21"/>
  <c r="AA26" i="21" s="1"/>
  <c r="S41" i="21"/>
  <c r="W41" i="21"/>
  <c r="S10" i="39"/>
  <c r="E103" i="37"/>
  <c r="F103" i="37" s="1"/>
  <c r="G103" i="37" s="1"/>
  <c r="H103" i="37" s="1"/>
  <c r="I103" i="37" s="1"/>
  <c r="J103" i="37" s="1"/>
  <c r="K103" i="37" s="1"/>
  <c r="L103" i="37" s="1"/>
  <c r="M103" i="37" s="1"/>
  <c r="F29" i="36"/>
  <c r="AA29" i="36" s="1"/>
  <c r="F16" i="36"/>
  <c r="AA16" i="36" s="1"/>
  <c r="W22" i="36"/>
  <c r="U26" i="36"/>
  <c r="AC31" i="36"/>
  <c r="U31" i="35"/>
  <c r="S31" i="35"/>
  <c r="F36" i="34"/>
  <c r="S36" i="34" s="1"/>
  <c r="S34" i="34"/>
  <c r="F26" i="33"/>
  <c r="AA26" i="33" s="1"/>
  <c r="W38" i="33"/>
  <c r="S40" i="33"/>
  <c r="H39" i="37"/>
  <c r="AB39" i="37" s="1"/>
  <c r="S10" i="40"/>
  <c r="W10" i="40"/>
  <c r="S11" i="40"/>
  <c r="U11" i="40"/>
  <c r="S36" i="40"/>
  <c r="U36" i="40"/>
  <c r="S36" i="39"/>
  <c r="F11" i="21"/>
  <c r="S11" i="21" s="1"/>
  <c r="C29" i="39"/>
  <c r="U36" i="39"/>
  <c r="H11" i="21"/>
  <c r="U11" i="21" s="1"/>
  <c r="J11" i="21"/>
  <c r="W11" i="21" s="1"/>
  <c r="F86" i="40"/>
  <c r="G86" i="40" s="1"/>
  <c r="J27" i="36"/>
  <c r="W27" i="36" s="1"/>
  <c r="J34" i="36"/>
  <c r="J30" i="35"/>
  <c r="W30" i="35" s="1"/>
  <c r="F22" i="35"/>
  <c r="H10" i="35"/>
  <c r="E85" i="36"/>
  <c r="F85" i="36" s="1"/>
  <c r="G85" i="36" s="1"/>
  <c r="H85" i="36" s="1"/>
  <c r="I85" i="36" s="1"/>
  <c r="J85" i="36" s="1"/>
  <c r="K85" i="36" s="1"/>
  <c r="L85" i="36" s="1"/>
  <c r="M85" i="36" s="1"/>
  <c r="J29" i="36"/>
  <c r="AC29" i="36" s="1"/>
  <c r="F24" i="36"/>
  <c r="AA24" i="36" s="1"/>
  <c r="F34" i="36"/>
  <c r="S34" i="36" s="1"/>
  <c r="S10" i="36"/>
  <c r="H16" i="35"/>
  <c r="U16" i="35" s="1"/>
  <c r="H33" i="35"/>
  <c r="AB33" i="35" s="1"/>
  <c r="F35" i="37"/>
  <c r="E101" i="37"/>
  <c r="F101" i="37" s="1"/>
  <c r="G101" i="37" s="1"/>
  <c r="H101" i="37" s="1"/>
  <c r="I101" i="37" s="1"/>
  <c r="J101" i="37" s="1"/>
  <c r="K101" i="37" s="1"/>
  <c r="L101" i="37" s="1"/>
  <c r="M101" i="37" s="1"/>
  <c r="J34" i="37"/>
  <c r="W34" i="37" s="1"/>
  <c r="H43" i="34"/>
  <c r="AB43" i="34" s="1"/>
  <c r="U42" i="34"/>
  <c r="H36" i="34"/>
  <c r="U36" i="34" s="1"/>
  <c r="F37" i="34"/>
  <c r="AA37" i="34" s="1"/>
  <c r="F33" i="34"/>
  <c r="S33" i="34" s="1"/>
  <c r="F19" i="34"/>
  <c r="AA19" i="34" s="1"/>
  <c r="J10" i="34"/>
  <c r="AC10" i="34" s="1"/>
  <c r="J28" i="34"/>
  <c r="W28" i="34" s="1"/>
  <c r="S38" i="33"/>
  <c r="E113" i="33"/>
  <c r="F37" i="33" s="1"/>
  <c r="F19" i="33"/>
  <c r="S19" i="33" s="1"/>
  <c r="J19" i="33"/>
  <c r="W19" i="33" s="1"/>
  <c r="AB30" i="36"/>
  <c r="H29" i="35"/>
  <c r="U29" i="35" s="1"/>
  <c r="AA34" i="37"/>
  <c r="AC43" i="34"/>
  <c r="AB42" i="34"/>
  <c r="AB40" i="34"/>
  <c r="W36" i="34"/>
  <c r="J19" i="34"/>
  <c r="AC19" i="34" s="1"/>
  <c r="AC42" i="34"/>
  <c r="W42" i="34"/>
  <c r="AC38" i="34"/>
  <c r="W38" i="34"/>
  <c r="AA38" i="34"/>
  <c r="S38" i="34"/>
  <c r="J42" i="21"/>
  <c r="AC42" i="21" s="1"/>
  <c r="J44" i="34"/>
  <c r="AC44" i="34" s="1"/>
  <c r="F44" i="34"/>
  <c r="S44" i="34" s="1"/>
  <c r="J10" i="35"/>
  <c r="W10" i="35" s="1"/>
  <c r="AL5" i="3"/>
  <c r="BQ13" i="3"/>
  <c r="H28" i="21"/>
  <c r="AB28" i="21" s="1"/>
  <c r="H30" i="21"/>
  <c r="U30" i="21" s="1"/>
  <c r="F44" i="21"/>
  <c r="AA44" i="21"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J29" i="21"/>
  <c r="AC29" i="21" s="1"/>
  <c r="H29" i="21"/>
  <c r="U29" i="21" s="1"/>
  <c r="F29" i="21"/>
  <c r="S29" i="21" s="1"/>
  <c r="F31" i="21"/>
  <c r="S31" i="21" s="1"/>
  <c r="J45" i="21"/>
  <c r="W45" i="21" s="1"/>
  <c r="F45" i="21"/>
  <c r="AA45" i="21" s="1"/>
  <c r="H45" i="21"/>
  <c r="U45" i="21" s="1"/>
  <c r="J27" i="33"/>
  <c r="AC27" i="33" s="1"/>
  <c r="F13" i="33"/>
  <c r="S13" i="33" s="1"/>
  <c r="H31" i="33"/>
  <c r="U31" i="33" s="1"/>
  <c r="H28" i="36"/>
  <c r="J11" i="36"/>
  <c r="W11" i="36" s="1"/>
  <c r="H13" i="36"/>
  <c r="AB13" i="36" s="1"/>
  <c r="E89" i="37"/>
  <c r="F89" i="37" s="1"/>
  <c r="G89" i="37" s="1"/>
  <c r="H89" i="37" s="1"/>
  <c r="I89" i="37" s="1"/>
  <c r="J89" i="37" s="1"/>
  <c r="K89" i="37" s="1"/>
  <c r="L89" i="37" s="1"/>
  <c r="M89" i="37" s="1"/>
  <c r="J29" i="37"/>
  <c r="W29" i="37" s="1"/>
  <c r="F29" i="37"/>
  <c r="AA29" i="37" s="1"/>
  <c r="F105" i="37"/>
  <c r="G105" i="37" s="1"/>
  <c r="J37" i="37"/>
  <c r="AC37" i="37" s="1"/>
  <c r="H37" i="37"/>
  <c r="U37" i="37" s="1"/>
  <c r="H40" i="37"/>
  <c r="F40" i="37"/>
  <c r="AA40" i="37" s="1"/>
  <c r="H14" i="33"/>
  <c r="U14" i="33" s="1"/>
  <c r="F14" i="33"/>
  <c r="AA14" i="33" s="1"/>
  <c r="J14" i="33"/>
  <c r="AC14" i="33" s="1"/>
  <c r="H30" i="33"/>
  <c r="AB30" i="33" s="1"/>
  <c r="F30" i="33"/>
  <c r="S30" i="33" s="1"/>
  <c r="J30" i="33"/>
  <c r="AC30" i="33" s="1"/>
  <c r="H44" i="33"/>
  <c r="U44" i="33" s="1"/>
  <c r="F44" i="33"/>
  <c r="S44" i="33" s="1"/>
  <c r="J46" i="33"/>
  <c r="AC46" i="33" s="1"/>
  <c r="H46" i="33"/>
  <c r="AB46" i="33" s="1"/>
  <c r="J13" i="34"/>
  <c r="W13" i="34" s="1"/>
  <c r="F13" i="34"/>
  <c r="AA13" i="34" s="1"/>
  <c r="J29" i="34"/>
  <c r="AC29" i="34" s="1"/>
  <c r="F29" i="34"/>
  <c r="S29" i="34" s="1"/>
  <c r="H29" i="34"/>
  <c r="U29" i="34" s="1"/>
  <c r="J31" i="34"/>
  <c r="H31" i="34"/>
  <c r="AB31" i="34" s="1"/>
  <c r="H45" i="34"/>
  <c r="U45" i="34" s="1"/>
  <c r="F45" i="34"/>
  <c r="AA45" i="34" s="1"/>
  <c r="H47" i="34"/>
  <c r="U47" i="34" s="1"/>
  <c r="J47" i="34"/>
  <c r="AC47" i="34" s="1"/>
  <c r="F13" i="35"/>
  <c r="S13" i="35" s="1"/>
  <c r="J13" i="35"/>
  <c r="AC13" i="35" s="1"/>
  <c r="H13" i="35"/>
  <c r="U13" i="35" s="1"/>
  <c r="J25" i="35"/>
  <c r="AC25" i="35" s="1"/>
  <c r="F25" i="35"/>
  <c r="AA25" i="35" s="1"/>
  <c r="H25" i="35"/>
  <c r="AB25" i="35" s="1"/>
  <c r="F35" i="35"/>
  <c r="S35" i="35" s="1"/>
  <c r="H35" i="35"/>
  <c r="U35" i="35" s="1"/>
  <c r="J25" i="36"/>
  <c r="W25" i="36" s="1"/>
  <c r="F25" i="36"/>
  <c r="AA25" i="36" s="1"/>
  <c r="H25" i="36"/>
  <c r="AB25" i="36" s="1"/>
  <c r="H13" i="37"/>
  <c r="AB13" i="37" s="1"/>
  <c r="F13" i="37"/>
  <c r="S13" i="37" s="1"/>
  <c r="H28" i="37"/>
  <c r="U28" i="37" s="1"/>
  <c r="H38" i="37"/>
  <c r="AB38" i="37" s="1"/>
  <c r="J38" i="37"/>
  <c r="AC38" i="37" s="1"/>
  <c r="F38" i="37"/>
  <c r="S38" i="37" s="1"/>
  <c r="F14" i="37"/>
  <c r="AA14" i="37" s="1"/>
  <c r="F27" i="37"/>
  <c r="AA27" i="37" s="1"/>
  <c r="J14" i="37"/>
  <c r="J27" i="37"/>
  <c r="W27" i="37" s="1"/>
  <c r="J36" i="37"/>
  <c r="AC36" i="37" s="1"/>
  <c r="U36" i="37"/>
  <c r="G521" i="3"/>
  <c r="G508" i="3"/>
  <c r="G485" i="3"/>
  <c r="G557" i="3"/>
  <c r="G545" i="3"/>
  <c r="BL561" i="3"/>
  <c r="BL545" i="3"/>
  <c r="BL527" i="3"/>
  <c r="BL501" i="3"/>
  <c r="G16" i="3"/>
  <c r="BL559" i="3"/>
  <c r="BL541" i="3"/>
  <c r="G518" i="3"/>
  <c r="G510" i="3"/>
  <c r="G18" i="3"/>
  <c r="BA561" i="3"/>
  <c r="BA555" i="3"/>
  <c r="BA543" i="3"/>
  <c r="BA531" i="3"/>
  <c r="BA505" i="3"/>
  <c r="BA487" i="3"/>
  <c r="BA560" i="3"/>
  <c r="BA554" i="3"/>
  <c r="BA546" i="3"/>
  <c r="BA536" i="3"/>
  <c r="BA524" i="3"/>
  <c r="BA516" i="3"/>
  <c r="BA502" i="3"/>
  <c r="BA484" i="3"/>
  <c r="G566" i="3"/>
  <c r="G560" i="3"/>
  <c r="G554" i="3"/>
  <c r="BL543" i="3"/>
  <c r="AZ543" i="3" s="1"/>
  <c r="AC542" i="3"/>
  <c r="BQ542" i="3"/>
  <c r="BQ568" i="3"/>
  <c r="BQ566" i="3"/>
  <c r="BQ564" i="3"/>
  <c r="BL564" i="3" s="1"/>
  <c r="BQ562" i="3"/>
  <c r="BL562" i="3" s="1"/>
  <c r="BQ560" i="3"/>
  <c r="BQ558" i="3"/>
  <c r="BL558" i="3" s="1"/>
  <c r="BQ556" i="3"/>
  <c r="BQ554" i="3"/>
  <c r="BQ552" i="3"/>
  <c r="BQ550" i="3"/>
  <c r="BQ548" i="3"/>
  <c r="BQ546" i="3"/>
  <c r="BQ544" i="3"/>
  <c r="G538" i="3"/>
  <c r="G526" i="3"/>
  <c r="BQ540" i="3"/>
  <c r="BL540" i="3" s="1"/>
  <c r="BQ538" i="3"/>
  <c r="BL538" i="3" s="1"/>
  <c r="BQ536" i="3"/>
  <c r="BQ534" i="3"/>
  <c r="BQ532" i="3"/>
  <c r="BQ530" i="3"/>
  <c r="BQ528" i="3"/>
  <c r="BQ526" i="3"/>
  <c r="BQ524" i="3"/>
  <c r="BQ522" i="3"/>
  <c r="BQ520" i="3"/>
  <c r="BQ518" i="3"/>
  <c r="BQ516" i="3"/>
  <c r="BQ514" i="3"/>
  <c r="BQ512" i="3"/>
  <c r="BQ510" i="3"/>
  <c r="BL510" i="3" s="1"/>
  <c r="BQ508" i="3"/>
  <c r="AC506" i="3"/>
  <c r="G506" i="3" s="1"/>
  <c r="BQ506" i="3"/>
  <c r="G502" i="3"/>
  <c r="BQ504" i="3"/>
  <c r="BQ502" i="3"/>
  <c r="BL502" i="3" s="1"/>
  <c r="BQ500" i="3"/>
  <c r="BQ498" i="3"/>
  <c r="BQ496" i="3"/>
  <c r="AC494" i="3"/>
  <c r="BQ494" i="3"/>
  <c r="BL493" i="3"/>
  <c r="G488" i="3"/>
  <c r="BQ492" i="3"/>
  <c r="BL492" i="3" s="1"/>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17" i="37"/>
  <c r="F23" i="37"/>
  <c r="S23" i="37" s="1"/>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U23" i="37"/>
  <c r="AC41" i="34"/>
  <c r="H42" i="33"/>
  <c r="U42" i="33" s="1"/>
  <c r="J23" i="37"/>
  <c r="F17" i="37"/>
  <c r="AA17" i="37" s="1"/>
  <c r="D3" i="21"/>
  <c r="W23" i="35"/>
  <c r="S27" i="37"/>
  <c r="U39" i="37"/>
  <c r="AC36" i="34"/>
  <c r="AB8" i="34"/>
  <c r="AA13" i="33"/>
  <c r="F43" i="33"/>
  <c r="AA43" i="33" s="1"/>
  <c r="AB44" i="33"/>
  <c r="J37" i="21"/>
  <c r="W37" i="21" s="1"/>
  <c r="H19" i="34"/>
  <c r="AB19" i="34" s="1"/>
  <c r="J10" i="37"/>
  <c r="W10" i="37" s="1"/>
  <c r="F36" i="35"/>
  <c r="J9" i="37"/>
  <c r="W9" i="37" s="1"/>
  <c r="H9" i="37"/>
  <c r="U9" i="37" s="1"/>
  <c r="F11" i="37"/>
  <c r="S11" i="37" s="1"/>
  <c r="H15" i="37"/>
  <c r="U15" i="37" s="1"/>
  <c r="E94" i="37"/>
  <c r="F94" i="37" s="1"/>
  <c r="G94" i="37" s="1"/>
  <c r="H94" i="37" s="1"/>
  <c r="I94" i="37" s="1"/>
  <c r="J94" i="37" s="1"/>
  <c r="K94" i="37" s="1"/>
  <c r="L94" i="37" s="1"/>
  <c r="M94" i="37" s="1"/>
  <c r="F31" i="37"/>
  <c r="S31" i="37" s="1"/>
  <c r="H31" i="37"/>
  <c r="AB31" i="37" s="1"/>
  <c r="J15" i="37"/>
  <c r="W15" i="37" s="1"/>
  <c r="J11" i="37"/>
  <c r="W11" i="37" s="1"/>
  <c r="U31" i="37"/>
  <c r="E90" i="40"/>
  <c r="F21" i="40"/>
  <c r="S21" i="40" s="1"/>
  <c r="W36" i="40"/>
  <c r="U40" i="39"/>
  <c r="F90" i="40"/>
  <c r="G90" i="40" s="1"/>
  <c r="J21" i="40"/>
  <c r="AC21" i="40" s="1"/>
  <c r="S27" i="31"/>
  <c r="G515" i="3"/>
  <c r="G501" i="3"/>
  <c r="BA15" i="3"/>
  <c r="BL17" i="3"/>
  <c r="BL15" i="3"/>
  <c r="BA14" i="3"/>
  <c r="AZ14" i="3" s="1"/>
  <c r="H13" i="40"/>
  <c r="U13" i="40" s="1"/>
  <c r="I4" i="4"/>
  <c r="K141" i="21"/>
  <c r="K143" i="21"/>
  <c r="I59" i="40"/>
  <c r="C59" i="40" s="1"/>
  <c r="I60" i="40"/>
  <c r="C60" i="40" s="1"/>
  <c r="G297" i="3"/>
  <c r="BL298" i="3"/>
  <c r="G299" i="3"/>
  <c r="BL300" i="3"/>
  <c r="BA302" i="3"/>
  <c r="BA303" i="3"/>
  <c r="BL303" i="3"/>
  <c r="G304" i="3"/>
  <c r="BA305" i="3"/>
  <c r="G321" i="3"/>
  <c r="G323" i="3"/>
  <c r="BL324" i="3"/>
  <c r="BA326" i="3"/>
  <c r="BL327" i="3"/>
  <c r="G328" i="3"/>
  <c r="BA329" i="3"/>
  <c r="G337" i="3"/>
  <c r="BL338" i="3"/>
  <c r="G339" i="3"/>
  <c r="BA342" i="3"/>
  <c r="BA343" i="3"/>
  <c r="BL343" i="3"/>
  <c r="BA345" i="3"/>
  <c r="G353" i="3"/>
  <c r="BL354" i="3"/>
  <c r="G355" i="3"/>
  <c r="BL356" i="3"/>
  <c r="G357" i="3"/>
  <c r="G359" i="3"/>
  <c r="BA360" i="3"/>
  <c r="BA361" i="3"/>
  <c r="G362" i="3"/>
  <c r="BA363" i="3"/>
  <c r="AZ363" i="3" s="1"/>
  <c r="G371" i="3"/>
  <c r="G373" i="3"/>
  <c r="BL374" i="3"/>
  <c r="BA376" i="3"/>
  <c r="BA377" i="3"/>
  <c r="BL377" i="3"/>
  <c r="G378" i="3"/>
  <c r="BA114" i="3"/>
  <c r="BL115" i="3"/>
  <c r="BA118" i="3"/>
  <c r="BL119" i="3"/>
  <c r="G120" i="3"/>
  <c r="BA122" i="3"/>
  <c r="BL123" i="3"/>
  <c r="G124" i="3"/>
  <c r="BA126" i="3"/>
  <c r="BL127" i="3"/>
  <c r="G128" i="3"/>
  <c r="BA130" i="3"/>
  <c r="AZ130" i="3" s="1"/>
  <c r="BL131" i="3"/>
  <c r="G132" i="3"/>
  <c r="BA134" i="3"/>
  <c r="G136" i="3"/>
  <c r="BA138" i="3"/>
  <c r="G140" i="3"/>
  <c r="BA142" i="3"/>
  <c r="BL143" i="3"/>
  <c r="BA146" i="3"/>
  <c r="BL147" i="3"/>
  <c r="BA150" i="3"/>
  <c r="BL151" i="3"/>
  <c r="BA153" i="3"/>
  <c r="BL154" i="3"/>
  <c r="G155" i="3"/>
  <c r="BA157" i="3"/>
  <c r="BL158" i="3"/>
  <c r="G159" i="3"/>
  <c r="BA161" i="3"/>
  <c r="BL162" i="3"/>
  <c r="G163" i="3"/>
  <c r="BA165" i="3"/>
  <c r="AZ165" i="3" s="1"/>
  <c r="BL166" i="3"/>
  <c r="G167" i="3"/>
  <c r="BA169" i="3"/>
  <c r="G171" i="3"/>
  <c r="BA173" i="3"/>
  <c r="BL174" i="3"/>
  <c r="BA178" i="3"/>
  <c r="BL179" i="3"/>
  <c r="G180" i="3"/>
  <c r="BL181" i="3"/>
  <c r="G182" i="3"/>
  <c r="BA184" i="3"/>
  <c r="BL185" i="3"/>
  <c r="G186" i="3"/>
  <c r="BA188"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L323" i="3"/>
  <c r="G324" i="3"/>
  <c r="G327" i="3"/>
  <c r="BA330" i="3"/>
  <c r="BA331" i="3"/>
  <c r="AZ331" i="3" s="1"/>
  <c r="BL331" i="3"/>
  <c r="G332" i="3"/>
  <c r="G335" i="3"/>
  <c r="BL336" i="3"/>
  <c r="BA338" i="3"/>
  <c r="BA339" i="3"/>
  <c r="BL339" i="3"/>
  <c r="G340" i="3"/>
  <c r="G343" i="3"/>
  <c r="BL344" i="3"/>
  <c r="BA346" i="3"/>
  <c r="BL347" i="3"/>
  <c r="G348" i="3"/>
  <c r="G351" i="3"/>
  <c r="BL352" i="3"/>
  <c r="BA354" i="3"/>
  <c r="AZ354" i="3" s="1"/>
  <c r="BA355" i="3"/>
  <c r="BL355" i="3"/>
  <c r="AZ355" i="3" s="1"/>
  <c r="G356" i="3"/>
  <c r="BA358" i="3"/>
  <c r="BA359" i="3"/>
  <c r="G360" i="3"/>
  <c r="G361" i="3"/>
  <c r="BL362" i="3"/>
  <c r="BA365" i="3"/>
  <c r="BL365" i="3"/>
  <c r="G366" i="3"/>
  <c r="G369" i="3"/>
  <c r="BL370" i="3"/>
  <c r="BA372" i="3"/>
  <c r="BA373" i="3"/>
  <c r="G374" i="3"/>
  <c r="G377" i="3"/>
  <c r="BA380" i="3"/>
  <c r="BA381" i="3"/>
  <c r="BL381" i="3"/>
  <c r="AZ381" i="3" s="1"/>
  <c r="G385" i="3"/>
  <c r="BL297" i="3"/>
  <c r="G298" i="3"/>
  <c r="BA300" i="3"/>
  <c r="AZ300" i="3" s="1"/>
  <c r="BL301" i="3"/>
  <c r="G302" i="3"/>
  <c r="BA304" i="3"/>
  <c r="BL305" i="3"/>
  <c r="G306" i="3"/>
  <c r="BA308" i="3"/>
  <c r="BL309" i="3"/>
  <c r="G310" i="3"/>
  <c r="BL311" i="3"/>
  <c r="G312" i="3"/>
  <c r="BA312" i="3"/>
  <c r="G314" i="3"/>
  <c r="BA314" i="3"/>
  <c r="BL315" i="3"/>
  <c r="BA316" i="3"/>
  <c r="BL317" i="3"/>
  <c r="G318" i="3"/>
  <c r="BL321" i="3"/>
  <c r="G322" i="3"/>
  <c r="BA324" i="3"/>
  <c r="G326" i="3"/>
  <c r="BA328" i="3"/>
  <c r="BL329" i="3"/>
  <c r="BA332" i="3"/>
  <c r="BL333" i="3"/>
  <c r="G334" i="3"/>
  <c r="BL337" i="3"/>
  <c r="G338" i="3"/>
  <c r="BA340" i="3"/>
  <c r="G342" i="3"/>
  <c r="BA344" i="3"/>
  <c r="BL345" i="3"/>
  <c r="G346" i="3"/>
  <c r="BA348" i="3"/>
  <c r="BL349" i="3"/>
  <c r="G350" i="3"/>
  <c r="BA352" i="3"/>
  <c r="AZ352" i="3" s="1"/>
  <c r="BL353" i="3"/>
  <c r="G354" i="3"/>
  <c r="BA356" i="3"/>
  <c r="G358" i="3"/>
  <c r="BA362" i="3"/>
  <c r="BL363" i="3"/>
  <c r="BA366" i="3"/>
  <c r="BL367" i="3"/>
  <c r="G368" i="3"/>
  <c r="BA370" i="3"/>
  <c r="BL371" i="3"/>
  <c r="G372" i="3"/>
  <c r="BA374" i="3"/>
  <c r="BL375" i="3"/>
  <c r="G376" i="3"/>
  <c r="BA378" i="3"/>
  <c r="BL379" i="3"/>
  <c r="G380" i="3"/>
  <c r="BA382" i="3"/>
  <c r="BL383" i="3"/>
  <c r="G384" i="3"/>
  <c r="H7" i="48"/>
  <c r="H113" i="46"/>
  <c r="F33" i="46"/>
  <c r="F35" i="46"/>
  <c r="F37" i="46"/>
  <c r="H9" i="48"/>
  <c r="H8" i="48"/>
  <c r="C12" i="46"/>
  <c r="AA13" i="40"/>
  <c r="E78" i="40"/>
  <c r="F78" i="40" s="1"/>
  <c r="G78" i="40" s="1"/>
  <c r="H78" i="40" s="1"/>
  <c r="I78" i="40" s="1"/>
  <c r="J78" i="40" s="1"/>
  <c r="K78" i="40" s="1"/>
  <c r="L78" i="40" s="1"/>
  <c r="M78" i="40" s="1"/>
  <c r="BH5" i="3"/>
  <c r="R16" i="4"/>
  <c r="P16" i="4"/>
  <c r="D3" i="35"/>
  <c r="G4" i="4"/>
  <c r="J16" i="35"/>
  <c r="W16" i="35" s="1"/>
  <c r="AC26" i="36"/>
  <c r="W25" i="35"/>
  <c r="H13" i="39"/>
  <c r="AB13" i="39" s="1"/>
  <c r="J13" i="39"/>
  <c r="AC13" i="39" s="1"/>
  <c r="H11" i="37"/>
  <c r="AB11" i="37" s="1"/>
  <c r="W37" i="37"/>
  <c r="AC29" i="33"/>
  <c r="AC11" i="36"/>
  <c r="AC10" i="36"/>
  <c r="AB35" i="35"/>
  <c r="S25" i="35"/>
  <c r="W44" i="33"/>
  <c r="W30" i="33"/>
  <c r="U28" i="33"/>
  <c r="J33" i="34"/>
  <c r="AC33" i="34" s="1"/>
  <c r="AB36" i="34"/>
  <c r="J40" i="34"/>
  <c r="W40" i="34" s="1"/>
  <c r="F16" i="35"/>
  <c r="AA16" i="35" s="1"/>
  <c r="J35" i="34"/>
  <c r="W35" i="34" s="1"/>
  <c r="S30" i="36"/>
  <c r="H16" i="36"/>
  <c r="AB16" i="36" s="1"/>
  <c r="H35" i="37"/>
  <c r="AB35" i="37" s="1"/>
  <c r="S26" i="21"/>
  <c r="H32" i="21"/>
  <c r="U32" i="21" s="1"/>
  <c r="AB26" i="21"/>
  <c r="U26" i="21"/>
  <c r="J32" i="21"/>
  <c r="AC32" i="21" s="1"/>
  <c r="J17" i="21"/>
  <c r="AC17" i="21" s="1"/>
  <c r="F40" i="21"/>
  <c r="S40" i="21" s="1"/>
  <c r="H40" i="21"/>
  <c r="AB40" i="21" s="1"/>
  <c r="E119" i="21"/>
  <c r="F119" i="21" s="1"/>
  <c r="G119" i="21" s="1"/>
  <c r="H119" i="21" s="1"/>
  <c r="I119" i="21" s="1"/>
  <c r="J119" i="21" s="1"/>
  <c r="K119" i="21" s="1"/>
  <c r="L119" i="21" s="1"/>
  <c r="M119" i="21" s="1"/>
  <c r="AA8" i="33"/>
  <c r="AC8" i="33"/>
  <c r="F10" i="33"/>
  <c r="AA10" i="33" s="1"/>
  <c r="F11" i="33"/>
  <c r="S11" i="33" s="1"/>
  <c r="H19" i="33"/>
  <c r="AB19" i="33" s="1"/>
  <c r="F35" i="33"/>
  <c r="AA35" i="33" s="1"/>
  <c r="F11" i="34"/>
  <c r="S11" i="34" s="1"/>
  <c r="E80" i="34"/>
  <c r="F80" i="34" s="1"/>
  <c r="G80" i="34" s="1"/>
  <c r="H17" i="34"/>
  <c r="AB17" i="34" s="1"/>
  <c r="AB28" i="35"/>
  <c r="U28" i="35"/>
  <c r="H13" i="33"/>
  <c r="U13" i="33" s="1"/>
  <c r="F29" i="33"/>
  <c r="AA29" i="33" s="1"/>
  <c r="H12" i="34"/>
  <c r="AB12" i="34" s="1"/>
  <c r="J14" i="34"/>
  <c r="W14" i="34" s="1"/>
  <c r="H30" i="34"/>
  <c r="AB30" i="34" s="1"/>
  <c r="J30" i="34"/>
  <c r="W30" i="34" s="1"/>
  <c r="J32" i="34"/>
  <c r="W32" i="34" s="1"/>
  <c r="F46" i="34"/>
  <c r="AA46" i="34" s="1"/>
  <c r="H11" i="35"/>
  <c r="U11" i="35" s="1"/>
  <c r="F96" i="37"/>
  <c r="G96" i="37" s="1"/>
  <c r="H96" i="37" s="1"/>
  <c r="I96" i="37" s="1"/>
  <c r="J96" i="37" s="1"/>
  <c r="K96" i="37" s="1"/>
  <c r="L96" i="37" s="1"/>
  <c r="M96" i="37" s="1"/>
  <c r="H32" i="37"/>
  <c r="AB32" i="37" s="1"/>
  <c r="F43" i="39"/>
  <c r="AA43" i="39" s="1"/>
  <c r="H43" i="39"/>
  <c r="U43" i="39" s="1"/>
  <c r="J43" i="39"/>
  <c r="AC43" i="39" s="1"/>
  <c r="AC27" i="37"/>
  <c r="S45" i="34"/>
  <c r="U31" i="34"/>
  <c r="AC45" i="21"/>
  <c r="S28" i="33"/>
  <c r="AC19" i="33"/>
  <c r="U43" i="34"/>
  <c r="AC34" i="37"/>
  <c r="S35" i="37"/>
  <c r="AA35" i="37"/>
  <c r="BA571" i="3"/>
  <c r="F42" i="21"/>
  <c r="AA42" i="21" s="1"/>
  <c r="AB40" i="33"/>
  <c r="U40" i="33"/>
  <c r="S35" i="34"/>
  <c r="E90" i="34"/>
  <c r="F90" i="34" s="1"/>
  <c r="G90" i="34" s="1"/>
  <c r="H90" i="34" s="1"/>
  <c r="I90" i="34" s="1"/>
  <c r="J90" i="34" s="1"/>
  <c r="K90" i="34" s="1"/>
  <c r="L90" i="34" s="1"/>
  <c r="M90" i="34" s="1"/>
  <c r="H27" i="34"/>
  <c r="AB27" i="34" s="1"/>
  <c r="AB8" i="35"/>
  <c r="U8" i="35"/>
  <c r="S9"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F33" i="36"/>
  <c r="AA33" i="36" s="1"/>
  <c r="H27" i="36"/>
  <c r="AB27" i="36" s="1"/>
  <c r="AA31" i="36"/>
  <c r="AB29" i="37"/>
  <c r="AA30" i="37"/>
  <c r="AC31" i="37"/>
  <c r="W31" i="37"/>
  <c r="AB14" i="37"/>
  <c r="F21" i="39"/>
  <c r="S21" i="39" s="1"/>
  <c r="H21" i="39"/>
  <c r="AB21" i="39" s="1"/>
  <c r="J21" i="39"/>
  <c r="W21" i="39" s="1"/>
  <c r="F33" i="39"/>
  <c r="S33" i="39" s="1"/>
  <c r="F44" i="39"/>
  <c r="S44" i="39" s="1"/>
  <c r="J44" i="39"/>
  <c r="W44" i="39" s="1"/>
  <c r="F46" i="39"/>
  <c r="S46" i="39" s="1"/>
  <c r="F29" i="39"/>
  <c r="AA29" i="39" s="1"/>
  <c r="E103" i="39"/>
  <c r="F103" i="39" s="1"/>
  <c r="G103" i="39" s="1"/>
  <c r="H29" i="39"/>
  <c r="U29" i="39" s="1"/>
  <c r="F39" i="39"/>
  <c r="H39" i="39"/>
  <c r="AB39" i="39" s="1"/>
  <c r="J39" i="39"/>
  <c r="W39" i="39" s="1"/>
  <c r="J29" i="35"/>
  <c r="AC29" i="35" s="1"/>
  <c r="F29" i="35"/>
  <c r="S29" i="35" s="1"/>
  <c r="W30" i="36"/>
  <c r="F37" i="39"/>
  <c r="S37" i="39" s="1"/>
  <c r="H37" i="39"/>
  <c r="U37" i="39" s="1"/>
  <c r="J37" i="39"/>
  <c r="W37" i="39" s="1"/>
  <c r="BA568" i="3"/>
  <c r="BA567" i="3"/>
  <c r="BA564" i="3"/>
  <c r="AZ564" i="3" s="1"/>
  <c r="BL554" i="3"/>
  <c r="AZ554" i="3" s="1"/>
  <c r="BL549" i="3"/>
  <c r="BL548" i="3"/>
  <c r="BA547" i="3"/>
  <c r="BA538" i="3"/>
  <c r="BL536" i="3"/>
  <c r="BA535" i="3"/>
  <c r="BL531" i="3"/>
  <c r="BA530" i="3"/>
  <c r="BL528" i="3"/>
  <c r="BL523" i="3"/>
  <c r="BA522" i="3"/>
  <c r="BA519" i="3"/>
  <c r="BA518" i="3"/>
  <c r="BL515" i="3"/>
  <c r="BL513" i="3"/>
  <c r="BA511" i="3"/>
  <c r="BL509" i="3"/>
  <c r="BL507" i="3"/>
  <c r="BA506" i="3"/>
  <c r="BL504" i="3"/>
  <c r="BA503" i="3"/>
  <c r="BL499" i="3"/>
  <c r="BL498" i="3"/>
  <c r="BA497" i="3"/>
  <c r="BA495" i="3"/>
  <c r="G494" i="3"/>
  <c r="BL490" i="3"/>
  <c r="BL489" i="3"/>
  <c r="BL487" i="3"/>
  <c r="BL486" i="3"/>
  <c r="BA485" i="3"/>
  <c r="BA482" i="3"/>
  <c r="BA481" i="3"/>
  <c r="BL19" i="3"/>
  <c r="F36" i="44"/>
  <c r="H38" i="34"/>
  <c r="U38" i="34" s="1"/>
  <c r="H30" i="40"/>
  <c r="AB30" i="40" s="1"/>
  <c r="G100" i="40"/>
  <c r="F38" i="40"/>
  <c r="AA38" i="40" s="1"/>
  <c r="AB8" i="33"/>
  <c r="E106" i="33"/>
  <c r="F106" i="33" s="1"/>
  <c r="G106" i="33" s="1"/>
  <c r="H106" i="33" s="1"/>
  <c r="I106" i="33" s="1"/>
  <c r="J106" i="33" s="1"/>
  <c r="K106" i="33" s="1"/>
  <c r="L106" i="33" s="1"/>
  <c r="M106" i="33" s="1"/>
  <c r="F34" i="33"/>
  <c r="S34" i="33" s="1"/>
  <c r="E121" i="33"/>
  <c r="F41" i="33"/>
  <c r="S41" i="33" s="1"/>
  <c r="AC34" i="34"/>
  <c r="W34" i="34"/>
  <c r="AA39" i="34"/>
  <c r="S39" i="34"/>
  <c r="S43" i="34"/>
  <c r="E78" i="34"/>
  <c r="F15" i="34"/>
  <c r="AC28" i="35"/>
  <c r="J20" i="35"/>
  <c r="AC20" i="35" s="1"/>
  <c r="H22" i="35"/>
  <c r="AB22" i="35" s="1"/>
  <c r="H23" i="35"/>
  <c r="AB23" i="35" s="1"/>
  <c r="F23" i="35"/>
  <c r="AA23" i="35" s="1"/>
  <c r="U36" i="35"/>
  <c r="S8" i="37"/>
  <c r="F14" i="39"/>
  <c r="AA14" i="39" s="1"/>
  <c r="J14" i="39"/>
  <c r="AC14" i="39" s="1"/>
  <c r="H16" i="39"/>
  <c r="U16" i="39" s="1"/>
  <c r="E97" i="39"/>
  <c r="F23" i="39" s="1"/>
  <c r="AA23" i="39" s="1"/>
  <c r="H27" i="39"/>
  <c r="AB27" i="39" s="1"/>
  <c r="F15" i="40"/>
  <c r="AA15" i="40" s="1"/>
  <c r="H15" i="40"/>
  <c r="AB15" i="40" s="1"/>
  <c r="E92" i="40"/>
  <c r="F92" i="40"/>
  <c r="G92" i="40" s="1"/>
  <c r="H23" i="40"/>
  <c r="H41" i="40"/>
  <c r="AB41" i="40" s="1"/>
  <c r="J41" i="40"/>
  <c r="AC41" i="40" s="1"/>
  <c r="H37" i="34"/>
  <c r="AB37" i="34" s="1"/>
  <c r="F15" i="39"/>
  <c r="AA15" i="39" s="1"/>
  <c r="H15" i="39"/>
  <c r="U15" i="39" s="1"/>
  <c r="J15" i="39"/>
  <c r="H25" i="39"/>
  <c r="U25" i="39" s="1"/>
  <c r="J25" i="39"/>
  <c r="AC25" i="39" s="1"/>
  <c r="F25" i="39"/>
  <c r="AA25" i="39" s="1"/>
  <c r="F45" i="39"/>
  <c r="AA45" i="39" s="1"/>
  <c r="H45" i="39"/>
  <c r="U45" i="39" s="1"/>
  <c r="J45" i="39"/>
  <c r="AC45" i="39" s="1"/>
  <c r="F47" i="39"/>
  <c r="AA47" i="39" s="1"/>
  <c r="H47" i="39"/>
  <c r="J47" i="39"/>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4" i="40"/>
  <c r="W14" i="40" s="1"/>
  <c r="H42" i="40"/>
  <c r="AB42" i="40" s="1"/>
  <c r="H40" i="40"/>
  <c r="U40" i="40" s="1"/>
  <c r="J42" i="40"/>
  <c r="AC42" i="40" s="1"/>
  <c r="J40" i="40"/>
  <c r="AC40" i="40" s="1"/>
  <c r="H16" i="40"/>
  <c r="AB16" i="40" s="1"/>
  <c r="H14" i="40"/>
  <c r="F32" i="40"/>
  <c r="AA32" i="40" s="1"/>
  <c r="M1" i="46"/>
  <c r="M6" i="46"/>
  <c r="M10" i="46"/>
  <c r="N2" i="46"/>
  <c r="N5" i="46"/>
  <c r="F58" i="46" s="1"/>
  <c r="F47" i="46"/>
  <c r="H49" i="46" s="1"/>
  <c r="N7" i="46"/>
  <c r="M7" i="46"/>
  <c r="M11" i="46"/>
  <c r="N3" i="46"/>
  <c r="N6" i="46"/>
  <c r="N10" i="46"/>
  <c r="J13" i="40"/>
  <c r="W13" i="40" s="1"/>
  <c r="W35" i="40"/>
  <c r="U37" i="34"/>
  <c r="J23" i="40"/>
  <c r="AC23" i="40" s="1"/>
  <c r="F23" i="40"/>
  <c r="S23" i="40" s="1"/>
  <c r="W14" i="39"/>
  <c r="U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B37" i="39"/>
  <c r="AA29" i="35"/>
  <c r="J29" i="39"/>
  <c r="AC29" i="39" s="1"/>
  <c r="U21" i="39"/>
  <c r="AA11" i="36"/>
  <c r="G99" i="37"/>
  <c r="F33" i="37" s="1"/>
  <c r="U17" i="34"/>
  <c r="AA40" i="21"/>
  <c r="U42" i="40"/>
  <c r="H25" i="40"/>
  <c r="AB25" i="40" s="1"/>
  <c r="J37" i="34"/>
  <c r="AC37" i="34" s="1"/>
  <c r="J23" i="39"/>
  <c r="AC23" i="39" s="1"/>
  <c r="U30" i="40"/>
  <c r="W29" i="35"/>
  <c r="AC39" i="39"/>
  <c r="U11" i="36"/>
  <c r="W14" i="35"/>
  <c r="F27" i="34"/>
  <c r="S27" i="34" s="1"/>
  <c r="S43" i="39"/>
  <c r="F32" i="37"/>
  <c r="S32" i="37" s="1"/>
  <c r="AB11" i="35"/>
  <c r="U32" i="34"/>
  <c r="AC14" i="34"/>
  <c r="AB13" i="33"/>
  <c r="F17" i="34"/>
  <c r="AA17" i="34" s="1"/>
  <c r="J17" i="34"/>
  <c r="AC17" i="34" s="1"/>
  <c r="H11" i="34"/>
  <c r="AB11" i="34" s="1"/>
  <c r="J35" i="33"/>
  <c r="W35" i="33" s="1"/>
  <c r="H11" i="33"/>
  <c r="U11" i="33" s="1"/>
  <c r="H10" i="33"/>
  <c r="U10" i="33" s="1"/>
  <c r="J10" i="33"/>
  <c r="AC10" i="33" s="1"/>
  <c r="U11" i="37"/>
  <c r="U13" i="39"/>
  <c r="AC16" i="35"/>
  <c r="AC13" i="40"/>
  <c r="J11" i="34"/>
  <c r="W11" i="34" s="1"/>
  <c r="F25" i="40"/>
  <c r="AA25" i="40" s="1"/>
  <c r="J11" i="33"/>
  <c r="W11" i="33" s="1"/>
  <c r="H33" i="37"/>
  <c r="AB33" i="37" s="1"/>
  <c r="D73" i="9"/>
  <c r="N73" i="9" s="1"/>
  <c r="J51" i="15"/>
  <c r="B11" i="1"/>
  <c r="E11" i="1" s="1"/>
  <c r="K11" i="1"/>
  <c r="M11" i="1" s="1"/>
  <c r="B9" i="1"/>
  <c r="E9" i="1" s="1"/>
  <c r="K9" i="1"/>
  <c r="M9" i="1" s="1"/>
  <c r="B7" i="1"/>
  <c r="E7" i="1" s="1"/>
  <c r="K7" i="1"/>
  <c r="M7" i="1" s="1"/>
  <c r="O7" i="1" s="1"/>
  <c r="P7" i="1" s="1"/>
  <c r="C20" i="43"/>
  <c r="L47" i="68"/>
  <c r="E2" i="65"/>
  <c r="AC9" i="34" l="1"/>
  <c r="W9" i="34"/>
  <c r="AZ538" i="3"/>
  <c r="J12" i="21"/>
  <c r="F43" i="21"/>
  <c r="S43" i="21" s="1"/>
  <c r="BL571" i="3"/>
  <c r="F34" i="35"/>
  <c r="J39" i="37"/>
  <c r="AC15" i="34"/>
  <c r="S47" i="39"/>
  <c r="AZ365" i="3"/>
  <c r="AZ173" i="3"/>
  <c r="AA38" i="37"/>
  <c r="BL568" i="3"/>
  <c r="BL567" i="3"/>
  <c r="BL566" i="3"/>
  <c r="BA563" i="3"/>
  <c r="BA562" i="3"/>
  <c r="BL557" i="3"/>
  <c r="BA553" i="3"/>
  <c r="BL551" i="3"/>
  <c r="BA541" i="3"/>
  <c r="BA532" i="3"/>
  <c r="AZ345" i="3"/>
  <c r="AZ536" i="3"/>
  <c r="AZ487" i="3"/>
  <c r="BL570" i="3"/>
  <c r="BL569" i="3"/>
  <c r="BL539" i="3"/>
  <c r="BL537" i="3"/>
  <c r="G537" i="3"/>
  <c r="BA533" i="3"/>
  <c r="BL530" i="3"/>
  <c r="BL529" i="3"/>
  <c r="G529" i="3"/>
  <c r="BA527" i="3"/>
  <c r="AZ527" i="3" s="1"/>
  <c r="BA525" i="3"/>
  <c r="BL522" i="3"/>
  <c r="G522" i="3"/>
  <c r="BL521" i="3"/>
  <c r="BA520" i="3"/>
  <c r="BA517" i="3"/>
  <c r="W32" i="40"/>
  <c r="AZ561" i="3"/>
  <c r="H37" i="33"/>
  <c r="AB37" i="33" s="1"/>
  <c r="G569" i="3"/>
  <c r="BA565" i="3"/>
  <c r="BL563" i="3"/>
  <c r="G562" i="3"/>
  <c r="G561" i="3"/>
  <c r="BA559" i="3"/>
  <c r="AZ559" i="3" s="1"/>
  <c r="BA558" i="3"/>
  <c r="G553" i="3"/>
  <c r="BA551" i="3"/>
  <c r="BA550" i="3"/>
  <c r="BA549" i="3"/>
  <c r="AZ549" i="3" s="1"/>
  <c r="BL547" i="3"/>
  <c r="AZ547" i="3" s="1"/>
  <c r="BL546" i="3"/>
  <c r="G546" i="3"/>
  <c r="BA542" i="3"/>
  <c r="G514" i="3"/>
  <c r="G513" i="3"/>
  <c r="BA509" i="3"/>
  <c r="AZ509" i="3" s="1"/>
  <c r="BL506" i="3"/>
  <c r="BA504" i="3"/>
  <c r="G498" i="3"/>
  <c r="BL497" i="3"/>
  <c r="G497" i="3"/>
  <c r="BA496" i="3"/>
  <c r="G492" i="3"/>
  <c r="BL491" i="3"/>
  <c r="BA490" i="3"/>
  <c r="AZ490" i="3" s="1"/>
  <c r="BA489" i="3"/>
  <c r="G483" i="3"/>
  <c r="BA20" i="3"/>
  <c r="BB5" i="3"/>
  <c r="BL400" i="3"/>
  <c r="G401" i="3"/>
  <c r="G428" i="3"/>
  <c r="G436" i="3"/>
  <c r="BL439" i="3"/>
  <c r="BL440" i="3"/>
  <c r="BA443" i="3"/>
  <c r="BL446" i="3"/>
  <c r="G447" i="3"/>
  <c r="G460" i="3"/>
  <c r="BA467" i="3"/>
  <c r="G474" i="3"/>
  <c r="BL474" i="3"/>
  <c r="G305" i="3"/>
  <c r="BA309" i="3"/>
  <c r="AZ309" i="3" s="1"/>
  <c r="BA310" i="3"/>
  <c r="BA318" i="3"/>
  <c r="BA323" i="3"/>
  <c r="AZ323" i="3" s="1"/>
  <c r="BA350" i="3"/>
  <c r="BL360" i="3"/>
  <c r="AZ360" i="3" s="1"/>
  <c r="BL361" i="3"/>
  <c r="AZ361" i="3" s="1"/>
  <c r="G365" i="3"/>
  <c r="BA371" i="3"/>
  <c r="AZ371" i="3" s="1"/>
  <c r="BL373" i="3"/>
  <c r="AZ373" i="3" s="1"/>
  <c r="BL378" i="3"/>
  <c r="AZ378" i="3" s="1"/>
  <c r="BA379" i="3"/>
  <c r="G382" i="3"/>
  <c r="BA384" i="3"/>
  <c r="G386" i="3"/>
  <c r="G387" i="3"/>
  <c r="G208" i="3"/>
  <c r="G212" i="3"/>
  <c r="BL219" i="3"/>
  <c r="G221" i="3"/>
  <c r="G233" i="3"/>
  <c r="G241" i="3"/>
  <c r="BL255" i="3"/>
  <c r="G260" i="3"/>
  <c r="G114" i="3"/>
  <c r="G119" i="3"/>
  <c r="G144" i="3"/>
  <c r="G145" i="3"/>
  <c r="BL153" i="3"/>
  <c r="AZ153" i="3" s="1"/>
  <c r="BL171" i="3"/>
  <c r="BL183" i="3"/>
  <c r="BL200" i="3"/>
  <c r="AZ200" i="3" s="1"/>
  <c r="BL24" i="3"/>
  <c r="BA40" i="3"/>
  <c r="G51" i="3"/>
  <c r="G67" i="3"/>
  <c r="G77" i="3"/>
  <c r="BA90" i="3"/>
  <c r="G101" i="3"/>
  <c r="BA102" i="3"/>
  <c r="BA103" i="3"/>
  <c r="BA106" i="3"/>
  <c r="S21" i="21"/>
  <c r="G541" i="3"/>
  <c r="BA540" i="3"/>
  <c r="G536" i="3"/>
  <c r="BL535" i="3"/>
  <c r="G535" i="3"/>
  <c r="G534" i="3"/>
  <c r="BL533" i="3"/>
  <c r="G528" i="3"/>
  <c r="G525" i="3"/>
  <c r="G520" i="3"/>
  <c r="BL518" i="3"/>
  <c r="G517" i="3"/>
  <c r="BA514" i="3"/>
  <c r="BL512" i="3"/>
  <c r="G512" i="3"/>
  <c r="BL511" i="3"/>
  <c r="AZ511" i="3" s="1"/>
  <c r="G511" i="3"/>
  <c r="BA508" i="3"/>
  <c r="BL505" i="3"/>
  <c r="BA501" i="3"/>
  <c r="AZ501" i="3" s="1"/>
  <c r="BA500" i="3"/>
  <c r="BA499" i="3"/>
  <c r="AZ499" i="3" s="1"/>
  <c r="BA498" i="3"/>
  <c r="BL495" i="3"/>
  <c r="BL494" i="3"/>
  <c r="BA491" i="3"/>
  <c r="BL488" i="3"/>
  <c r="BA486" i="3"/>
  <c r="BA483" i="3"/>
  <c r="BL481" i="3"/>
  <c r="G20" i="3"/>
  <c r="BA18" i="3"/>
  <c r="BA396" i="3"/>
  <c r="BA401" i="3"/>
  <c r="BL415" i="3"/>
  <c r="BA447" i="3"/>
  <c r="BA473" i="3"/>
  <c r="G478" i="3"/>
  <c r="BL306" i="3"/>
  <c r="AZ306" i="3" s="1"/>
  <c r="G307" i="3"/>
  <c r="BL334" i="3"/>
  <c r="G336" i="3"/>
  <c r="BA336" i="3"/>
  <c r="G352" i="3"/>
  <c r="BL216" i="3"/>
  <c r="BL141" i="3"/>
  <c r="BL146" i="3"/>
  <c r="AZ146" i="3" s="1"/>
  <c r="G148" i="3"/>
  <c r="BL160" i="3"/>
  <c r="BL173" i="3"/>
  <c r="BA175" i="3"/>
  <c r="G179" i="3"/>
  <c r="BL186" i="3"/>
  <c r="G58" i="3"/>
  <c r="BL68" i="3"/>
  <c r="G70" i="3"/>
  <c r="G79" i="3"/>
  <c r="BL79" i="3"/>
  <c r="G84" i="3"/>
  <c r="BA84" i="3"/>
  <c r="G88" i="3"/>
  <c r="BA88" i="3"/>
  <c r="BA100" i="3"/>
  <c r="I15" i="57"/>
  <c r="BA391" i="3"/>
  <c r="BA395" i="3"/>
  <c r="BL407" i="3"/>
  <c r="BL408" i="3"/>
  <c r="BA411" i="3"/>
  <c r="BL414" i="3"/>
  <c r="BL418" i="3"/>
  <c r="BA421" i="3"/>
  <c r="BA430" i="3"/>
  <c r="BA434" i="3"/>
  <c r="BL436" i="3"/>
  <c r="G449" i="3"/>
  <c r="G453" i="3"/>
  <c r="BA453" i="3"/>
  <c r="BL471" i="3"/>
  <c r="BA227" i="3"/>
  <c r="BA235" i="3"/>
  <c r="BA243" i="3"/>
  <c r="G248" i="3"/>
  <c r="G254" i="3"/>
  <c r="BL256" i="3"/>
  <c r="BA259" i="3"/>
  <c r="BL275" i="3"/>
  <c r="G287" i="3"/>
  <c r="BL114" i="3"/>
  <c r="AZ114" i="3" s="1"/>
  <c r="G134" i="3"/>
  <c r="BL136" i="3"/>
  <c r="BL163" i="3"/>
  <c r="G173" i="3"/>
  <c r="BL21" i="3"/>
  <c r="G22" i="3"/>
  <c r="BA36" i="3"/>
  <c r="BL51" i="3"/>
  <c r="BA53" i="3"/>
  <c r="BA54" i="3"/>
  <c r="G56" i="3"/>
  <c r="G73" i="3"/>
  <c r="BA76" i="3"/>
  <c r="G94" i="3"/>
  <c r="G110" i="3"/>
  <c r="U28" i="21"/>
  <c r="AA33" i="39"/>
  <c r="S40" i="39"/>
  <c r="S12" i="21"/>
  <c r="AA12" i="21"/>
  <c r="AC12" i="34"/>
  <c r="W12" i="34"/>
  <c r="AA41" i="40"/>
  <c r="S41" i="40"/>
  <c r="AZ563" i="3"/>
  <c r="B24" i="31"/>
  <c r="H33" i="33"/>
  <c r="AB33" i="33" s="1"/>
  <c r="J33" i="33"/>
  <c r="F33" i="33"/>
  <c r="AC40" i="37"/>
  <c r="W40" i="37"/>
  <c r="AA16" i="39"/>
  <c r="S16" i="39"/>
  <c r="U44" i="39"/>
  <c r="AB44" i="39"/>
  <c r="AZ533" i="3"/>
  <c r="AZ491" i="3"/>
  <c r="AZ497" i="3"/>
  <c r="AZ518" i="3"/>
  <c r="AZ522" i="3"/>
  <c r="AZ571" i="3"/>
  <c r="AZ558" i="3"/>
  <c r="U12" i="34"/>
  <c r="U14" i="34"/>
  <c r="S46" i="34"/>
  <c r="AA37" i="39"/>
  <c r="J34" i="33"/>
  <c r="AC34" i="33" s="1"/>
  <c r="F97" i="39"/>
  <c r="G97" i="39" s="1"/>
  <c r="H23" i="39"/>
  <c r="AB23" i="39" s="1"/>
  <c r="U16" i="40"/>
  <c r="AA11" i="34"/>
  <c r="AA14" i="35"/>
  <c r="AB16" i="39"/>
  <c r="S33" i="40"/>
  <c r="AC14" i="40"/>
  <c r="H47" i="46"/>
  <c r="J34" i="40"/>
  <c r="H34" i="40"/>
  <c r="J16" i="40"/>
  <c r="J38" i="39"/>
  <c r="W38" i="39" s="1"/>
  <c r="H41" i="39"/>
  <c r="AB41" i="39" s="1"/>
  <c r="J27" i="39"/>
  <c r="AC27" i="39" s="1"/>
  <c r="F27" i="39"/>
  <c r="AA27" i="39" s="1"/>
  <c r="J16" i="39"/>
  <c r="AC16" i="39" s="1"/>
  <c r="U31" i="36"/>
  <c r="AA36" i="34"/>
  <c r="H46" i="39"/>
  <c r="E128" i="39"/>
  <c r="F128" i="39" s="1"/>
  <c r="G128" i="39" s="1"/>
  <c r="H128" i="39" s="1"/>
  <c r="I128" i="39" s="1"/>
  <c r="J128" i="39" s="1"/>
  <c r="K128" i="39" s="1"/>
  <c r="L128" i="39" s="1"/>
  <c r="M128" i="39" s="1"/>
  <c r="J33" i="39"/>
  <c r="W33" i="39" s="1"/>
  <c r="H33" i="36"/>
  <c r="AB29" i="35"/>
  <c r="J11" i="35"/>
  <c r="AC11" i="35" s="1"/>
  <c r="J46" i="34"/>
  <c r="AC46" i="34" s="1"/>
  <c r="F32" i="34"/>
  <c r="AA32" i="34" s="1"/>
  <c r="F14" i="34"/>
  <c r="F12" i="34"/>
  <c r="S12" i="34" s="1"/>
  <c r="H29" i="33"/>
  <c r="AB39" i="34"/>
  <c r="J32" i="33"/>
  <c r="AC32" i="33" s="1"/>
  <c r="H37" i="21"/>
  <c r="U37" i="21" s="1"/>
  <c r="AC29" i="37"/>
  <c r="AA36" i="37"/>
  <c r="F13" i="39"/>
  <c r="AZ374" i="3"/>
  <c r="AZ304" i="3"/>
  <c r="AZ339" i="3"/>
  <c r="AZ307" i="3"/>
  <c r="AZ343" i="3"/>
  <c r="AZ329" i="3"/>
  <c r="W9" i="33"/>
  <c r="AB10" i="37"/>
  <c r="F37" i="21"/>
  <c r="S37" i="21" s="1"/>
  <c r="AC8" i="37"/>
  <c r="AC33" i="36"/>
  <c r="E123" i="33"/>
  <c r="F123" i="33" s="1"/>
  <c r="G123" i="33" s="1"/>
  <c r="H123" i="33" s="1"/>
  <c r="I123" i="33" s="1"/>
  <c r="J123" i="33" s="1"/>
  <c r="K123" i="33" s="1"/>
  <c r="L123" i="33" s="1"/>
  <c r="M123" i="33" s="1"/>
  <c r="AB27" i="37"/>
  <c r="BL20" i="3"/>
  <c r="BL516" i="3"/>
  <c r="BL524" i="3"/>
  <c r="AZ524" i="3" s="1"/>
  <c r="BL532" i="3"/>
  <c r="AZ532" i="3" s="1"/>
  <c r="BL552" i="3"/>
  <c r="BL560" i="3"/>
  <c r="BL542" i="3"/>
  <c r="S45" i="21"/>
  <c r="S28" i="21"/>
  <c r="U30" i="33"/>
  <c r="J28" i="37"/>
  <c r="AC28" i="37" s="1"/>
  <c r="J31" i="33"/>
  <c r="AC31" i="33" s="1"/>
  <c r="F27" i="33"/>
  <c r="S27" i="33" s="1"/>
  <c r="F46" i="21"/>
  <c r="AA46" i="21" s="1"/>
  <c r="H44" i="21"/>
  <c r="U44" i="21" s="1"/>
  <c r="J28" i="21"/>
  <c r="AC28" i="21" s="1"/>
  <c r="J37" i="33"/>
  <c r="W37" i="33" s="1"/>
  <c r="U34" i="37"/>
  <c r="W8" i="34"/>
  <c r="S8" i="21"/>
  <c r="H12" i="21"/>
  <c r="H19" i="21"/>
  <c r="AB19" i="21" s="1"/>
  <c r="H39" i="21"/>
  <c r="AB39" i="21" s="1"/>
  <c r="G570" i="3"/>
  <c r="G571" i="3"/>
  <c r="J43" i="21"/>
  <c r="AC43" i="21" s="1"/>
  <c r="J9" i="36"/>
  <c r="AC9" i="36" s="1"/>
  <c r="J24" i="36"/>
  <c r="G568" i="3"/>
  <c r="G564" i="3"/>
  <c r="G558" i="3"/>
  <c r="G530" i="3"/>
  <c r="G504" i="3"/>
  <c r="G503" i="3"/>
  <c r="G496" i="3"/>
  <c r="G489" i="3"/>
  <c r="G481" i="3"/>
  <c r="G17" i="3"/>
  <c r="BA407" i="3"/>
  <c r="AZ407" i="3" s="1"/>
  <c r="BL421" i="3"/>
  <c r="AZ421" i="3" s="1"/>
  <c r="AZ495" i="3"/>
  <c r="AZ498" i="3"/>
  <c r="AZ535" i="3"/>
  <c r="AZ568" i="3"/>
  <c r="BL395" i="3"/>
  <c r="BA397" i="3"/>
  <c r="G400" i="3"/>
  <c r="G403" i="3"/>
  <c r="G404" i="3"/>
  <c r="BA404" i="3"/>
  <c r="BL406" i="3"/>
  <c r="G407" i="3"/>
  <c r="G413" i="3"/>
  <c r="G414" i="3"/>
  <c r="G415" i="3"/>
  <c r="BL416" i="3"/>
  <c r="BL417" i="3"/>
  <c r="G418" i="3"/>
  <c r="BA422" i="3"/>
  <c r="BL423" i="3"/>
  <c r="BL427" i="3"/>
  <c r="BA433" i="3"/>
  <c r="BA435" i="3"/>
  <c r="BL435" i="3"/>
  <c r="BL437" i="3"/>
  <c r="BA444" i="3"/>
  <c r="G446" i="3"/>
  <c r="BA448" i="3"/>
  <c r="BL452" i="3"/>
  <c r="BL456" i="3"/>
  <c r="G457" i="3"/>
  <c r="BA459" i="3"/>
  <c r="BL459" i="3"/>
  <c r="BL460" i="3"/>
  <c r="G466" i="3"/>
  <c r="BL466" i="3"/>
  <c r="G469" i="3"/>
  <c r="G473" i="3"/>
  <c r="G476" i="3"/>
  <c r="G479" i="3"/>
  <c r="BL479" i="3"/>
  <c r="BL308" i="3"/>
  <c r="AZ308" i="3" s="1"/>
  <c r="G315" i="3"/>
  <c r="G316" i="3"/>
  <c r="BL316" i="3"/>
  <c r="AZ316" i="3" s="1"/>
  <c r="BA325" i="3"/>
  <c r="BL325" i="3"/>
  <c r="BA327" i="3"/>
  <c r="AZ327" i="3" s="1"/>
  <c r="G330" i="3"/>
  <c r="G331" i="3"/>
  <c r="BA341" i="3"/>
  <c r="BL341" i="3"/>
  <c r="G344" i="3"/>
  <c r="G345" i="3"/>
  <c r="BA347" i="3"/>
  <c r="G349" i="3"/>
  <c r="BA349" i="3"/>
  <c r="BA357" i="3"/>
  <c r="BL357" i="3"/>
  <c r="BL358" i="3"/>
  <c r="AZ358" i="3" s="1"/>
  <c r="BL359" i="3"/>
  <c r="AZ359" i="3" s="1"/>
  <c r="G364" i="3"/>
  <c r="G388" i="3"/>
  <c r="BL388" i="3"/>
  <c r="G206" i="3"/>
  <c r="BL207" i="3"/>
  <c r="BL208" i="3"/>
  <c r="BA213" i="3"/>
  <c r="AZ213" i="3" s="1"/>
  <c r="G214" i="3"/>
  <c r="BA214" i="3"/>
  <c r="G215" i="3"/>
  <c r="BA215" i="3"/>
  <c r="BA216" i="3"/>
  <c r="AZ216" i="3" s="1"/>
  <c r="BL221" i="3"/>
  <c r="G223" i="3"/>
  <c r="G224" i="3"/>
  <c r="G228" i="3"/>
  <c r="G229" i="3"/>
  <c r="G230" i="3"/>
  <c r="G231" i="3"/>
  <c r="BL232" i="3"/>
  <c r="G234" i="3"/>
  <c r="G235" i="3"/>
  <c r="BL240" i="3"/>
  <c r="G243" i="3"/>
  <c r="G249" i="3"/>
  <c r="BL250" i="3"/>
  <c r="G252" i="3"/>
  <c r="G253" i="3"/>
  <c r="BA256" i="3"/>
  <c r="AZ256" i="3" s="1"/>
  <c r="G257" i="3"/>
  <c r="BA258" i="3"/>
  <c r="G261" i="3"/>
  <c r="G263" i="3"/>
  <c r="BA267" i="3"/>
  <c r="BL267" i="3"/>
  <c r="G269" i="3"/>
  <c r="G270" i="3"/>
  <c r="BA270" i="3"/>
  <c r="BL274" i="3"/>
  <c r="G275" i="3"/>
  <c r="BL277" i="3"/>
  <c r="G278" i="3"/>
  <c r="BL282" i="3"/>
  <c r="BL283" i="3"/>
  <c r="G286" i="3"/>
  <c r="BA289" i="3"/>
  <c r="G293" i="3"/>
  <c r="BA294" i="3"/>
  <c r="BL294" i="3"/>
  <c r="G296" i="3"/>
  <c r="BA113" i="3"/>
  <c r="BL113" i="3"/>
  <c r="G116" i="3"/>
  <c r="BL118" i="3"/>
  <c r="AZ118" i="3" s="1"/>
  <c r="BA120" i="3"/>
  <c r="G123" i="3"/>
  <c r="BA123" i="3"/>
  <c r="AZ123" i="3" s="1"/>
  <c r="BL124" i="3"/>
  <c r="BL125" i="3"/>
  <c r="G126" i="3"/>
  <c r="G130" i="3"/>
  <c r="BA135" i="3"/>
  <c r="BL135" i="3"/>
  <c r="G139" i="3"/>
  <c r="BL139" i="3"/>
  <c r="G143" i="3"/>
  <c r="G146" i="3"/>
  <c r="G149" i="3"/>
  <c r="G152" i="3"/>
  <c r="G153" i="3"/>
  <c r="G158" i="3"/>
  <c r="BL164" i="3"/>
  <c r="G165" i="3"/>
  <c r="BL168" i="3"/>
  <c r="G169" i="3"/>
  <c r="BL170" i="3"/>
  <c r="BL172" i="3"/>
  <c r="G174" i="3"/>
  <c r="G175" i="3"/>
  <c r="G176" i="3"/>
  <c r="BA176" i="3"/>
  <c r="G178" i="3"/>
  <c r="G181" i="3"/>
  <c r="BA181" i="3"/>
  <c r="AZ181" i="3" s="1"/>
  <c r="BA183" i="3"/>
  <c r="AZ183" i="3" s="1"/>
  <c r="BA457" i="3"/>
  <c r="BA462" i="3"/>
  <c r="BL313" i="3"/>
  <c r="BA320" i="3"/>
  <c r="BL322" i="3"/>
  <c r="AZ322" i="3" s="1"/>
  <c r="BA334" i="3"/>
  <c r="BL340" i="3"/>
  <c r="AZ340" i="3" s="1"/>
  <c r="BA364" i="3"/>
  <c r="BL372" i="3"/>
  <c r="AZ372" i="3" s="1"/>
  <c r="BL210" i="3"/>
  <c r="BA219" i="3"/>
  <c r="BL229" i="3"/>
  <c r="BL245" i="3"/>
  <c r="BA248" i="3"/>
  <c r="AZ248" i="3" s="1"/>
  <c r="BA253" i="3"/>
  <c r="AZ253" i="3" s="1"/>
  <c r="BA261" i="3"/>
  <c r="AZ261" i="3" s="1"/>
  <c r="BA264" i="3"/>
  <c r="AZ264" i="3" s="1"/>
  <c r="BA275" i="3"/>
  <c r="AZ275" i="3" s="1"/>
  <c r="BA278" i="3"/>
  <c r="AZ278" i="3" s="1"/>
  <c r="BA291" i="3"/>
  <c r="AZ291" i="3" s="1"/>
  <c r="BL121" i="3"/>
  <c r="BA143" i="3"/>
  <c r="AZ143" i="3" s="1"/>
  <c r="BL202" i="3"/>
  <c r="G189" i="3"/>
  <c r="BL189" i="3"/>
  <c r="BA191" i="3"/>
  <c r="AZ191" i="3" s="1"/>
  <c r="G192" i="3"/>
  <c r="BL194" i="3"/>
  <c r="G196" i="3"/>
  <c r="BL199" i="3"/>
  <c r="G201" i="3"/>
  <c r="BA201" i="3"/>
  <c r="AZ201" i="3" s="1"/>
  <c r="G203" i="3"/>
  <c r="G21" i="3"/>
  <c r="BL22" i="3"/>
  <c r="G24" i="3"/>
  <c r="G26" i="3"/>
  <c r="BA26" i="3"/>
  <c r="G28" i="3"/>
  <c r="G29" i="3"/>
  <c r="G30" i="3"/>
  <c r="BL30" i="3"/>
  <c r="G31" i="3"/>
  <c r="G33" i="3"/>
  <c r="G34" i="3"/>
  <c r="G35" i="3"/>
  <c r="G39" i="3"/>
  <c r="G40" i="3"/>
  <c r="G43" i="3"/>
  <c r="BA43" i="3"/>
  <c r="BA45" i="3"/>
  <c r="G46" i="3"/>
  <c r="BL46" i="3"/>
  <c r="BA47" i="3"/>
  <c r="G48" i="3"/>
  <c r="G49" i="3"/>
  <c r="G50" i="3"/>
  <c r="BA51" i="3"/>
  <c r="AZ51" i="3" s="1"/>
  <c r="G52" i="3"/>
  <c r="G53" i="3"/>
  <c r="BL56" i="3"/>
  <c r="BA58" i="3"/>
  <c r="G59" i="3"/>
  <c r="BL59" i="3"/>
  <c r="G61" i="3"/>
  <c r="BA61" i="3"/>
  <c r="G64" i="3"/>
  <c r="BL65" i="3"/>
  <c r="G66" i="3"/>
  <c r="G68" i="3"/>
  <c r="G71" i="3"/>
  <c r="G72" i="3"/>
  <c r="BL72" i="3"/>
  <c r="G74" i="3"/>
  <c r="BA74" i="3"/>
  <c r="BL81" i="3"/>
  <c r="G85" i="3"/>
  <c r="BA85" i="3"/>
  <c r="G87" i="3"/>
  <c r="BA91" i="3"/>
  <c r="G92" i="3"/>
  <c r="BL97" i="3"/>
  <c r="G99" i="3"/>
  <c r="BL104" i="3"/>
  <c r="BA105" i="3"/>
  <c r="BA107" i="3"/>
  <c r="G108" i="3"/>
  <c r="BL108" i="3"/>
  <c r="BL109" i="3"/>
  <c r="G111" i="3"/>
  <c r="I20" i="57"/>
  <c r="S31" i="39"/>
  <c r="BL42" i="3"/>
  <c r="BL44" i="3"/>
  <c r="BL48" i="3"/>
  <c r="BL60" i="3"/>
  <c r="BA64" i="3"/>
  <c r="BL80" i="3"/>
  <c r="E26" i="57"/>
  <c r="AZ481" i="3"/>
  <c r="AZ504" i="3"/>
  <c r="U17" i="37"/>
  <c r="AB17" i="37"/>
  <c r="AZ551" i="3"/>
  <c r="S36" i="21"/>
  <c r="AA36" i="21"/>
  <c r="BA493" i="3"/>
  <c r="AZ493" i="3" s="1"/>
  <c r="BA488" i="3"/>
  <c r="AZ488" i="3" s="1"/>
  <c r="BL485" i="3"/>
  <c r="AZ485" i="3" s="1"/>
  <c r="BA19" i="3"/>
  <c r="AZ19" i="3" s="1"/>
  <c r="AC15" i="40"/>
  <c r="W41" i="40"/>
  <c r="AB32" i="40"/>
  <c r="W40" i="40"/>
  <c r="AZ356" i="3"/>
  <c r="AZ324" i="3"/>
  <c r="AZ377" i="3"/>
  <c r="AZ531" i="3"/>
  <c r="AC31" i="34"/>
  <c r="W31" i="34"/>
  <c r="U10" i="35"/>
  <c r="AB10" i="35"/>
  <c r="AC8" i="35"/>
  <c r="W8" i="35"/>
  <c r="AA34" i="35"/>
  <c r="S34" i="35"/>
  <c r="AB24" i="36"/>
  <c r="U24" i="36"/>
  <c r="F12" i="37"/>
  <c r="AA12" i="37" s="1"/>
  <c r="J12" i="37"/>
  <c r="AC12" i="37" s="1"/>
  <c r="AC39" i="37"/>
  <c r="W39" i="37"/>
  <c r="E93" i="39"/>
  <c r="J19" i="39" s="1"/>
  <c r="BL565" i="3"/>
  <c r="AZ565" i="3" s="1"/>
  <c r="W23" i="40"/>
  <c r="AZ486" i="3"/>
  <c r="AZ489" i="3"/>
  <c r="AZ506" i="3"/>
  <c r="AZ530" i="3"/>
  <c r="AZ567" i="3"/>
  <c r="AZ344" i="3"/>
  <c r="AZ542" i="3"/>
  <c r="AZ502" i="3"/>
  <c r="AZ546" i="3"/>
  <c r="AZ541" i="3"/>
  <c r="AA22" i="35"/>
  <c r="S22" i="35"/>
  <c r="BL572" i="3"/>
  <c r="BA572" i="3"/>
  <c r="BT5" i="3"/>
  <c r="BE5" i="3"/>
  <c r="AC33" i="33"/>
  <c r="W33" i="33"/>
  <c r="AZ362" i="3"/>
  <c r="AZ305" i="3"/>
  <c r="U12" i="37"/>
  <c r="S10" i="35"/>
  <c r="AZ562" i="3"/>
  <c r="U40" i="37"/>
  <c r="AB40" i="37"/>
  <c r="W40" i="33"/>
  <c r="F79" i="21"/>
  <c r="G79" i="21" s="1"/>
  <c r="F17" i="21"/>
  <c r="S17" i="21" s="1"/>
  <c r="E106" i="21"/>
  <c r="F106" i="21" s="1"/>
  <c r="G106" i="21" s="1"/>
  <c r="H106" i="21" s="1"/>
  <c r="I106" i="21" s="1"/>
  <c r="J106" i="21" s="1"/>
  <c r="K106" i="21" s="1"/>
  <c r="L106" i="21" s="1"/>
  <c r="M106" i="21" s="1"/>
  <c r="H34" i="21"/>
  <c r="U34" i="21" s="1"/>
  <c r="E77" i="33"/>
  <c r="J15" i="33" s="1"/>
  <c r="H43" i="33"/>
  <c r="U43" i="33" s="1"/>
  <c r="J43" i="33"/>
  <c r="AC43" i="33" s="1"/>
  <c r="H9" i="35"/>
  <c r="AB9" i="35" s="1"/>
  <c r="J9" i="35"/>
  <c r="W9" i="35" s="1"/>
  <c r="AC35" i="35"/>
  <c r="W35" i="35"/>
  <c r="H26" i="37"/>
  <c r="AB26" i="37" s="1"/>
  <c r="J26" i="37"/>
  <c r="S39" i="37"/>
  <c r="AA39" i="37"/>
  <c r="G567" i="3"/>
  <c r="BA566" i="3"/>
  <c r="AZ566" i="3" s="1"/>
  <c r="BL508" i="3"/>
  <c r="AZ508" i="3" s="1"/>
  <c r="BA494" i="3"/>
  <c r="AZ494" i="3" s="1"/>
  <c r="BA492" i="3"/>
  <c r="AZ492" i="3" s="1"/>
  <c r="BL484" i="3"/>
  <c r="AZ484" i="3" s="1"/>
  <c r="G484" i="3"/>
  <c r="BL483" i="3"/>
  <c r="AZ483" i="3" s="1"/>
  <c r="K145" i="21"/>
  <c r="K144" i="21"/>
  <c r="AZ395" i="3"/>
  <c r="BL404" i="3"/>
  <c r="BL405" i="3"/>
  <c r="BA409" i="3"/>
  <c r="BL424" i="3"/>
  <c r="BL431" i="3"/>
  <c r="AZ347" i="3"/>
  <c r="AZ349" i="3"/>
  <c r="AZ370" i="3"/>
  <c r="AZ338" i="3"/>
  <c r="AZ303" i="3"/>
  <c r="S36" i="35"/>
  <c r="AA36" i="35"/>
  <c r="W23" i="37"/>
  <c r="AC23" i="37"/>
  <c r="BL482" i="3"/>
  <c r="AZ482" i="3" s="1"/>
  <c r="AZ540" i="3"/>
  <c r="AZ560" i="3"/>
  <c r="AZ516" i="3"/>
  <c r="AZ505" i="3"/>
  <c r="W14" i="37"/>
  <c r="AC14" i="37"/>
  <c r="U28" i="36"/>
  <c r="AB28" i="36"/>
  <c r="F30" i="21"/>
  <c r="S30" i="21" s="1"/>
  <c r="H14" i="21"/>
  <c r="U14" i="21" s="1"/>
  <c r="F34" i="21"/>
  <c r="AA34" i="21" s="1"/>
  <c r="BJ5" i="3"/>
  <c r="BF5" i="3"/>
  <c r="J31" i="21"/>
  <c r="AC31" i="21" s="1"/>
  <c r="H31" i="21"/>
  <c r="E108" i="21"/>
  <c r="F108" i="21" s="1"/>
  <c r="G108" i="21" s="1"/>
  <c r="H108" i="21" s="1"/>
  <c r="I108" i="21" s="1"/>
  <c r="J108" i="21" s="1"/>
  <c r="K108" i="21" s="1"/>
  <c r="L108" i="21" s="1"/>
  <c r="M108" i="21" s="1"/>
  <c r="J35" i="21"/>
  <c r="W35" i="21" s="1"/>
  <c r="F35" i="21"/>
  <c r="AA35" i="21" s="1"/>
  <c r="H35" i="21"/>
  <c r="AB35" i="21" s="1"/>
  <c r="F28" i="34"/>
  <c r="H28" i="34"/>
  <c r="AB28" i="34" s="1"/>
  <c r="H45" i="33"/>
  <c r="J45" i="33"/>
  <c r="F45" i="33"/>
  <c r="S45" i="33" s="1"/>
  <c r="H12" i="35"/>
  <c r="J12" i="35"/>
  <c r="F12" i="35"/>
  <c r="J24" i="35"/>
  <c r="H24" i="35"/>
  <c r="AB24" i="35" s="1"/>
  <c r="U8" i="36"/>
  <c r="AB8" i="36"/>
  <c r="AB29" i="36"/>
  <c r="U29" i="36"/>
  <c r="W30" i="37"/>
  <c r="AC30" i="37"/>
  <c r="AA42" i="34"/>
  <c r="S42" i="34"/>
  <c r="BA569" i="3"/>
  <c r="AZ569" i="3" s="1"/>
  <c r="BA557" i="3"/>
  <c r="AZ557" i="3" s="1"/>
  <c r="BL553" i="3"/>
  <c r="AZ553" i="3" s="1"/>
  <c r="BA534" i="3"/>
  <c r="BA529" i="3"/>
  <c r="AZ529" i="3" s="1"/>
  <c r="BL525" i="3"/>
  <c r="AZ525" i="3" s="1"/>
  <c r="BA521" i="3"/>
  <c r="AZ521" i="3" s="1"/>
  <c r="BL517" i="3"/>
  <c r="AZ517" i="3" s="1"/>
  <c r="BA513" i="3"/>
  <c r="AZ513" i="3" s="1"/>
  <c r="G509" i="3"/>
  <c r="BA507" i="3"/>
  <c r="AZ507" i="3" s="1"/>
  <c r="BL503" i="3"/>
  <c r="AZ503" i="3" s="1"/>
  <c r="BL496" i="3"/>
  <c r="AZ496" i="3" s="1"/>
  <c r="N12" i="46"/>
  <c r="H12" i="48"/>
  <c r="H16" i="48"/>
  <c r="X7" i="46"/>
  <c r="G17" i="46"/>
  <c r="H17" i="46"/>
  <c r="BA389" i="3"/>
  <c r="AZ320" i="3"/>
  <c r="AZ336" i="3"/>
  <c r="BL223" i="3"/>
  <c r="BA229" i="3"/>
  <c r="AZ229" i="3" s="1"/>
  <c r="BL111" i="3"/>
  <c r="J13" i="36"/>
  <c r="F13" i="36"/>
  <c r="S13" i="36" s="1"/>
  <c r="W24" i="36"/>
  <c r="AC24" i="36"/>
  <c r="H32" i="36"/>
  <c r="AB32" i="36" s="1"/>
  <c r="J32" i="36"/>
  <c r="W32" i="36" s="1"/>
  <c r="U41" i="21"/>
  <c r="AB41" i="21"/>
  <c r="G563" i="3"/>
  <c r="BA556" i="3"/>
  <c r="BL555" i="3"/>
  <c r="AZ555" i="3" s="1"/>
  <c r="G555" i="3"/>
  <c r="BA552" i="3"/>
  <c r="BL550" i="3"/>
  <c r="AZ550" i="3" s="1"/>
  <c r="BA548" i="3"/>
  <c r="AZ548" i="3" s="1"/>
  <c r="G548" i="3"/>
  <c r="G547" i="3"/>
  <c r="BA545" i="3"/>
  <c r="AZ545" i="3" s="1"/>
  <c r="BA544" i="3"/>
  <c r="BA539" i="3"/>
  <c r="AZ539" i="3" s="1"/>
  <c r="G539" i="3"/>
  <c r="BA537" i="3"/>
  <c r="AZ537" i="3" s="1"/>
  <c r="BL534" i="3"/>
  <c r="BA528" i="3"/>
  <c r="AZ528" i="3" s="1"/>
  <c r="G527" i="3"/>
  <c r="BA526" i="3"/>
  <c r="BA523" i="3"/>
  <c r="AZ523" i="3" s="1"/>
  <c r="BL519" i="3"/>
  <c r="AZ519" i="3" s="1"/>
  <c r="G519" i="3"/>
  <c r="BA515" i="3"/>
  <c r="AZ515" i="3" s="1"/>
  <c r="BL514" i="3"/>
  <c r="AZ514" i="3" s="1"/>
  <c r="BA512" i="3"/>
  <c r="AZ512" i="3" s="1"/>
  <c r="BA510" i="3"/>
  <c r="BA437" i="3"/>
  <c r="BL464" i="3"/>
  <c r="G465" i="3"/>
  <c r="BL465" i="3"/>
  <c r="BL467" i="3"/>
  <c r="BL468" i="3"/>
  <c r="BL470" i="3"/>
  <c r="G472" i="3"/>
  <c r="BL318" i="3"/>
  <c r="BA321" i="3"/>
  <c r="AZ321" i="3" s="1"/>
  <c r="BL328" i="3"/>
  <c r="AZ328" i="3" s="1"/>
  <c r="BL330" i="3"/>
  <c r="AZ330" i="3" s="1"/>
  <c r="BA210" i="3"/>
  <c r="BL242" i="3"/>
  <c r="BA245" i="3"/>
  <c r="AZ245" i="3" s="1"/>
  <c r="BL259" i="3"/>
  <c r="G267" i="3"/>
  <c r="AZ467" i="3"/>
  <c r="AZ379" i="3"/>
  <c r="AZ135" i="3"/>
  <c r="G505" i="3"/>
  <c r="G486" i="3"/>
  <c r="BL392" i="3"/>
  <c r="BA394" i="3"/>
  <c r="BL398" i="3"/>
  <c r="BA399" i="3"/>
  <c r="BL401" i="3"/>
  <c r="AZ401" i="3" s="1"/>
  <c r="BL402" i="3"/>
  <c r="BA416" i="3"/>
  <c r="BA418" i="3"/>
  <c r="AZ418" i="3" s="1"/>
  <c r="BL426" i="3"/>
  <c r="G427" i="3"/>
  <c r="BA429" i="3"/>
  <c r="BL429" i="3"/>
  <c r="G433" i="3"/>
  <c r="G445" i="3"/>
  <c r="BL445" i="3"/>
  <c r="BL447" i="3"/>
  <c r="BL449" i="3"/>
  <c r="BA450" i="3"/>
  <c r="BA452" i="3"/>
  <c r="AZ452" i="3" s="1"/>
  <c r="G456" i="3"/>
  <c r="BL480" i="3"/>
  <c r="G301" i="3"/>
  <c r="BL314" i="3"/>
  <c r="AZ314" i="3" s="1"/>
  <c r="BA315" i="3"/>
  <c r="AZ315" i="3" s="1"/>
  <c r="BL351" i="3"/>
  <c r="BL205" i="3"/>
  <c r="G207" i="3"/>
  <c r="G219" i="3"/>
  <c r="BL220" i="3"/>
  <c r="G225" i="3"/>
  <c r="BL226" i="3"/>
  <c r="BL237" i="3"/>
  <c r="G239" i="3"/>
  <c r="G240" i="3"/>
  <c r="BA254" i="3"/>
  <c r="BL280" i="3"/>
  <c r="G281" i="3"/>
  <c r="BL285" i="3"/>
  <c r="BA286" i="3"/>
  <c r="BA124" i="3"/>
  <c r="AZ124" i="3" s="1"/>
  <c r="BL126" i="3"/>
  <c r="AZ126" i="3" s="1"/>
  <c r="BA129" i="3"/>
  <c r="BL132" i="3"/>
  <c r="BL94" i="3"/>
  <c r="AA44" i="34"/>
  <c r="S24" i="36"/>
  <c r="S37" i="34"/>
  <c r="AB16" i="35"/>
  <c r="BL500" i="3"/>
  <c r="AZ500" i="3" s="1"/>
  <c r="BL520" i="3"/>
  <c r="AZ520" i="3" s="1"/>
  <c r="BL526" i="3"/>
  <c r="BL544" i="3"/>
  <c r="BL556" i="3"/>
  <c r="G542" i="3"/>
  <c r="H26" i="33"/>
  <c r="U26" i="33" s="1"/>
  <c r="H39" i="33"/>
  <c r="AB39" i="33" s="1"/>
  <c r="U22" i="36"/>
  <c r="J19" i="21"/>
  <c r="W19" i="21" s="1"/>
  <c r="G572" i="3"/>
  <c r="BG5" i="3"/>
  <c r="C58" i="21"/>
  <c r="D58" i="21" s="1"/>
  <c r="E58" i="21" s="1"/>
  <c r="F58" i="21" s="1"/>
  <c r="G58" i="21" s="1"/>
  <c r="H58" i="21" s="1"/>
  <c r="I58" i="21" s="1"/>
  <c r="J58" i="21" s="1"/>
  <c r="K58" i="21" s="1"/>
  <c r="L58" i="21" s="1"/>
  <c r="M58" i="21" s="1"/>
  <c r="N58" i="21" s="1"/>
  <c r="O58" i="21" s="1"/>
  <c r="I7" i="21"/>
  <c r="G7" i="21"/>
  <c r="E7" i="21"/>
  <c r="G559" i="3"/>
  <c r="G552" i="3"/>
  <c r="G551" i="3"/>
  <c r="G543" i="3"/>
  <c r="G531" i="3"/>
  <c r="G524" i="3"/>
  <c r="G495" i="3"/>
  <c r="G490" i="3"/>
  <c r="G487" i="3"/>
  <c r="G482" i="3"/>
  <c r="G19" i="3"/>
  <c r="G15" i="3"/>
  <c r="G391" i="3"/>
  <c r="BA392" i="3"/>
  <c r="AZ392" i="3" s="1"/>
  <c r="G397" i="3"/>
  <c r="BA398" i="3"/>
  <c r="AZ398" i="3" s="1"/>
  <c r="G411" i="3"/>
  <c r="BA412" i="3"/>
  <c r="G425" i="3"/>
  <c r="G426" i="3"/>
  <c r="BL432" i="3"/>
  <c r="BA439" i="3"/>
  <c r="AZ439" i="3" s="1"/>
  <c r="BA441" i="3"/>
  <c r="G443" i="3"/>
  <c r="BL454" i="3"/>
  <c r="BL472" i="3"/>
  <c r="BL473" i="3"/>
  <c r="BL475" i="3"/>
  <c r="AZ475" i="3" s="1"/>
  <c r="BL476" i="3"/>
  <c r="BL478" i="3"/>
  <c r="G480" i="3"/>
  <c r="BA311" i="3"/>
  <c r="AZ311" i="3" s="1"/>
  <c r="G313" i="3"/>
  <c r="BL335" i="3"/>
  <c r="BA337" i="3"/>
  <c r="AZ337" i="3" s="1"/>
  <c r="BL346" i="3"/>
  <c r="AZ346" i="3" s="1"/>
  <c r="BA367" i="3"/>
  <c r="AZ367" i="3" s="1"/>
  <c r="G375" i="3"/>
  <c r="G379" i="3"/>
  <c r="G383" i="3"/>
  <c r="BL384" i="3"/>
  <c r="BL387" i="3"/>
  <c r="G205" i="3"/>
  <c r="BA211" i="3"/>
  <c r="AZ211" i="3" s="1"/>
  <c r="BL224" i="3"/>
  <c r="BA230" i="3"/>
  <c r="BA231" i="3"/>
  <c r="BA232" i="3"/>
  <c r="AZ232" i="3" s="1"/>
  <c r="BL235" i="3"/>
  <c r="AZ235" i="3" s="1"/>
  <c r="G237" i="3"/>
  <c r="BA115" i="3"/>
  <c r="AZ115" i="3" s="1"/>
  <c r="BA116" i="3"/>
  <c r="AZ116" i="3" s="1"/>
  <c r="BL144" i="3"/>
  <c r="BL145" i="3"/>
  <c r="BL148" i="3"/>
  <c r="BL149" i="3"/>
  <c r="G150" i="3"/>
  <c r="BA177" i="3"/>
  <c r="BA185" i="3"/>
  <c r="AZ185" i="3" s="1"/>
  <c r="BA186" i="3"/>
  <c r="AZ186" i="3" s="1"/>
  <c r="BL23" i="3"/>
  <c r="BA49" i="3"/>
  <c r="BA55" i="3"/>
  <c r="BA56" i="3"/>
  <c r="AZ56" i="3" s="1"/>
  <c r="BL399" i="3"/>
  <c r="BA403" i="3"/>
  <c r="AZ403" i="3" s="1"/>
  <c r="BA406" i="3"/>
  <c r="BA408" i="3"/>
  <c r="BL412" i="3"/>
  <c r="BA415" i="3"/>
  <c r="AZ415" i="3" s="1"/>
  <c r="G416" i="3"/>
  <c r="BA420" i="3"/>
  <c r="BA424" i="3"/>
  <c r="BA428" i="3"/>
  <c r="BA432" i="3"/>
  <c r="AZ432" i="3" s="1"/>
  <c r="G437" i="3"/>
  <c r="BL438" i="3"/>
  <c r="G442" i="3"/>
  <c r="BA442" i="3"/>
  <c r="BL448" i="3"/>
  <c r="BL450" i="3"/>
  <c r="BA458" i="3"/>
  <c r="BA460" i="3"/>
  <c r="AZ460" i="3" s="1"/>
  <c r="BL461" i="3"/>
  <c r="BA466" i="3"/>
  <c r="AZ466" i="3" s="1"/>
  <c r="BA468" i="3"/>
  <c r="AZ468" i="3" s="1"/>
  <c r="BL469" i="3"/>
  <c r="BA474" i="3"/>
  <c r="AZ474" i="3" s="1"/>
  <c r="BA476" i="3"/>
  <c r="BL477" i="3"/>
  <c r="BL302" i="3"/>
  <c r="AZ302" i="3" s="1"/>
  <c r="BL310" i="3"/>
  <c r="AZ310" i="3" s="1"/>
  <c r="BA313" i="3"/>
  <c r="AZ313" i="3" s="1"/>
  <c r="G320" i="3"/>
  <c r="G329" i="3"/>
  <c r="G333" i="3"/>
  <c r="BA333" i="3"/>
  <c r="AZ333" i="3" s="1"/>
  <c r="BL348" i="3"/>
  <c r="AZ348" i="3" s="1"/>
  <c r="BL369" i="3"/>
  <c r="BL376" i="3"/>
  <c r="AZ376" i="3" s="1"/>
  <c r="BL386" i="3"/>
  <c r="BA206" i="3"/>
  <c r="BA207" i="3"/>
  <c r="AZ207" i="3" s="1"/>
  <c r="BA208" i="3"/>
  <c r="AZ208" i="3" s="1"/>
  <c r="BL211" i="3"/>
  <c r="G216" i="3"/>
  <c r="BL218" i="3"/>
  <c r="BA222" i="3"/>
  <c r="BA223" i="3"/>
  <c r="BA224" i="3"/>
  <c r="BL227" i="3"/>
  <c r="AZ227" i="3" s="1"/>
  <c r="G232" i="3"/>
  <c r="BL234" i="3"/>
  <c r="BA238" i="3"/>
  <c r="BA242" i="3"/>
  <c r="BA250" i="3"/>
  <c r="AZ250" i="3" s="1"/>
  <c r="BL251" i="3"/>
  <c r="AZ251" i="3" s="1"/>
  <c r="G259" i="3"/>
  <c r="G264" i="3"/>
  <c r="BL266" i="3"/>
  <c r="G113" i="3"/>
  <c r="BL142" i="3"/>
  <c r="AZ142" i="3" s="1"/>
  <c r="BA162" i="3"/>
  <c r="AZ162" i="3" s="1"/>
  <c r="BA163" i="3"/>
  <c r="AZ163" i="3" s="1"/>
  <c r="BL178" i="3"/>
  <c r="AZ178" i="3" s="1"/>
  <c r="BA179" i="3"/>
  <c r="AZ179" i="3" s="1"/>
  <c r="BA194" i="3"/>
  <c r="G197" i="3"/>
  <c r="BA198" i="3"/>
  <c r="BL203" i="3"/>
  <c r="BL76" i="3"/>
  <c r="BA79" i="3"/>
  <c r="AZ79" i="3" s="1"/>
  <c r="BA80" i="3"/>
  <c r="AZ80" i="3" s="1"/>
  <c r="BA81" i="3"/>
  <c r="AZ81" i="3" s="1"/>
  <c r="F8" i="1"/>
  <c r="AP8" i="1" s="1"/>
  <c r="BL389" i="3"/>
  <c r="G390" i="3"/>
  <c r="BL390" i="3"/>
  <c r="AZ390" i="3" s="1"/>
  <c r="BL391" i="3"/>
  <c r="AZ391" i="3" s="1"/>
  <c r="G392" i="3"/>
  <c r="G393" i="3"/>
  <c r="BL393" i="3"/>
  <c r="AZ393" i="3" s="1"/>
  <c r="BL394" i="3"/>
  <c r="G395" i="3"/>
  <c r="G396" i="3"/>
  <c r="BL396" i="3"/>
  <c r="AZ396" i="3" s="1"/>
  <c r="BL397" i="3"/>
  <c r="AZ397" i="3" s="1"/>
  <c r="G398" i="3"/>
  <c r="G399" i="3"/>
  <c r="BA400" i="3"/>
  <c r="BA402" i="3"/>
  <c r="BA405" i="3"/>
  <c r="BL409" i="3"/>
  <c r="G410" i="3"/>
  <c r="BL410" i="3"/>
  <c r="AZ410" i="3" s="1"/>
  <c r="BL411" i="3"/>
  <c r="AZ411" i="3" s="1"/>
  <c r="G412" i="3"/>
  <c r="BA413" i="3"/>
  <c r="AZ413" i="3" s="1"/>
  <c r="BA414" i="3"/>
  <c r="AZ414" i="3" s="1"/>
  <c r="BA419" i="3"/>
  <c r="G423" i="3"/>
  <c r="G424" i="3"/>
  <c r="BA427" i="3"/>
  <c r="AZ427" i="3" s="1"/>
  <c r="G431" i="3"/>
  <c r="BL434" i="3"/>
  <c r="AZ434" i="3" s="1"/>
  <c r="BA438" i="3"/>
  <c r="AZ438" i="3" s="1"/>
  <c r="BA440" i="3"/>
  <c r="AZ440" i="3" s="1"/>
  <c r="BL441" i="3"/>
  <c r="BL444" i="3"/>
  <c r="AZ444" i="3" s="1"/>
  <c r="G450" i="3"/>
  <c r="G454" i="3"/>
  <c r="G455" i="3"/>
  <c r="BL455" i="3"/>
  <c r="AZ455" i="3" s="1"/>
  <c r="BA477" i="3"/>
  <c r="AZ477" i="3" s="1"/>
  <c r="BA301" i="3"/>
  <c r="AZ301" i="3" s="1"/>
  <c r="G309" i="3"/>
  <c r="G317" i="3"/>
  <c r="BA317" i="3"/>
  <c r="AZ317" i="3" s="1"/>
  <c r="BL332" i="3"/>
  <c r="AZ332" i="3" s="1"/>
  <c r="G347" i="3"/>
  <c r="BL350" i="3"/>
  <c r="AZ350" i="3" s="1"/>
  <c r="BA353" i="3"/>
  <c r="AZ353" i="3" s="1"/>
  <c r="BL366" i="3"/>
  <c r="AZ366" i="3" s="1"/>
  <c r="BA369" i="3"/>
  <c r="BL380" i="3"/>
  <c r="AZ380" i="3" s="1"/>
  <c r="BA383" i="3"/>
  <c r="AZ383" i="3" s="1"/>
  <c r="BA386" i="3"/>
  <c r="AZ386" i="3" s="1"/>
  <c r="BA205" i="3"/>
  <c r="AZ205" i="3" s="1"/>
  <c r="G210" i="3"/>
  <c r="G211" i="3"/>
  <c r="BL212" i="3"/>
  <c r="BL215" i="3"/>
  <c r="AZ215" i="3" s="1"/>
  <c r="BA218" i="3"/>
  <c r="BA221" i="3"/>
  <c r="AZ221" i="3" s="1"/>
  <c r="G226" i="3"/>
  <c r="G227" i="3"/>
  <c r="BL228" i="3"/>
  <c r="BL231" i="3"/>
  <c r="BA234" i="3"/>
  <c r="AZ234" i="3" s="1"/>
  <c r="BA237" i="3"/>
  <c r="AZ237" i="3" s="1"/>
  <c r="BA240" i="3"/>
  <c r="AZ240" i="3" s="1"/>
  <c r="G244" i="3"/>
  <c r="BA246" i="3"/>
  <c r="BL269" i="3"/>
  <c r="BA272" i="3"/>
  <c r="G274" i="3"/>
  <c r="G282" i="3"/>
  <c r="BA288" i="3"/>
  <c r="G291" i="3"/>
  <c r="G294" i="3"/>
  <c r="BL295" i="3"/>
  <c r="BA117" i="3"/>
  <c r="BL120" i="3"/>
  <c r="BL133" i="3"/>
  <c r="G137" i="3"/>
  <c r="BA137" i="3"/>
  <c r="G151" i="3"/>
  <c r="BA152" i="3"/>
  <c r="BL155" i="3"/>
  <c r="G156" i="3"/>
  <c r="BL156" i="3"/>
  <c r="BA158" i="3"/>
  <c r="AZ158" i="3" s="1"/>
  <c r="G160" i="3"/>
  <c r="G161" i="3"/>
  <c r="BA167" i="3"/>
  <c r="AZ167" i="3" s="1"/>
  <c r="BL192" i="3"/>
  <c r="AZ192" i="3" s="1"/>
  <c r="BA27" i="3"/>
  <c r="BL34" i="3"/>
  <c r="G36" i="3"/>
  <c r="BL36" i="3"/>
  <c r="AZ36" i="3" s="1"/>
  <c r="G38" i="3"/>
  <c r="BL38" i="3"/>
  <c r="G41" i="3"/>
  <c r="G273" i="3"/>
  <c r="BA273" i="3"/>
  <c r="BA276" i="3"/>
  <c r="BA283" i="3"/>
  <c r="AZ283" i="3" s="1"/>
  <c r="BL286" i="3"/>
  <c r="G289" i="3"/>
  <c r="BL290" i="3"/>
  <c r="BL293" i="3"/>
  <c r="G115" i="3"/>
  <c r="BL122" i="3"/>
  <c r="AZ122" i="3" s="1"/>
  <c r="BA127" i="3"/>
  <c r="AZ127" i="3" s="1"/>
  <c r="BA133" i="3"/>
  <c r="BA136" i="3"/>
  <c r="AZ136" i="3" s="1"/>
  <c r="BL138" i="3"/>
  <c r="AZ138" i="3" s="1"/>
  <c r="BL140" i="3"/>
  <c r="G142" i="3"/>
  <c r="BA144" i="3"/>
  <c r="AZ144" i="3" s="1"/>
  <c r="G147" i="3"/>
  <c r="BA147" i="3"/>
  <c r="AZ147" i="3" s="1"/>
  <c r="BA149" i="3"/>
  <c r="BL152" i="3"/>
  <c r="BA155" i="3"/>
  <c r="AZ155" i="3" s="1"/>
  <c r="BL157" i="3"/>
  <c r="AZ157" i="3" s="1"/>
  <c r="BA159" i="3"/>
  <c r="BA160" i="3"/>
  <c r="AZ160" i="3" s="1"/>
  <c r="BA172" i="3"/>
  <c r="BA174" i="3"/>
  <c r="AZ174" i="3" s="1"/>
  <c r="BL177" i="3"/>
  <c r="G185" i="3"/>
  <c r="BA189" i="3"/>
  <c r="AZ189" i="3" s="1"/>
  <c r="BL195" i="3"/>
  <c r="BA25" i="3"/>
  <c r="BA29" i="3"/>
  <c r="BL32" i="3"/>
  <c r="BL33" i="3"/>
  <c r="G44" i="3"/>
  <c r="BA46" i="3"/>
  <c r="AZ46" i="3" s="1"/>
  <c r="BA48" i="3"/>
  <c r="AZ48" i="3" s="1"/>
  <c r="BA52" i="3"/>
  <c r="BA59" i="3"/>
  <c r="AZ59" i="3" s="1"/>
  <c r="BA60" i="3"/>
  <c r="AZ60" i="3" s="1"/>
  <c r="BL63" i="3"/>
  <c r="BA67" i="3"/>
  <c r="BL70" i="3"/>
  <c r="AZ70" i="3" s="1"/>
  <c r="BA72" i="3"/>
  <c r="AZ72" i="3" s="1"/>
  <c r="BL74" i="3"/>
  <c r="AZ74" i="3" s="1"/>
  <c r="BL75" i="3"/>
  <c r="BA83" i="3"/>
  <c r="BA87" i="3"/>
  <c r="G90" i="3"/>
  <c r="BA92" i="3"/>
  <c r="BL98" i="3"/>
  <c r="BL100" i="3"/>
  <c r="BL101" i="3"/>
  <c r="G102" i="3"/>
  <c r="BL102" i="3"/>
  <c r="AZ102" i="3" s="1"/>
  <c r="BL103" i="3"/>
  <c r="G107" i="3"/>
  <c r="BA108" i="3"/>
  <c r="BL243" i="3"/>
  <c r="AZ243" i="3" s="1"/>
  <c r="G245" i="3"/>
  <c r="G247" i="3"/>
  <c r="G251" i="3"/>
  <c r="G256" i="3"/>
  <c r="BL258" i="3"/>
  <c r="AZ258" i="3" s="1"/>
  <c r="BA262" i="3"/>
  <c r="BA266" i="3"/>
  <c r="G271" i="3"/>
  <c r="BL272" i="3"/>
  <c r="BL281" i="3"/>
  <c r="AZ281" i="3" s="1"/>
  <c r="G285" i="3"/>
  <c r="BL288" i="3"/>
  <c r="BA290" i="3"/>
  <c r="AZ290" i="3" s="1"/>
  <c r="BA293" i="3"/>
  <c r="G122" i="3"/>
  <c r="BA125" i="3"/>
  <c r="G129" i="3"/>
  <c r="G138" i="3"/>
  <c r="BA141" i="3"/>
  <c r="AZ141" i="3" s="1"/>
  <c r="BL150" i="3"/>
  <c r="AZ150" i="3" s="1"/>
  <c r="BA154" i="3"/>
  <c r="AZ154" i="3" s="1"/>
  <c r="G157" i="3"/>
  <c r="G162" i="3"/>
  <c r="BA170" i="3"/>
  <c r="AZ170" i="3" s="1"/>
  <c r="BL175" i="3"/>
  <c r="BL176" i="3"/>
  <c r="BA199" i="3"/>
  <c r="AZ199" i="3" s="1"/>
  <c r="BA203" i="3"/>
  <c r="BA22" i="3"/>
  <c r="AZ22" i="3" s="1"/>
  <c r="BA24" i="3"/>
  <c r="AZ24" i="3" s="1"/>
  <c r="BA28" i="3"/>
  <c r="BL41" i="3"/>
  <c r="G42" i="3"/>
  <c r="BA50" i="3"/>
  <c r="BA57" i="3"/>
  <c r="BL62" i="3"/>
  <c r="BL66" i="3"/>
  <c r="BL82" i="3"/>
  <c r="BA86" i="3"/>
  <c r="BL89" i="3"/>
  <c r="BL95" i="3"/>
  <c r="G97" i="3"/>
  <c r="G98" i="3"/>
  <c r="G105" i="3"/>
  <c r="BL112" i="3"/>
  <c r="BL25" i="3"/>
  <c r="BL27" i="3"/>
  <c r="BL29" i="3"/>
  <c r="BL31" i="3"/>
  <c r="BA32" i="3"/>
  <c r="BA33" i="3"/>
  <c r="BL35" i="3"/>
  <c r="BA37" i="3"/>
  <c r="BL39" i="3"/>
  <c r="BA42" i="3"/>
  <c r="G55" i="3"/>
  <c r="BL57" i="3"/>
  <c r="BL58" i="3"/>
  <c r="AZ58" i="3" s="1"/>
  <c r="BA63" i="3"/>
  <c r="BL69" i="3"/>
  <c r="BL71" i="3"/>
  <c r="BA78" i="3"/>
  <c r="BL83" i="3"/>
  <c r="BL84" i="3"/>
  <c r="AZ84" i="3" s="1"/>
  <c r="BL86" i="3"/>
  <c r="BL87" i="3"/>
  <c r="BA89" i="3"/>
  <c r="BA94" i="3"/>
  <c r="BA96" i="3"/>
  <c r="BA97" i="3"/>
  <c r="AZ97" i="3" s="1"/>
  <c r="BL99" i="3"/>
  <c r="BA101" i="3"/>
  <c r="BA104" i="3"/>
  <c r="AZ104" i="3" s="1"/>
  <c r="BA110" i="3"/>
  <c r="BA111" i="3"/>
  <c r="AZ111" i="3" s="1"/>
  <c r="G164" i="3"/>
  <c r="BA164" i="3"/>
  <c r="AZ164" i="3" s="1"/>
  <c r="BL169" i="3"/>
  <c r="AZ169" i="3" s="1"/>
  <c r="G172" i="3"/>
  <c r="BA180" i="3"/>
  <c r="BL184" i="3"/>
  <c r="AZ184" i="3" s="1"/>
  <c r="BL190" i="3"/>
  <c r="G193" i="3"/>
  <c r="BA193" i="3"/>
  <c r="AZ193" i="3" s="1"/>
  <c r="G202" i="3"/>
  <c r="BA23" i="3"/>
  <c r="AZ23" i="3" s="1"/>
  <c r="G27" i="3"/>
  <c r="BL28" i="3"/>
  <c r="BA31" i="3"/>
  <c r="AZ31" i="3" s="1"/>
  <c r="BA34" i="3"/>
  <c r="BA39" i="3"/>
  <c r="BL43" i="3"/>
  <c r="AZ43" i="3" s="1"/>
  <c r="G45" i="3"/>
  <c r="BL45" i="3"/>
  <c r="AZ45" i="3" s="1"/>
  <c r="G47" i="3"/>
  <c r="BL47" i="3"/>
  <c r="AZ47" i="3" s="1"/>
  <c r="BL50" i="3"/>
  <c r="BL53" i="3"/>
  <c r="AZ53" i="3" s="1"/>
  <c r="BL54" i="3"/>
  <c r="AZ54" i="3" s="1"/>
  <c r="G60" i="3"/>
  <c r="G62" i="3"/>
  <c r="G63" i="3"/>
  <c r="BA66" i="3"/>
  <c r="BA69" i="3"/>
  <c r="BA71" i="3"/>
  <c r="AZ71" i="3" s="1"/>
  <c r="BA73" i="3"/>
  <c r="BA75" i="3"/>
  <c r="BL77" i="3"/>
  <c r="G80" i="3"/>
  <c r="G81" i="3"/>
  <c r="BL85" i="3"/>
  <c r="AZ85" i="3" s="1"/>
  <c r="BL88" i="3"/>
  <c r="AZ88" i="3" s="1"/>
  <c r="BL91" i="3"/>
  <c r="AZ91" i="3" s="1"/>
  <c r="G93" i="3"/>
  <c r="BL93" i="3"/>
  <c r="BA95" i="3"/>
  <c r="BA98" i="3"/>
  <c r="AZ98" i="3" s="1"/>
  <c r="G103" i="3"/>
  <c r="G104" i="3"/>
  <c r="BL106" i="3"/>
  <c r="AZ106" i="3" s="1"/>
  <c r="BL107" i="3"/>
  <c r="AZ107" i="3" s="1"/>
  <c r="BA109" i="3"/>
  <c r="AZ109" i="3" s="1"/>
  <c r="BA112" i="3"/>
  <c r="G12" i="1"/>
  <c r="C18" i="9"/>
  <c r="D18" i="9" s="1"/>
  <c r="M44" i="9" s="1"/>
  <c r="F32" i="33"/>
  <c r="AA32" i="33" s="1"/>
  <c r="H32" i="33"/>
  <c r="AB32" i="33" s="1"/>
  <c r="AC41" i="33"/>
  <c r="W41" i="33"/>
  <c r="G111" i="33"/>
  <c r="H111" i="33" s="1"/>
  <c r="I111" i="33" s="1"/>
  <c r="J111" i="33" s="1"/>
  <c r="K111" i="33" s="1"/>
  <c r="L111" i="33" s="1"/>
  <c r="M111" i="33" s="1"/>
  <c r="H36" i="33"/>
  <c r="AB36" i="33" s="1"/>
  <c r="AA37" i="33"/>
  <c r="S37" i="33"/>
  <c r="F113" i="33"/>
  <c r="G113" i="33" s="1"/>
  <c r="H113" i="33" s="1"/>
  <c r="I113" i="33" s="1"/>
  <c r="J113" i="33" s="1"/>
  <c r="K113" i="33" s="1"/>
  <c r="L113" i="33" s="1"/>
  <c r="M113" i="33" s="1"/>
  <c r="AB43" i="33"/>
  <c r="W42" i="33"/>
  <c r="S42" i="33"/>
  <c r="AA41" i="33"/>
  <c r="AA27" i="33"/>
  <c r="S39" i="33"/>
  <c r="U33" i="33"/>
  <c r="W27" i="33"/>
  <c r="AA11" i="33"/>
  <c r="H34" i="39"/>
  <c r="AB34" i="39" s="1"/>
  <c r="J34" i="39"/>
  <c r="AC34" i="39" s="1"/>
  <c r="F34" i="39"/>
  <c r="AA34" i="39" s="1"/>
  <c r="J42" i="39"/>
  <c r="AC42" i="39" s="1"/>
  <c r="F42" i="39"/>
  <c r="H42" i="39"/>
  <c r="AB42" i="39" s="1"/>
  <c r="F91" i="39"/>
  <c r="G91" i="39" s="1"/>
  <c r="H17" i="39"/>
  <c r="J17" i="39"/>
  <c r="W17" i="39" s="1"/>
  <c r="F17" i="39"/>
  <c r="AB29" i="39"/>
  <c r="U27" i="39"/>
  <c r="W27" i="39"/>
  <c r="S23" i="39"/>
  <c r="U43" i="21"/>
  <c r="AA43" i="21"/>
  <c r="U42" i="21"/>
  <c r="W42" i="21"/>
  <c r="U40" i="21"/>
  <c r="U39" i="21"/>
  <c r="U38" i="21"/>
  <c r="AB36" i="21"/>
  <c r="AC35" i="21"/>
  <c r="AA32" i="21"/>
  <c r="U19" i="21"/>
  <c r="S19" i="21"/>
  <c r="U17" i="21"/>
  <c r="AB10" i="21"/>
  <c r="AA38" i="21"/>
  <c r="AC36" i="21"/>
  <c r="S35" i="21"/>
  <c r="S34" i="21"/>
  <c r="AB34" i="21"/>
  <c r="AC8" i="21"/>
  <c r="AB8" i="21"/>
  <c r="S9" i="21"/>
  <c r="AA9" i="21"/>
  <c r="H9" i="21"/>
  <c r="J9" i="21"/>
  <c r="B41" i="1"/>
  <c r="AC5" i="3"/>
  <c r="K8" i="1"/>
  <c r="M8" i="1" s="1"/>
  <c r="O8" i="1" s="1"/>
  <c r="P8" i="1" s="1"/>
  <c r="BL13" i="3"/>
  <c r="G10" i="1"/>
  <c r="J52" i="40"/>
  <c r="C7" i="33"/>
  <c r="C7" i="37"/>
  <c r="C9" i="40"/>
  <c r="C65" i="40" s="1"/>
  <c r="C7" i="34"/>
  <c r="C59" i="34" s="1"/>
  <c r="D59" i="34" s="1"/>
  <c r="E59" i="34" s="1"/>
  <c r="C7" i="36"/>
  <c r="G13" i="1"/>
  <c r="G19" i="46"/>
  <c r="M20" i="46" s="1"/>
  <c r="C19" i="46" s="1"/>
  <c r="N59" i="68"/>
  <c r="L59" i="68"/>
  <c r="M59" i="68"/>
  <c r="S15" i="34"/>
  <c r="AA15" i="34"/>
  <c r="W14" i="21"/>
  <c r="AC14" i="21"/>
  <c r="AB46" i="21"/>
  <c r="U46" i="21"/>
  <c r="AA46" i="33"/>
  <c r="S46" i="33"/>
  <c r="U41" i="40"/>
  <c r="AB25" i="39"/>
  <c r="AB47" i="39"/>
  <c r="U47" i="39"/>
  <c r="AC15" i="39"/>
  <c r="W15" i="39"/>
  <c r="U23" i="40"/>
  <c r="AB23" i="40"/>
  <c r="AZ510" i="3"/>
  <c r="AZ552" i="3"/>
  <c r="AA39" i="39"/>
  <c r="S39" i="39"/>
  <c r="U46" i="39"/>
  <c r="AB46" i="39"/>
  <c r="U14" i="40"/>
  <c r="AB14" i="40"/>
  <c r="U34" i="40"/>
  <c r="AB34" i="40"/>
  <c r="W16" i="40"/>
  <c r="AC16" i="40"/>
  <c r="W47" i="39"/>
  <c r="AC47" i="39"/>
  <c r="J30" i="40"/>
  <c r="AC30" i="40" s="1"/>
  <c r="H100" i="40"/>
  <c r="I100" i="40" s="1"/>
  <c r="J100" i="40" s="1"/>
  <c r="K100" i="40" s="1"/>
  <c r="L100" i="40" s="1"/>
  <c r="M100" i="40" s="1"/>
  <c r="W30" i="21"/>
  <c r="AC30" i="21"/>
  <c r="AA34" i="33"/>
  <c r="U20" i="35"/>
  <c r="AB20" i="35"/>
  <c r="AZ544" i="3"/>
  <c r="AZ556" i="3"/>
  <c r="U27" i="33"/>
  <c r="AB27" i="33"/>
  <c r="AC27" i="34"/>
  <c r="W27" i="34"/>
  <c r="AB44" i="21"/>
  <c r="W34" i="36"/>
  <c r="AC34" i="36"/>
  <c r="AB34" i="35"/>
  <c r="U34" i="35"/>
  <c r="AC36" i="35"/>
  <c r="W36" i="35"/>
  <c r="J12" i="36"/>
  <c r="F12" i="36"/>
  <c r="S12" i="36" s="1"/>
  <c r="H12" i="36"/>
  <c r="U12" i="36" s="1"/>
  <c r="H23" i="36"/>
  <c r="AB23" i="36" s="1"/>
  <c r="J23" i="36"/>
  <c r="H5" i="3"/>
  <c r="F23" i="36"/>
  <c r="AA23" i="36" s="1"/>
  <c r="AZ457" i="3"/>
  <c r="AZ462" i="3"/>
  <c r="AZ465" i="3"/>
  <c r="AZ470" i="3"/>
  <c r="AZ473" i="3"/>
  <c r="AZ478" i="3"/>
  <c r="AZ334" i="3"/>
  <c r="AZ384" i="3"/>
  <c r="AZ387" i="3"/>
  <c r="AZ210" i="3"/>
  <c r="AZ219" i="3"/>
  <c r="AZ226" i="3"/>
  <c r="AZ294" i="3"/>
  <c r="W43" i="39"/>
  <c r="AC13" i="33"/>
  <c r="AC30" i="34"/>
  <c r="U25" i="35"/>
  <c r="AC32" i="36"/>
  <c r="AA45" i="33"/>
  <c r="AA30" i="33"/>
  <c r="AB15" i="37"/>
  <c r="AA23" i="37"/>
  <c r="AC37" i="33"/>
  <c r="AC28" i="33"/>
  <c r="AB31" i="33"/>
  <c r="AB30" i="21"/>
  <c r="S46" i="21"/>
  <c r="W46" i="33"/>
  <c r="J46" i="21"/>
  <c r="W46" i="21" s="1"/>
  <c r="F14" i="21"/>
  <c r="AC40" i="21"/>
  <c r="B70" i="46"/>
  <c r="C23" i="39"/>
  <c r="AB38" i="33"/>
  <c r="U38" i="33"/>
  <c r="S28" i="34"/>
  <c r="AA28" i="34"/>
  <c r="AZ404" i="3"/>
  <c r="AZ406" i="3"/>
  <c r="AZ408" i="3"/>
  <c r="AZ416" i="3"/>
  <c r="AZ437" i="3"/>
  <c r="AZ447" i="3"/>
  <c r="AZ318" i="3"/>
  <c r="AZ242" i="3"/>
  <c r="AZ259" i="3"/>
  <c r="S17" i="34"/>
  <c r="W32" i="33"/>
  <c r="U46" i="34"/>
  <c r="U39" i="39"/>
  <c r="AB45" i="34"/>
  <c r="AC28" i="34"/>
  <c r="AZ20" i="3"/>
  <c r="AB14" i="21"/>
  <c r="AB13" i="21"/>
  <c r="AB13" i="35"/>
  <c r="S31" i="33"/>
  <c r="S10" i="21"/>
  <c r="U9" i="34"/>
  <c r="BA570" i="3"/>
  <c r="AZ570" i="3" s="1"/>
  <c r="S12" i="33"/>
  <c r="AA12" i="33"/>
  <c r="H9" i="33"/>
  <c r="F9" i="33"/>
  <c r="AA9" i="33" s="1"/>
  <c r="AC39" i="34"/>
  <c r="W39" i="34"/>
  <c r="AC24" i="35"/>
  <c r="W24" i="35"/>
  <c r="U27" i="35"/>
  <c r="AB27" i="35"/>
  <c r="AZ400" i="3"/>
  <c r="AZ402" i="3"/>
  <c r="AZ405" i="3"/>
  <c r="AC27" i="35"/>
  <c r="BI5" i="3"/>
  <c r="F25" i="37"/>
  <c r="F26" i="37"/>
  <c r="AA26" i="37" s="1"/>
  <c r="U30" i="37"/>
  <c r="J25" i="37"/>
  <c r="C92" i="9"/>
  <c r="BA423" i="3"/>
  <c r="AZ423" i="3" s="1"/>
  <c r="BA426" i="3"/>
  <c r="AZ426" i="3" s="1"/>
  <c r="AZ435" i="3"/>
  <c r="AZ445" i="3"/>
  <c r="AZ448" i="3"/>
  <c r="BL451" i="3"/>
  <c r="BA454" i="3"/>
  <c r="AZ454" i="3" s="1"/>
  <c r="BA239" i="3"/>
  <c r="AZ239" i="3" s="1"/>
  <c r="G242" i="3"/>
  <c r="BL244" i="3"/>
  <c r="BA247" i="3"/>
  <c r="AZ247" i="3" s="1"/>
  <c r="G250" i="3"/>
  <c r="BL252" i="3"/>
  <c r="BA255" i="3"/>
  <c r="AZ255" i="3" s="1"/>
  <c r="G258" i="3"/>
  <c r="BL260" i="3"/>
  <c r="BA263" i="3"/>
  <c r="AZ263" i="3" s="1"/>
  <c r="G266" i="3"/>
  <c r="BL268" i="3"/>
  <c r="BL270" i="3"/>
  <c r="AZ270" i="3" s="1"/>
  <c r="G272" i="3"/>
  <c r="BA274" i="3"/>
  <c r="AZ274" i="3" s="1"/>
  <c r="BA282" i="3"/>
  <c r="AZ282" i="3" s="1"/>
  <c r="BA292" i="3"/>
  <c r="AZ293" i="3"/>
  <c r="AZ113" i="3"/>
  <c r="BA417" i="3"/>
  <c r="AZ417" i="3" s="1"/>
  <c r="BL419" i="3"/>
  <c r="AZ419" i="3" s="1"/>
  <c r="BL420" i="3"/>
  <c r="AZ420" i="3" s="1"/>
  <c r="G421" i="3"/>
  <c r="BL428" i="3"/>
  <c r="AZ428" i="3" s="1"/>
  <c r="G429" i="3"/>
  <c r="BA431" i="3"/>
  <c r="AZ431" i="3" s="1"/>
  <c r="G434" i="3"/>
  <c r="BL442" i="3"/>
  <c r="AZ442" i="3" s="1"/>
  <c r="G444" i="3"/>
  <c r="BA446" i="3"/>
  <c r="AZ446" i="3" s="1"/>
  <c r="BA449" i="3"/>
  <c r="AZ449" i="3" s="1"/>
  <c r="BA456" i="3"/>
  <c r="AZ456" i="3" s="1"/>
  <c r="G462" i="3"/>
  <c r="BA463" i="3"/>
  <c r="AZ463" i="3" s="1"/>
  <c r="BA464" i="3"/>
  <c r="AZ464" i="3" s="1"/>
  <c r="G470" i="3"/>
  <c r="BA471" i="3"/>
  <c r="AZ471" i="3" s="1"/>
  <c r="BA479" i="3"/>
  <c r="AZ479" i="3" s="1"/>
  <c r="BA297" i="3"/>
  <c r="AZ297" i="3" s="1"/>
  <c r="BL312" i="3"/>
  <c r="AZ312" i="3" s="1"/>
  <c r="BA319" i="3"/>
  <c r="AZ319" i="3" s="1"/>
  <c r="BL326" i="3"/>
  <c r="AZ326" i="3" s="1"/>
  <c r="BA335" i="3"/>
  <c r="AZ335" i="3" s="1"/>
  <c r="BL342" i="3"/>
  <c r="AZ342" i="3" s="1"/>
  <c r="BA351" i="3"/>
  <c r="AZ351" i="3" s="1"/>
  <c r="BL364" i="3"/>
  <c r="AZ364" i="3" s="1"/>
  <c r="BA368" i="3"/>
  <c r="AZ368" i="3" s="1"/>
  <c r="BA375" i="3"/>
  <c r="AZ375" i="3" s="1"/>
  <c r="BL382" i="3"/>
  <c r="AZ382" i="3" s="1"/>
  <c r="BL385" i="3"/>
  <c r="BA388" i="3"/>
  <c r="AZ388" i="3" s="1"/>
  <c r="BL206" i="3"/>
  <c r="AZ206" i="3" s="1"/>
  <c r="BL209" i="3"/>
  <c r="BA212" i="3"/>
  <c r="AZ212" i="3" s="1"/>
  <c r="BL214" i="3"/>
  <c r="AZ214" i="3" s="1"/>
  <c r="BL217" i="3"/>
  <c r="BA220" i="3"/>
  <c r="AZ220" i="3" s="1"/>
  <c r="BL222" i="3"/>
  <c r="AZ222" i="3" s="1"/>
  <c r="BL225" i="3"/>
  <c r="BA228" i="3"/>
  <c r="AZ228" i="3" s="1"/>
  <c r="BL230" i="3"/>
  <c r="AZ230" i="3" s="1"/>
  <c r="BL233" i="3"/>
  <c r="BA236" i="3"/>
  <c r="AZ236" i="3" s="1"/>
  <c r="BL238" i="3"/>
  <c r="AZ238" i="3" s="1"/>
  <c r="BL241" i="3"/>
  <c r="BA244" i="3"/>
  <c r="BL246" i="3"/>
  <c r="AZ246" i="3" s="1"/>
  <c r="BL249" i="3"/>
  <c r="BA252" i="3"/>
  <c r="AZ252" i="3" s="1"/>
  <c r="BL254" i="3"/>
  <c r="AZ254" i="3" s="1"/>
  <c r="BL257" i="3"/>
  <c r="BA260" i="3"/>
  <c r="BL262" i="3"/>
  <c r="AZ262" i="3" s="1"/>
  <c r="BL265" i="3"/>
  <c r="BA268" i="3"/>
  <c r="BL271" i="3"/>
  <c r="BL273" i="3"/>
  <c r="AZ273" i="3" s="1"/>
  <c r="BA287" i="3"/>
  <c r="BA296" i="3"/>
  <c r="AZ296" i="3" s="1"/>
  <c r="BL117" i="3"/>
  <c r="BA121" i="3"/>
  <c r="AZ121" i="3" s="1"/>
  <c r="BL134" i="3"/>
  <c r="AZ134" i="3" s="1"/>
  <c r="BA139" i="3"/>
  <c r="AZ139" i="3" s="1"/>
  <c r="G168" i="3"/>
  <c r="G170" i="3"/>
  <c r="A30" i="64"/>
  <c r="A30" i="51"/>
  <c r="G422" i="3"/>
  <c r="BL422" i="3"/>
  <c r="AZ422" i="3" s="1"/>
  <c r="BL425" i="3"/>
  <c r="AZ425" i="3" s="1"/>
  <c r="G430" i="3"/>
  <c r="BL430" i="3"/>
  <c r="AZ430" i="3" s="1"/>
  <c r="BL433" i="3"/>
  <c r="AZ433" i="3" s="1"/>
  <c r="BA436" i="3"/>
  <c r="AZ436" i="3" s="1"/>
  <c r="G439" i="3"/>
  <c r="BL443" i="3"/>
  <c r="AZ443" i="3" s="1"/>
  <c r="BA451" i="3"/>
  <c r="BL453" i="3"/>
  <c r="AZ453" i="3" s="1"/>
  <c r="BL458" i="3"/>
  <c r="AZ458" i="3" s="1"/>
  <c r="G459" i="3"/>
  <c r="BA461" i="3"/>
  <c r="AZ461" i="3" s="1"/>
  <c r="G467" i="3"/>
  <c r="BA469" i="3"/>
  <c r="AZ469" i="3" s="1"/>
  <c r="BA472" i="3"/>
  <c r="AZ472" i="3" s="1"/>
  <c r="G475" i="3"/>
  <c r="BA480" i="3"/>
  <c r="AZ480" i="3" s="1"/>
  <c r="G311" i="3"/>
  <c r="G325" i="3"/>
  <c r="G341" i="3"/>
  <c r="G363" i="3"/>
  <c r="G367" i="3"/>
  <c r="G370" i="3"/>
  <c r="G381" i="3"/>
  <c r="BA385" i="3"/>
  <c r="AZ385" i="3" s="1"/>
  <c r="BA209" i="3"/>
  <c r="BA217" i="3"/>
  <c r="AZ217" i="3" s="1"/>
  <c r="BA225" i="3"/>
  <c r="BA233" i="3"/>
  <c r="AZ233" i="3" s="1"/>
  <c r="BA241" i="3"/>
  <c r="BA249" i="3"/>
  <c r="AZ249" i="3" s="1"/>
  <c r="BA257" i="3"/>
  <c r="BA265" i="3"/>
  <c r="AZ265" i="3" s="1"/>
  <c r="BA269" i="3"/>
  <c r="AZ269" i="3" s="1"/>
  <c r="BA271" i="3"/>
  <c r="AZ271" i="3" s="1"/>
  <c r="BL276" i="3"/>
  <c r="AZ276" i="3" s="1"/>
  <c r="G277" i="3"/>
  <c r="BA285" i="3"/>
  <c r="AZ285" i="3" s="1"/>
  <c r="AZ117" i="3"/>
  <c r="AZ132" i="3"/>
  <c r="BA277" i="3"/>
  <c r="AZ277" i="3" s="1"/>
  <c r="AZ120" i="3"/>
  <c r="AZ172" i="3"/>
  <c r="AZ175" i="3"/>
  <c r="BA279" i="3"/>
  <c r="AZ279" i="3" s="1"/>
  <c r="BA280" i="3"/>
  <c r="AZ280" i="3" s="1"/>
  <c r="G283" i="3"/>
  <c r="BA284" i="3"/>
  <c r="AZ284" i="3" s="1"/>
  <c r="BL287" i="3"/>
  <c r="BL289" i="3"/>
  <c r="AZ289" i="3" s="1"/>
  <c r="BL292" i="3"/>
  <c r="BA295" i="3"/>
  <c r="AZ295" i="3" s="1"/>
  <c r="BA119" i="3"/>
  <c r="AZ119" i="3" s="1"/>
  <c r="AZ125" i="3"/>
  <c r="BL128" i="3"/>
  <c r="AZ128" i="3" s="1"/>
  <c r="BL129" i="3"/>
  <c r="AZ129" i="3" s="1"/>
  <c r="BA131" i="3"/>
  <c r="AZ131" i="3" s="1"/>
  <c r="G133" i="3"/>
  <c r="G135" i="3"/>
  <c r="BL137" i="3"/>
  <c r="AZ137" i="3" s="1"/>
  <c r="BA140" i="3"/>
  <c r="AZ140" i="3" s="1"/>
  <c r="AZ145" i="3"/>
  <c r="AZ148" i="3"/>
  <c r="BA151" i="3"/>
  <c r="AZ151" i="3" s="1"/>
  <c r="BA156" i="3"/>
  <c r="AZ156" i="3" s="1"/>
  <c r="BL159" i="3"/>
  <c r="AZ159" i="3" s="1"/>
  <c r="BL161" i="3"/>
  <c r="AZ161" i="3" s="1"/>
  <c r="BA166" i="3"/>
  <c r="AZ166" i="3" s="1"/>
  <c r="BA168" i="3"/>
  <c r="AZ168" i="3" s="1"/>
  <c r="BA171" i="3"/>
  <c r="AZ171" i="3" s="1"/>
  <c r="AZ176" i="3"/>
  <c r="BL187" i="3"/>
  <c r="AZ194" i="3"/>
  <c r="BA182" i="3"/>
  <c r="AZ182" i="3" s="1"/>
  <c r="BL188" i="3"/>
  <c r="AZ188" i="3" s="1"/>
  <c r="AZ33" i="3"/>
  <c r="AZ37" i="3"/>
  <c r="AZ42" i="3"/>
  <c r="AZ100" i="3"/>
  <c r="AZ103" i="3"/>
  <c r="AZ108" i="3"/>
  <c r="D73" i="46"/>
  <c r="N73" i="46"/>
  <c r="BL180" i="3"/>
  <c r="AZ180" i="3" s="1"/>
  <c r="G188" i="3"/>
  <c r="BA190" i="3"/>
  <c r="AZ190" i="3" s="1"/>
  <c r="BA195" i="3"/>
  <c r="AZ195" i="3" s="1"/>
  <c r="BA197" i="3"/>
  <c r="AZ197" i="3" s="1"/>
  <c r="G199" i="3"/>
  <c r="BL204" i="3"/>
  <c r="BA21" i="3"/>
  <c r="AZ21" i="3" s="1"/>
  <c r="AZ25" i="3"/>
  <c r="AZ57" i="3"/>
  <c r="AZ69" i="3"/>
  <c r="AZ75" i="3"/>
  <c r="AZ101" i="3"/>
  <c r="G177" i="3"/>
  <c r="BA187" i="3"/>
  <c r="BL196" i="3"/>
  <c r="AZ196" i="3" s="1"/>
  <c r="BL198" i="3"/>
  <c r="AZ198" i="3" s="1"/>
  <c r="BA202" i="3"/>
  <c r="AZ202" i="3" s="1"/>
  <c r="BA204" i="3"/>
  <c r="BL78" i="3"/>
  <c r="AZ78" i="3" s="1"/>
  <c r="G91" i="3"/>
  <c r="BL92" i="3"/>
  <c r="AZ92" i="3" s="1"/>
  <c r="G106" i="3"/>
  <c r="AZ29" i="3"/>
  <c r="AZ38" i="3"/>
  <c r="AZ76" i="3"/>
  <c r="AZ93" i="3"/>
  <c r="K108" i="46"/>
  <c r="K100" i="46"/>
  <c r="D22" i="15"/>
  <c r="D23" i="15"/>
  <c r="BL26" i="3"/>
  <c r="AZ26" i="3" s="1"/>
  <c r="BA41" i="3"/>
  <c r="AZ41" i="3" s="1"/>
  <c r="BL49" i="3"/>
  <c r="AZ49" i="3" s="1"/>
  <c r="BL52" i="3"/>
  <c r="AZ52" i="3" s="1"/>
  <c r="BA62" i="3"/>
  <c r="AZ62" i="3" s="1"/>
  <c r="BA65" i="3"/>
  <c r="AZ65" i="3" s="1"/>
  <c r="BA68" i="3"/>
  <c r="AZ68" i="3" s="1"/>
  <c r="BL73" i="3"/>
  <c r="AZ73" i="3" s="1"/>
  <c r="G78" i="3"/>
  <c r="G83" i="3"/>
  <c r="BL90" i="3"/>
  <c r="AZ90" i="3" s="1"/>
  <c r="BL96" i="3"/>
  <c r="AZ96" i="3" s="1"/>
  <c r="G100" i="3"/>
  <c r="BL105" i="3"/>
  <c r="AZ105" i="3" s="1"/>
  <c r="BL110" i="3"/>
  <c r="AZ110" i="3" s="1"/>
  <c r="BA30" i="3"/>
  <c r="AZ30" i="3" s="1"/>
  <c r="BA35" i="3"/>
  <c r="AZ35" i="3" s="1"/>
  <c r="BL40" i="3"/>
  <c r="AZ40" i="3" s="1"/>
  <c r="BA44" i="3"/>
  <c r="AZ44" i="3" s="1"/>
  <c r="BL55" i="3"/>
  <c r="AZ55" i="3" s="1"/>
  <c r="BL61" i="3"/>
  <c r="AZ61" i="3" s="1"/>
  <c r="BL64" i="3"/>
  <c r="AZ64" i="3" s="1"/>
  <c r="BL67" i="3"/>
  <c r="AZ67" i="3" s="1"/>
  <c r="BA77" i="3"/>
  <c r="AZ77" i="3" s="1"/>
  <c r="BA82" i="3"/>
  <c r="AZ82" i="3" s="1"/>
  <c r="G86" i="3"/>
  <c r="G89" i="3"/>
  <c r="BA99" i="3"/>
  <c r="AZ99" i="3" s="1"/>
  <c r="G109" i="3"/>
  <c r="R12" i="1"/>
  <c r="K12" i="1"/>
  <c r="M12" i="1" s="1"/>
  <c r="O12" i="1" s="1"/>
  <c r="P12" i="1" s="1"/>
  <c r="I10" i="57"/>
  <c r="F6" i="1"/>
  <c r="G11" i="1"/>
  <c r="M22" i="44"/>
  <c r="F32" i="15"/>
  <c r="F59" i="15" s="1"/>
  <c r="F29" i="12"/>
  <c r="F70" i="9"/>
  <c r="D86" i="9"/>
  <c r="M20" i="44"/>
  <c r="F31" i="43"/>
  <c r="C31" i="43" s="1"/>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F87" i="33"/>
  <c r="G87" i="33" s="1"/>
  <c r="H87" i="33" s="1"/>
  <c r="I87" i="33" s="1"/>
  <c r="J87" i="33" s="1"/>
  <c r="K87" i="33" s="1"/>
  <c r="L87" i="33" s="1"/>
  <c r="M87" i="33" s="1"/>
  <c r="F85" i="33"/>
  <c r="G85" i="33" s="1"/>
  <c r="J23" i="33"/>
  <c r="F23" i="33"/>
  <c r="H23" i="33"/>
  <c r="U19" i="33"/>
  <c r="F79" i="33"/>
  <c r="G79" i="33" s="1"/>
  <c r="F17" i="33"/>
  <c r="H17" i="33"/>
  <c r="J17" i="33"/>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s="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7"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I20" i="46"/>
  <c r="C20" i="46" s="1"/>
  <c r="L5" i="54"/>
  <c r="B39" i="63" s="1"/>
  <c r="K5" i="54"/>
  <c r="B38" i="63" s="1"/>
  <c r="T41" i="4"/>
  <c r="A17" i="64" s="1"/>
  <c r="B46" i="50"/>
  <c r="B4" i="63" s="1"/>
  <c r="C46" i="36"/>
  <c r="D46" i="36" s="1"/>
  <c r="C48" i="35"/>
  <c r="D48" i="35" s="1"/>
  <c r="C52" i="37"/>
  <c r="D52" i="37" s="1"/>
  <c r="C67" i="40"/>
  <c r="D65" i="40"/>
  <c r="P24" i="46"/>
  <c r="B68" i="40" s="1"/>
  <c r="P25" i="46"/>
  <c r="B73" i="39" s="1"/>
  <c r="P23" i="46"/>
  <c r="P21" i="46"/>
  <c r="P22" i="46"/>
  <c r="C72" i="39"/>
  <c r="D70" i="39"/>
  <c r="O19" i="46"/>
  <c r="K17" i="4"/>
  <c r="A22" i="51" s="1"/>
  <c r="B16" i="63" s="1"/>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1" i="68"/>
  <c r="F11" i="44"/>
  <c r="F18" i="44"/>
  <c r="F9" i="44"/>
  <c r="F10" i="44"/>
  <c r="M23" i="15"/>
  <c r="F40" i="44"/>
  <c r="M28" i="44"/>
  <c r="F7" i="68"/>
  <c r="F38" i="44"/>
  <c r="F39" i="44"/>
  <c r="L48" i="15"/>
  <c r="M24" i="44"/>
  <c r="M31" i="44"/>
  <c r="F28" i="44"/>
  <c r="M6" i="15"/>
  <c r="L48" i="68"/>
  <c r="M10" i="44"/>
  <c r="F36" i="15"/>
  <c r="F6" i="15"/>
  <c r="L49" i="44"/>
  <c r="M25" i="44"/>
  <c r="M8" i="44"/>
  <c r="F15" i="44"/>
  <c r="J17" i="44"/>
  <c r="M29" i="68"/>
  <c r="M11" i="44"/>
  <c r="M26" i="44"/>
  <c r="M30" i="44"/>
  <c r="F8" i="44"/>
  <c r="M9" i="15"/>
  <c r="F45" i="44"/>
  <c r="J15" i="15"/>
  <c r="F43" i="68"/>
  <c r="L48" i="44"/>
  <c r="F43" i="44"/>
  <c r="L47" i="15"/>
  <c r="F8" i="15"/>
  <c r="M29" i="15"/>
  <c r="G8" i="1" l="1"/>
  <c r="W12" i="21"/>
  <c r="AC12" i="21"/>
  <c r="E69" i="46"/>
  <c r="B67" i="46" s="1"/>
  <c r="F23" i="21"/>
  <c r="AZ95" i="3"/>
  <c r="AZ94" i="3"/>
  <c r="AZ223" i="3"/>
  <c r="AZ424" i="3"/>
  <c r="AZ357" i="3"/>
  <c r="AZ325" i="3"/>
  <c r="AZ34" i="3"/>
  <c r="AZ459" i="3"/>
  <c r="AC33" i="39"/>
  <c r="W15" i="33"/>
  <c r="AC15" i="33"/>
  <c r="W19" i="39"/>
  <c r="AC19" i="39"/>
  <c r="C16" i="46"/>
  <c r="H23" i="21"/>
  <c r="J23" i="21"/>
  <c r="W23" i="21" s="1"/>
  <c r="F25" i="33"/>
  <c r="AZ87" i="3"/>
  <c r="AA13" i="39"/>
  <c r="S13" i="39"/>
  <c r="AB29" i="33"/>
  <c r="U29" i="33"/>
  <c r="S14" i="34"/>
  <c r="AA14" i="34"/>
  <c r="AC34" i="40"/>
  <c r="W34" i="40"/>
  <c r="AA33" i="33"/>
  <c r="S33" i="33"/>
  <c r="J36" i="33"/>
  <c r="F36" i="33"/>
  <c r="AZ39" i="3"/>
  <c r="AZ203" i="3"/>
  <c r="AZ27" i="3"/>
  <c r="AZ429" i="3"/>
  <c r="AZ572" i="3"/>
  <c r="AZ267" i="3"/>
  <c r="AZ341" i="3"/>
  <c r="U12" i="21"/>
  <c r="AB12" i="21"/>
  <c r="U33" i="36"/>
  <c r="AB33" i="36"/>
  <c r="B25" i="31"/>
  <c r="B22" i="31"/>
  <c r="J25" i="33"/>
  <c r="W25" i="33" s="1"/>
  <c r="H25" i="33"/>
  <c r="AB25" i="33" s="1"/>
  <c r="S32" i="33"/>
  <c r="U32" i="33"/>
  <c r="AZ268" i="3"/>
  <c r="AZ50" i="3"/>
  <c r="AZ286" i="3"/>
  <c r="H76" i="46"/>
  <c r="G5" i="3"/>
  <c r="B3" i="3" s="1"/>
  <c r="E413" i="3" s="1"/>
  <c r="AZ152" i="3"/>
  <c r="AZ450" i="3"/>
  <c r="AZ394" i="3"/>
  <c r="AA12" i="35"/>
  <c r="S12" i="35"/>
  <c r="W45" i="33"/>
  <c r="AC45" i="33"/>
  <c r="U31" i="21"/>
  <c r="AB31" i="21"/>
  <c r="AZ292" i="3"/>
  <c r="AZ112" i="3"/>
  <c r="AZ66" i="3"/>
  <c r="AZ89" i="3"/>
  <c r="AZ63" i="3"/>
  <c r="AZ86" i="3"/>
  <c r="AZ83" i="3"/>
  <c r="AZ149" i="3"/>
  <c r="AZ133" i="3"/>
  <c r="AZ272" i="3"/>
  <c r="AZ218" i="3"/>
  <c r="AZ224" i="3"/>
  <c r="AZ231" i="3"/>
  <c r="AZ441" i="3"/>
  <c r="AZ526" i="3"/>
  <c r="W12" i="35"/>
  <c r="AC12" i="35"/>
  <c r="U45" i="33"/>
  <c r="AB45" i="33"/>
  <c r="AZ409" i="3"/>
  <c r="W26" i="37"/>
  <c r="AC26" i="37"/>
  <c r="F93" i="39"/>
  <c r="G93" i="39" s="1"/>
  <c r="F19" i="39"/>
  <c r="H19" i="39"/>
  <c r="C5" i="46"/>
  <c r="C58" i="33"/>
  <c r="D58" i="33" s="1"/>
  <c r="E58" i="33" s="1"/>
  <c r="F58" i="33" s="1"/>
  <c r="G58" i="33" s="1"/>
  <c r="H58" i="33" s="1"/>
  <c r="I58" i="33" s="1"/>
  <c r="J58" i="33" s="1"/>
  <c r="K58" i="33" s="1"/>
  <c r="L58" i="33" s="1"/>
  <c r="M58" i="33" s="1"/>
  <c r="N58" i="33" s="1"/>
  <c r="O58" i="33" s="1"/>
  <c r="I7" i="33"/>
  <c r="E7" i="33"/>
  <c r="G7" i="33"/>
  <c r="AZ32" i="3"/>
  <c r="AZ28" i="3"/>
  <c r="AZ266" i="3"/>
  <c r="AZ288" i="3"/>
  <c r="AZ369" i="3"/>
  <c r="AZ476" i="3"/>
  <c r="AZ177" i="3"/>
  <c r="AZ412" i="3"/>
  <c r="AZ399" i="3"/>
  <c r="W13" i="36"/>
  <c r="AC13" i="36"/>
  <c r="AZ389" i="3"/>
  <c r="AZ534" i="3"/>
  <c r="F77" i="33"/>
  <c r="G77" i="33" s="1"/>
  <c r="F15" i="33"/>
  <c r="H15" i="33"/>
  <c r="AC17" i="39"/>
  <c r="U34" i="39"/>
  <c r="AA42" i="39"/>
  <c r="S42" i="39"/>
  <c r="AA17" i="39"/>
  <c r="S17" i="39"/>
  <c r="U17" i="39"/>
  <c r="AB17" i="39"/>
  <c r="AC23" i="21"/>
  <c r="AA15" i="21"/>
  <c r="AB9" i="21"/>
  <c r="U9" i="21"/>
  <c r="AC9" i="21"/>
  <c r="W9" i="21"/>
  <c r="F27" i="43"/>
  <c r="C27" i="43" s="1"/>
  <c r="F72" i="9"/>
  <c r="F34" i="44"/>
  <c r="F66" i="9"/>
  <c r="P72" i="9" s="1"/>
  <c r="F71" i="9"/>
  <c r="AB11" i="46"/>
  <c r="AB13" i="46" s="1"/>
  <c r="H7" i="33"/>
  <c r="F71" i="68"/>
  <c r="M7" i="68"/>
  <c r="F50" i="68"/>
  <c r="C6" i="68"/>
  <c r="C5" i="68" s="1"/>
  <c r="I54" i="68"/>
  <c r="L56" i="68"/>
  <c r="J57" i="68"/>
  <c r="J55" i="68" s="1"/>
  <c r="J58" i="68" s="1"/>
  <c r="Q50" i="68" s="1"/>
  <c r="L58" i="68"/>
  <c r="AC33" i="37"/>
  <c r="M6" i="1"/>
  <c r="C15" i="43" s="1"/>
  <c r="H69" i="46"/>
  <c r="H75" i="46"/>
  <c r="C7" i="46"/>
  <c r="AZ257" i="3"/>
  <c r="AZ225" i="3"/>
  <c r="AZ451" i="3"/>
  <c r="AZ287" i="3"/>
  <c r="AZ244" i="3"/>
  <c r="H73" i="46"/>
  <c r="H71" i="46"/>
  <c r="W20" i="36"/>
  <c r="AP6" i="1"/>
  <c r="AP16" i="1" s="1"/>
  <c r="F22" i="11" s="1"/>
  <c r="AB9" i="33"/>
  <c r="U9" i="33"/>
  <c r="AA14" i="21"/>
  <c r="S14" i="21"/>
  <c r="Q74" i="68"/>
  <c r="Q61" i="68"/>
  <c r="U23" i="36"/>
  <c r="BL5" i="3"/>
  <c r="I21" i="57"/>
  <c r="D1" i="57" s="1"/>
  <c r="E10" i="57" s="1"/>
  <c r="AZ204" i="3"/>
  <c r="AZ187" i="3"/>
  <c r="AZ241" i="3"/>
  <c r="AZ209" i="3"/>
  <c r="AZ260" i="3"/>
  <c r="W25" i="37"/>
  <c r="AC25" i="37"/>
  <c r="AA25" i="37"/>
  <c r="S25" i="37"/>
  <c r="AC23" i="36"/>
  <c r="W23" i="36"/>
  <c r="W12" i="36"/>
  <c r="AC12" i="36"/>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U7" i="33"/>
  <c r="AB7" i="33"/>
  <c r="D67" i="40"/>
  <c r="E65" i="40"/>
  <c r="C39" i="46"/>
  <c r="G39" i="46" s="1"/>
  <c r="I39" i="46" s="1"/>
  <c r="C37" i="46"/>
  <c r="G37" i="46" s="1"/>
  <c r="I37" i="46" s="1"/>
  <c r="Q16" i="1"/>
  <c r="F18" i="11" s="1"/>
  <c r="C18" i="11" s="1"/>
  <c r="C19" i="11" s="1"/>
  <c r="E4" i="4"/>
  <c r="C4" i="4"/>
  <c r="F50" i="15"/>
  <c r="F63" i="15"/>
  <c r="L56" i="15"/>
  <c r="J57" i="15"/>
  <c r="J55" i="15" s="1"/>
  <c r="J58" i="15" s="1"/>
  <c r="Q51" i="15" s="1"/>
  <c r="G66" i="36"/>
  <c r="J18" i="36"/>
  <c r="AE7" i="1"/>
  <c r="AE6" i="1"/>
  <c r="F31" i="15"/>
  <c r="M17" i="15"/>
  <c r="F33" i="44"/>
  <c r="M19" i="44"/>
  <c r="F58" i="15"/>
  <c r="C16" i="68"/>
  <c r="M22" i="15"/>
  <c r="C18" i="44"/>
  <c r="M26" i="15"/>
  <c r="F42" i="15"/>
  <c r="F38" i="15"/>
  <c r="F43" i="15"/>
  <c r="F41" i="68"/>
  <c r="AE8" i="1"/>
  <c r="F46" i="44"/>
  <c r="F59" i="68"/>
  <c r="F9" i="15"/>
  <c r="F40" i="15"/>
  <c r="J36" i="15"/>
  <c r="M24" i="15"/>
  <c r="F7" i="15"/>
  <c r="M17" i="68"/>
  <c r="F37" i="15"/>
  <c r="F13" i="15"/>
  <c r="M8" i="15"/>
  <c r="F26" i="15"/>
  <c r="F16" i="15"/>
  <c r="M28" i="15"/>
  <c r="Q72" i="15" l="1"/>
  <c r="F49" i="15"/>
  <c r="C48" i="15" s="1"/>
  <c r="C6" i="15"/>
  <c r="C5" i="15" s="1"/>
  <c r="M7" i="15"/>
  <c r="J6" i="15" s="1"/>
  <c r="J5" i="15" s="1"/>
  <c r="J18" i="15" s="1"/>
  <c r="F70" i="15"/>
  <c r="C27" i="15"/>
  <c r="F65" i="15"/>
  <c r="F7" i="33"/>
  <c r="F64" i="15"/>
  <c r="F67" i="15"/>
  <c r="W36" i="33"/>
  <c r="AC36" i="33"/>
  <c r="H7" i="36"/>
  <c r="AB7" i="36" s="1"/>
  <c r="T36" i="36" s="1"/>
  <c r="G36" i="36" s="1"/>
  <c r="G40" i="36" s="1"/>
  <c r="H40" i="36" s="1"/>
  <c r="J7" i="35"/>
  <c r="AC7" i="35" s="1"/>
  <c r="V38" i="35" s="1"/>
  <c r="I38" i="35" s="1"/>
  <c r="F7" i="34"/>
  <c r="J7" i="33"/>
  <c r="U25" i="33"/>
  <c r="C25" i="31"/>
  <c r="S36" i="33"/>
  <c r="AA36" i="33"/>
  <c r="AC25" i="33"/>
  <c r="AA15" i="33"/>
  <c r="S15" i="33"/>
  <c r="AB19" i="39"/>
  <c r="U19" i="39"/>
  <c r="S19" i="39"/>
  <c r="AA19" i="39"/>
  <c r="U15" i="33"/>
  <c r="AB15" i="33"/>
  <c r="T48" i="33" s="1"/>
  <c r="G48" i="33" s="1"/>
  <c r="E27" i="6"/>
  <c r="K26" i="6" s="1"/>
  <c r="M26" i="6" s="1"/>
  <c r="I26" i="6" s="1"/>
  <c r="S26" i="6" s="1"/>
  <c r="J103" i="46"/>
  <c r="K105" i="46"/>
  <c r="K104" i="46"/>
  <c r="F30" i="6"/>
  <c r="F31" i="6" s="1"/>
  <c r="C107" i="46"/>
  <c r="O6" i="1"/>
  <c r="P6" i="1" s="1"/>
  <c r="C15" i="12" s="1"/>
  <c r="J105" i="46"/>
  <c r="F107" i="46"/>
  <c r="K107" i="46"/>
  <c r="J109" i="46"/>
  <c r="J107" i="46"/>
  <c r="F103" i="46"/>
  <c r="C105" i="46"/>
  <c r="J7" i="36"/>
  <c r="W7" i="36" s="1"/>
  <c r="H7" i="35"/>
  <c r="AB7" i="35" s="1"/>
  <c r="T38" i="35" s="1"/>
  <c r="G38" i="35" s="1"/>
  <c r="G42" i="35" s="1"/>
  <c r="H42" i="35" s="1"/>
  <c r="H7" i="34"/>
  <c r="AB7" i="34" s="1"/>
  <c r="T49" i="34" s="1"/>
  <c r="G49" i="34" s="1"/>
  <c r="G53" i="34" s="1"/>
  <c r="H53" i="34" s="1"/>
  <c r="F7" i="36"/>
  <c r="S7" i="36" s="1"/>
  <c r="F7" i="35"/>
  <c r="J7" i="34"/>
  <c r="W7" i="34" s="1"/>
  <c r="Q60" i="68"/>
  <c r="Q73" i="68"/>
  <c r="F106" i="46"/>
  <c r="C104" i="46"/>
  <c r="C49" i="68"/>
  <c r="C48" i="68" s="1"/>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U7" i="34"/>
  <c r="J8" i="44"/>
  <c r="J7" i="44"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2" i="6"/>
  <c r="K20" i="6"/>
  <c r="K25" i="6"/>
  <c r="M25" i="6" s="1"/>
  <c r="I25" i="6" s="1"/>
  <c r="S25" i="6" s="1"/>
  <c r="K21" i="6"/>
  <c r="K14" i="1"/>
  <c r="E30" i="6"/>
  <c r="E62" i="40"/>
  <c r="E67" i="39"/>
  <c r="E66" i="39"/>
  <c r="E61" i="40"/>
  <c r="E37" i="46"/>
  <c r="G35" i="46"/>
  <c r="I35" i="46" s="1"/>
  <c r="E38" i="46"/>
  <c r="G36" i="46"/>
  <c r="I36" i="46" s="1"/>
  <c r="E33" i="46"/>
  <c r="C30" i="46"/>
  <c r="E30" i="46" s="1"/>
  <c r="G34" i="46"/>
  <c r="I34" i="46" s="1"/>
  <c r="B21" i="55"/>
  <c r="B20" i="55"/>
  <c r="AA7" i="36"/>
  <c r="R36" i="36" s="1"/>
  <c r="E36" i="36" s="1"/>
  <c r="E40" i="36" s="1"/>
  <c r="F40" i="36" s="1"/>
  <c r="S7" i="35"/>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Q61" i="15"/>
  <c r="Q62" i="15"/>
  <c r="Q53" i="15"/>
  <c r="C20" i="11"/>
  <c r="C21" i="11" s="1"/>
  <c r="C22" i="11" s="1"/>
  <c r="C23" i="11" s="1"/>
  <c r="B2" i="11" s="1"/>
  <c r="AC12" i="40"/>
  <c r="W12" i="40"/>
  <c r="E46" i="37"/>
  <c r="F46" i="37" s="1"/>
  <c r="M27" i="15"/>
  <c r="M29" i="44"/>
  <c r="C16" i="15"/>
  <c r="F7" i="67"/>
  <c r="F41" i="15"/>
  <c r="L52" i="44"/>
  <c r="M27" i="68"/>
  <c r="S7" i="33" l="1"/>
  <c r="AA7" i="33"/>
  <c r="R48" i="33" s="1"/>
  <c r="E48" i="33" s="1"/>
  <c r="E52" i="33" s="1"/>
  <c r="F52" i="33" s="1"/>
  <c r="AC7" i="33"/>
  <c r="V48" i="33" s="1"/>
  <c r="I48" i="33" s="1"/>
  <c r="I52" i="33" s="1"/>
  <c r="J52" i="33" s="1"/>
  <c r="W7" i="33"/>
  <c r="F68" i="15"/>
  <c r="G52" i="33"/>
  <c r="H52" i="33" s="1"/>
  <c r="S7" i="37"/>
  <c r="B70" i="63"/>
  <c r="B72" i="63"/>
  <c r="K15" i="1"/>
  <c r="L19" i="6"/>
  <c r="E31" i="6"/>
  <c r="K23" i="6"/>
  <c r="M23" i="6" s="1"/>
  <c r="I23" i="6" s="1"/>
  <c r="S23" i="6" s="1"/>
  <c r="S6" i="46"/>
  <c r="T6" i="46" s="1"/>
  <c r="V6" i="46" s="1"/>
  <c r="S7" i="46"/>
  <c r="T7" i="46" s="1"/>
  <c r="V7" i="46" s="1"/>
  <c r="S4" i="46"/>
  <c r="T4" i="46" s="1"/>
  <c r="V4" i="46" s="1"/>
  <c r="S5" i="46"/>
  <c r="T5" i="46" s="1"/>
  <c r="V5" i="46" s="1"/>
  <c r="S2" i="46"/>
  <c r="T2" i="46" s="1"/>
  <c r="V2" i="46" s="1"/>
  <c r="S3" i="46"/>
  <c r="T3" i="46" s="1"/>
  <c r="V3" i="46" s="1"/>
  <c r="AB12" i="39"/>
  <c r="U7" i="35"/>
  <c r="J24" i="68"/>
  <c r="J18" i="68"/>
  <c r="J26" i="68"/>
  <c r="J29" i="68" s="1"/>
  <c r="I53" i="34"/>
  <c r="J53" i="34" s="1"/>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4" i="68"/>
  <c r="C19" i="44"/>
  <c r="C17" i="68"/>
  <c r="C17" i="15"/>
  <c r="E7" i="67"/>
  <c r="E53" i="33" l="1"/>
  <c r="F53" i="33" s="1"/>
  <c r="R49" i="33"/>
  <c r="C49" i="33" s="1"/>
  <c r="G53" i="33"/>
  <c r="H53" i="33" s="1"/>
  <c r="B3" i="11"/>
  <c r="C33" i="21"/>
  <c r="C48" i="33"/>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 i="33" l="1"/>
  <c r="B2" i="33" s="1"/>
  <c r="R24" i="31"/>
  <c r="J33" i="21"/>
  <c r="F33" i="21"/>
  <c r="H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S24" i="31" l="1"/>
  <c r="R25" i="31"/>
  <c r="S25" i="31" s="1"/>
  <c r="U33" i="21"/>
  <c r="AB33" i="21"/>
  <c r="T48" i="21" s="1"/>
  <c r="G48" i="21" s="1"/>
  <c r="AA33" i="21"/>
  <c r="R48" i="21" s="1"/>
  <c r="S33" i="21"/>
  <c r="W33" i="21"/>
  <c r="AC33" i="21"/>
  <c r="V48" i="21" s="1"/>
  <c r="I48" i="21"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F35" i="68"/>
  <c r="M21" i="68"/>
  <c r="M21" i="15"/>
  <c r="S22" i="31" l="1"/>
  <c r="D10" i="12" s="1"/>
  <c r="E48" i="21"/>
  <c r="I53" i="21" s="1"/>
  <c r="J53" i="21" s="1"/>
  <c r="R49" i="21"/>
  <c r="I52" i="21"/>
  <c r="J52" i="21" s="1"/>
  <c r="G52" i="21"/>
  <c r="H52" i="21" s="1"/>
  <c r="G53" i="21"/>
  <c r="H53" i="21" s="1"/>
  <c r="J20" i="68"/>
  <c r="F63" i="68"/>
  <c r="C62" i="68" s="1"/>
  <c r="C34" i="68"/>
  <c r="C57" i="68"/>
  <c r="C13" i="68"/>
  <c r="J19" i="68"/>
  <c r="J14" i="68"/>
  <c r="C36" i="68"/>
  <c r="Q49" i="68"/>
  <c r="C33"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0" i="31" l="1"/>
  <c r="R22" i="31"/>
  <c r="B21" i="31" s="1"/>
  <c r="C48" i="21"/>
  <c r="C49" i="21"/>
  <c r="B3" i="21" s="1"/>
  <c r="E52" i="21"/>
  <c r="F52" i="21" s="1"/>
  <c r="E53" i="21"/>
  <c r="F53" i="21" s="1"/>
  <c r="J17" i="68"/>
  <c r="C31" i="68"/>
  <c r="C61" i="68"/>
  <c r="C59" i="68" s="1"/>
  <c r="C64" i="68"/>
  <c r="Q48" i="68"/>
  <c r="J22" i="68"/>
  <c r="J13" i="68"/>
  <c r="J23" i="68" s="1"/>
  <c r="C75" i="68"/>
  <c r="C37" i="68"/>
  <c r="C56" i="68"/>
  <c r="C65" i="68" s="1"/>
  <c r="Q70" i="68"/>
  <c r="C28" i="44"/>
  <c r="C31" i="44" s="1"/>
  <c r="C35" i="44" s="1"/>
  <c r="I5" i="6"/>
  <c r="C26" i="15"/>
  <c r="C29" i="15" s="1"/>
  <c r="J59" i="15" s="1"/>
  <c r="J60" i="15" s="1"/>
  <c r="Q49" i="15" s="1"/>
  <c r="C23" i="12"/>
  <c r="C19" i="43"/>
  <c r="C22" i="43" s="1"/>
  <c r="C21" i="43" s="1"/>
  <c r="K67" i="40"/>
  <c r="L65" i="40"/>
  <c r="K72" i="39"/>
  <c r="L70" i="39"/>
  <c r="D8" i="12" l="1"/>
  <c r="B2" i="21"/>
  <c r="C10" i="12" s="1"/>
  <c r="C8" i="12"/>
  <c r="C30" i="68"/>
  <c r="C39" i="68" s="1"/>
  <c r="Q69" i="68" s="1"/>
  <c r="Q68"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80" i="68" l="1"/>
  <c r="C79" i="68" s="1"/>
  <c r="C40" i="68"/>
  <c r="Q56" i="68" s="1"/>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Q67" i="68" l="1"/>
  <c r="L57" i="68"/>
  <c r="L60" i="68" s="1"/>
  <c r="L46" i="68" s="1"/>
  <c r="D2" i="68" s="1"/>
  <c r="B3" i="68" s="1"/>
  <c r="C45" i="68"/>
  <c r="C46" i="68" s="1"/>
  <c r="Q65" i="68"/>
  <c r="C43" i="68"/>
  <c r="C83" i="68"/>
  <c r="C82" i="68" s="1"/>
  <c r="Q47" i="68"/>
  <c r="Q53"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68" l="1"/>
  <c r="Q62" i="68" s="1"/>
  <c r="Q66" i="68"/>
  <c r="Q75" i="68" s="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B3" i="12" s="1"/>
  <c r="C45" i="9"/>
  <c r="H14" i="66" s="1"/>
  <c r="B7" i="66" s="1"/>
  <c r="C19" i="9"/>
  <c r="C20" i="9"/>
  <c r="B5" i="12" l="1"/>
  <c r="D22" i="9"/>
  <c r="G19" i="9"/>
  <c r="K19" i="9" s="1"/>
  <c r="L43" i="9"/>
  <c r="B4" i="12"/>
  <c r="G20" i="9"/>
  <c r="D7" i="66"/>
  <c r="C7" i="66"/>
  <c r="C21" i="9"/>
  <c r="G21" i="9" l="1"/>
  <c r="C32" i="9"/>
  <c r="N43" i="9"/>
  <c r="G22" i="9"/>
  <c r="D45" i="9"/>
  <c r="E45" i="9"/>
  <c r="O40" i="9"/>
  <c r="F45" i="9"/>
  <c r="C42" i="9" l="1"/>
  <c r="C34" i="9"/>
  <c r="O43" i="9"/>
  <c r="O38" i="9"/>
  <c r="C33" i="9"/>
  <c r="C35" i="9"/>
  <c r="F42" i="9" s="1"/>
  <c r="K31" i="9"/>
  <c r="K32" i="9" s="1"/>
  <c r="R7" i="54"/>
  <c r="B52" i="63" s="1"/>
  <c r="K25" i="9" l="1"/>
  <c r="K26" i="9"/>
  <c r="E42" i="9"/>
  <c r="P5" i="54" s="1"/>
  <c r="M38" i="9"/>
  <c r="K27" i="9" s="1"/>
  <c r="D42" i="9"/>
  <c r="Q5" i="54" s="1"/>
  <c r="N38" i="9"/>
  <c r="K28" i="9" s="1"/>
  <c r="C44" i="9"/>
  <c r="R5" i="54"/>
  <c r="D63" i="9"/>
  <c r="D14" i="66"/>
  <c r="N68" i="9"/>
  <c r="B48" i="63" l="1"/>
  <c r="B47" i="63"/>
  <c r="B46" i="63"/>
  <c r="F14" i="66"/>
  <c r="E14" i="66"/>
  <c r="B5" i="66"/>
  <c r="C111" i="9"/>
  <c r="C104" i="9" s="1"/>
  <c r="C96" i="9"/>
  <c r="C91" i="9" s="1"/>
  <c r="D71" i="9"/>
  <c r="D66" i="9" s="1"/>
  <c r="N72" i="9" s="1"/>
  <c r="D77" i="9"/>
  <c r="N75" i="9" s="1"/>
  <c r="C103" i="9"/>
  <c r="C90" i="9"/>
  <c r="D70" i="9"/>
  <c r="C82" i="9"/>
  <c r="C81" i="9" s="1"/>
  <c r="C85" i="9" s="1"/>
  <c r="C86" i="9" s="1"/>
  <c r="D72" i="9" s="1"/>
  <c r="G14" i="66"/>
  <c r="B6" i="66" s="1"/>
  <c r="N69" i="9"/>
  <c r="D44" i="9"/>
  <c r="F44" i="9"/>
  <c r="O39" i="9"/>
  <c r="E44" i="9"/>
  <c r="C113" i="9" l="1"/>
  <c r="C97" i="9"/>
  <c r="K29" i="9"/>
  <c r="K30" i="9" s="1"/>
  <c r="R6" i="54"/>
  <c r="D6" i="66"/>
  <c r="C6" i="66"/>
  <c r="M86" i="9"/>
  <c r="N86" i="9" s="1"/>
  <c r="M88" i="9"/>
  <c r="N88" i="9" s="1"/>
  <c r="M85" i="9"/>
  <c r="N85" i="9" s="1"/>
  <c r="M84" i="9"/>
  <c r="N84" i="9" s="1"/>
  <c r="M87" i="9"/>
  <c r="N87" i="9" s="1"/>
  <c r="M83" i="9"/>
  <c r="N83" i="9" s="1"/>
  <c r="C5" i="66"/>
  <c r="D5" i="66"/>
  <c r="N76" i="9"/>
  <c r="C98" i="9" l="1"/>
  <c r="E98" i="9" s="1"/>
  <c r="E99" i="9" s="1"/>
  <c r="C114" i="9"/>
  <c r="E114" i="9" s="1"/>
  <c r="E115" i="9" s="1"/>
  <c r="B50" i="63"/>
  <c r="N89" i="9"/>
  <c r="O89" i="9" s="1"/>
  <c r="C99" i="9" l="1"/>
  <c r="C115" i="9"/>
  <c r="D76" i="9" s="1"/>
  <c r="D74" i="9" s="1"/>
  <c r="N74" i="9" s="1"/>
  <c r="O77" i="9" s="1"/>
  <c r="O78" i="9" s="1"/>
  <c r="O79" i="9" l="1"/>
  <c r="Q77" i="9"/>
  <c r="C46" i="9" l="1"/>
  <c r="O80" i="9"/>
  <c r="O81" i="9"/>
  <c r="K33" i="9" l="1"/>
  <c r="F46" i="9"/>
  <c r="I14" i="66"/>
  <c r="B8" i="66" s="1"/>
  <c r="D46" i="9"/>
  <c r="O41" i="9"/>
  <c r="E46" i="9"/>
  <c r="K34" i="9" l="1"/>
  <c r="R8" i="54"/>
  <c r="B54" i="63" s="1"/>
  <c r="D8" i="66"/>
  <c r="C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<sst xmlns="http://schemas.openxmlformats.org/spreadsheetml/2006/main" count="7708" uniqueCount="3463">
  <si>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</si>
  <si>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</si>
  <si>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</si>
  <si>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</si>
  <si>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</si>
  <si>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</si>
  <si>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</si>
  <si>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</si>
  <si>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</si>
  <si>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</si>
  <si>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</si>
  <si>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</si>
  <si>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</si>
  <si>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</si>
  <si>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</si>
  <si>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</si>
  <si>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</si>
  <si>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</si>
  <si>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</si>
  <si>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</si>
  <si>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</si>
  <si>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</si>
  <si>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</si>
  <si>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</si>
  <si>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</si>
  <si>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</si>
  <si>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</si>
  <si>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</si>
  <si>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</si>
  <si>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</si>
  <si>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</si>
  <si>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</si>
  <si>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</si>
  <si>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</si>
  <si>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</si>
  <si>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</si>
  <si>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</si>
  <si>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</si>
  <si>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</si>
  <si>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</si>
  <si>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</si>
  <si>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</si>
  <si>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</si>
  <si>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</si>
  <si>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</si>
  <si>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</si>
  <si>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</si>
  <si>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</si>
  <si>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</si>
  <si>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</si>
  <si>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</si>
  <si>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</si>
  <si>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</si>
  <si>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</si>
  <si>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</si>
  <si>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</si>
  <si>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</si>
  <si>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</si>
  <si>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</si>
  <si>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</si>
  <si>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</si>
  <si>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</si>
  <si>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</si>
  <si>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</si>
  <si>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</si>
  <si>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</si>
  <si>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</si>
  <si>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</si>
  <si>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</si>
  <si>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</si>
  <si>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</si>
  <si>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</si>
  <si>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</si>
  <si>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</si>
  <si>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</si>
  <si>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</si>
  <si>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</si>
  <si>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</si>
  <si>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</si>
  <si>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</si>
  <si>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</si>
  <si>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</si>
  <si>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</si>
  <si>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</si>
  <si>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</si>
  <si>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</si>
  <si>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</si>
  <si>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</si>
  <si>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</si>
  <si>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</si>
  <si>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</si>
  <si>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</si>
  <si>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</si>
  <si>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</si>
  <si>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</si>
  <si>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</si>
  <si>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</si>
  <si>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</si>
  <si>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</si>
  <si>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</si>
  <si>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</si>
  <si>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</si>
  <si>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</si>
  <si>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</si>
  <si>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</si>
  <si>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</si>
  <si>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</si>
  <si>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</si>
  <si>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</si>
  <si>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</si>
  <si>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</si>
  <si>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</si>
  <si>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</si>
  <si>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</si>
  <si>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</si>
  <si>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</si>
  <si>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</si>
  <si>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</si>
  <si>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</si>
  <si>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</si>
  <si>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</si>
  <si>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</si>
  <si>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</si>
  <si>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</si>
  <si>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</si>
  <si>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</si>
  <si>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</si>
  <si>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</si>
  <si>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</si>
  <si>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</si>
  <si>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</si>
  <si>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</si>
  <si>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</si>
  <si>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</si>
  <si>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</si>
  <si>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</si>
  <si>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</si>
  <si>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</si>
  <si>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</si>
  <si>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</si>
  <si>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</si>
  <si>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</si>
  <si>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</si>
  <si>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</si>
  <si>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</si>
  <si>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</si>
  <si>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</si>
  <si>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</si>
  <si>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</si>
  <si>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</si>
  <si>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</si>
  <si>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</si>
  <si>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</si>
  <si>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</si>
  <si>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</si>
  <si>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</si>
  <si>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</si>
  <si>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</si>
  <si>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</si>
  <si>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</si>
  <si>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</si>
  <si>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</si>
  <si>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</si>
  <si>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</si>
  <si>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</si>
  <si>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</si>
  <si>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</si>
  <si>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</si>
  <si>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</si>
  <si>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</si>
  <si>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</si>
  <si>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</si>
  <si>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</si>
  <si>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</si>
  <si>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</si>
  <si>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</si>
  <si>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</si>
  <si>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</si>
  <si>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</si>
  <si>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</si>
  <si>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</si>
  <si>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</si>
  <si>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</si>
  <si>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</si>
  <si>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</si>
  <si>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</si>
  <si>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</si>
  <si>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</si>
  <si>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</si>
  <si>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</si>
  <si>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</si>
  <si>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</si>
  <si>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</si>
  <si>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</si>
  <si>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</si>
  <si>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</si>
  <si>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</si>
  <si>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</si>
  <si>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</si>
  <si>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</si>
  <si>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</si>
  <si>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</si>
  <si>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</si>
  <si>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</si>
  <si>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</si>
  <si>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</si>
  <si>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</si>
  <si>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</si>
  <si>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</si>
  <si>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</si>
  <si>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</si>
  <si>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</si>
  <si>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</si>
  <si>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</si>
  <si>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</si>
  <si>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</si>
  <si>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</si>
  <si>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</si>
  <si>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</si>
  <si>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</si>
  <si>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</si>
  <si>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</si>
  <si>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</si>
  <si>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</si>
  <si>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</si>
  <si>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</si>
  <si>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</si>
  <si>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</si>
  <si>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</si>
  <si>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</si>
  <si>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</si>
  <si>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</si>
  <si>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</si>
  <si>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</si>
  <si>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</si>
  <si>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</si>
  <si>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</si>
  <si>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</si>
  <si>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</si>
  <si>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</si>
  <si>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</si>
  <si>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</si>
  <si>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</si>
  <si>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</si>
  <si>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</si>
  <si>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</si>
  <si>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</si>
  <si>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</si>
  <si>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</si>
  <si>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</si>
  <si>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</si>
  <si>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</si>
  <si>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</si>
  <si>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</si>
  <si>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</si>
  <si>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</si>
  <si>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</si>
  <si>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</si>
  <si>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</si>
  <si>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</si>
  <si>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</si>
  <si>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</si>
  <si>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</si>
  <si>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</si>
  <si>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</si>
  <si>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</si>
  <si>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</si>
  <si>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</si>
  <si>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</si>
  <si>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</si>
  <si>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</si>
  <si>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</si>
  <si>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</si>
  <si>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</si>
  <si>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</si>
  <si>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</si>
  <si>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</si>
  <si>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</si>
  <si>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</si>
  <si>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</si>
  <si>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</si>
  <si>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</si>
  <si>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</si>
  <si>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</si>
  <si>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</si>
  <si>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</si>
  <si>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</si>
  <si>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</si>
  <si>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</si>
  <si>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</si>
  <si>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</si>
  <si>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</si>
  <si>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</si>
  <si>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</si>
  <si>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</si>
  <si>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</si>
  <si>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</si>
  <si>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</si>
  <si>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</si>
  <si>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</si>
  <si>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</si>
  <si>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</si>
  <si>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</si>
  <si>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</si>
  <si>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</si>
  <si>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</si>
  <si>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</si>
  <si>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</si>
  <si>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</si>
  <si>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</si>
  <si>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</si>
  <si>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</si>
  <si>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</si>
  <si>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</si>
  <si>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</si>
  <si>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</si>
  <si>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</si>
  <si>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</si>
  <si>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</si>
  <si>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</si>
  <si>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</si>
  <si>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</si>
  <si>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</si>
  <si>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</si>
  <si>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</si>
  <si>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</si>
  <si>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</si>
  <si>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</si>
  <si>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</si>
  <si>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</si>
  <si>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</si>
  <si>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</si>
  <si>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</si>
  <si>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</si>
  <si>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</si>
  <si>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</si>
  <si>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</si>
  <si>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</si>
  <si>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</si>
  <si>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</si>
  <si>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</si>
  <si>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</si>
  <si>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</si>
  <si>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</si>
  <si>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</si>
  <si>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</si>
  <si>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</si>
  <si>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</si>
  <si>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</si>
  <si>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</si>
  <si>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</si>
  <si>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</si>
  <si>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</si>
  <si>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</si>
  <si>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</si>
  <si>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</si>
  <si>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</si>
  <si>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</si>
  <si>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</si>
  <si>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</si>
  <si>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</si>
  <si>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</si>
  <si>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</si>
  <si>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</si>
  <si>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</si>
  <si>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</si>
  <si>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</si>
  <si>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</si>
  <si>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</si>
  <si>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</si>
  <si>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</si>
  <si>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</si>
  <si>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</si>
  <si>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</si>
  <si>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</si>
  <si>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</si>
  <si>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</si>
  <si>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</si>
  <si>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</si>
  <si>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</si>
  <si>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</si>
  <si>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</si>
  <si>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</si>
  <si>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</si>
  <si>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</si>
  <si>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</si>
  <si>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</si>
  <si>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</si>
  <si>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</si>
  <si>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</si>
  <si>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</si>
  <si>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</si>
  <si>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</si>
  <si>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</si>
  <si>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</si>
  <si>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</si>
  <si>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</si>
  <si>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</si>
  <si>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</si>
  <si>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</si>
  <si>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</si>
  <si>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</si>
  <si>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</si>
  <si>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</si>
  <si>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</si>
  <si>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</si>
  <si>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</si>
  <si>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</si>
  <si>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</si>
  <si>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</si>
  <si>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</si>
  <si>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</si>
  <si>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</si>
  <si>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</si>
  <si>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</si>
  <si>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</si>
  <si>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</si>
  <si>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</si>
  <si>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</si>
  <si>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</si>
  <si>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</si>
  <si>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</si>
  <si>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</si>
  <si>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</si>
  <si>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</si>
  <si>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</si>
  <si>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</si>
  <si>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</si>
  <si>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</si>
  <si>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</si>
  <si>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</si>
  <si>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</si>
  <si>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</si>
  <si>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</si>
  <si>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</si>
  <si>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</si>
  <si>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</si>
  <si>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</si>
  <si>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</si>
  <si>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</si>
  <si>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</si>
  <si>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</si>
  <si>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</si>
  <si>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</si>
  <si>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</si>
  <si>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</si>
  <si>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</si>
  <si>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</si>
  <si>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</si>
  <si>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</si>
  <si>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</si>
  <si>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</si>
  <si>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</si>
  <si>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</si>
  <si>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</si>
  <si>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</si>
  <si>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</si>
  <si>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</si>
  <si>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</si>
  <si>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</si>
  <si>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</si>
  <si>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</si>
  <si>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</si>
  <si>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</si>
  <si>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</si>
  <si>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</si>
  <si>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</si>
  <si>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</si>
  <si>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</si>
  <si>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</si>
  <si>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</si>
  <si>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</si>
  <si>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</si>
  <si>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</si>
  <si>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</si>
  <si>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</si>
  <si>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</si>
  <si>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</si>
  <si>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</si>
  <si>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</si>
  <si>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</si>
  <si>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</si>
  <si>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</si>
  <si>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</si>
  <si>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</si>
  <si>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</si>
  <si>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</si>
  <si>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</si>
  <si>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</si>
  <si>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</si>
  <si>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</si>
  <si>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</si>
  <si>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</si>
  <si>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</si>
  <si>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</si>
  <si>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</si>
  <si>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</si>
  <si>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</si>
  <si>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</si>
  <si>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</si>
  <si>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</si>
  <si>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</si>
  <si>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</si>
  <si>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</si>
  <si>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</si>
  <si>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</si>
  <si>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</si>
  <si>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</si>
  <si>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</si>
  <si>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</si>
  <si>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</si>
  <si>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</si>
  <si>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</si>
  <si>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</si>
  <si>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</si>
  <si>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</si>
  <si>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</si>
  <si>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</si>
  <si>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</si>
  <si>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</si>
  <si>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</si>
  <si>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</si>
  <si>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</si>
  <si>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</si>
  <si>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</si>
  <si>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</si>
  <si>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</si>
  <si>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</si>
  <si>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</si>
  <si>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</si>
  <si>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</si>
  <si>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</si>
  <si>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</si>
  <si>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</si>
  <si>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</si>
  <si>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</si>
  <si>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</si>
  <si>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</si>
  <si>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</si>
  <si>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</si>
  <si>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</si>
  <si>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</si>
  <si>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</si>
  <si>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</si>
  <si>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</si>
  <si>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</si>
  <si>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</si>
  <si>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</si>
  <si>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</si>
  <si>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</si>
  <si>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</si>
  <si>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</si>
  <si>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</si>
  <si>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</si>
  <si>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</si>
  <si>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</si>
  <si>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</si>
  <si>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</si>
  <si>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</si>
  <si>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</si>
  <si>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</si>
  <si>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</si>
  <si>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</si>
  <si>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</si>
  <si>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</si>
  <si>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</si>
  <si>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</si>
  <si>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</si>
  <si>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</si>
  <si>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</si>
  <si>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</si>
  <si>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</si>
  <si>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</si>
  <si>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</si>
  <si>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</si>
  <si>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</si>
  <si>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</si>
  <si>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</si>
  <si>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</si>
  <si>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</si>
  <si>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</si>
  <si>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</si>
  <si>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</si>
  <si>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</si>
  <si>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</si>
  <si>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</si>
  <si>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</si>
  <si>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</si>
  <si>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</si>
  <si>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</si>
  <si>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</si>
  <si>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</si>
  <si>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</si>
  <si>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</si>
  <si>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</si>
  <si>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</si>
  <si>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</si>
  <si>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</si>
  <si>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</si>
  <si>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</si>
  <si>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</si>
  <si>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</si>
  <si>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</si>
  <si>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</si>
  <si>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</si>
  <si>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</si>
  <si>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</si>
  <si>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</si>
  <si>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</si>
  <si>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</si>
  <si>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</si>
  <si>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</si>
  <si>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</si>
  <si>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</si>
  <si>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</si>
  <si>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</si>
  <si>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</si>
  <si>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</si>
  <si>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</si>
  <si>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</si>
  <si>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</si>
  <si>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</si>
  <si>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</si>
  <si>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</si>
  <si>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</si>
  <si>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</si>
  <si>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</si>
  <si>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</si>
  <si>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</si>
  <si>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</si>
  <si>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</si>
  <si>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</si>
  <si>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</si>
  <si>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</si>
  <si>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</si>
  <si>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</si>
  <si>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</si>
  <si>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</si>
  <si>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</si>
  <si>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</si>
  <si>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</si>
  <si>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</si>
  <si>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</si>
  <si>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</si>
  <si>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</si>
  <si>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</si>
  <si>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</si>
  <si>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</si>
  <si>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</si>
  <si>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</si>
  <si>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</si>
  <si>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</si>
  <si>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</si>
  <si>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</si>
  <si>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</si>
  <si>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</si>
  <si>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</si>
  <si>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</si>
  <si>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</si>
  <si>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</si>
  <si>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</si>
  <si>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</si>
  <si>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</si>
  <si>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</si>
  <si>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</si>
  <si>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</si>
  <si>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</si>
  <si>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</si>
  <si>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</si>
  <si>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</si>
  <si>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</si>
  <si>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</si>
  <si>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</si>
  <si>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</si>
  <si>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</si>
  <si>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</si>
  <si>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</si>
  <si>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</si>
  <si>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</si>
  <si>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</si>
  <si>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</si>
  <si>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</si>
  <si>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</si>
  <si>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</si>
  <si>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</si>
  <si>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</si>
  <si>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</si>
  <si>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</si>
  <si>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</si>
  <si>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</si>
  <si>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</si>
  <si>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</si>
  <si>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</si>
  <si>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</si>
  <si>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</si>
  <si>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</si>
  <si>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</si>
  <si>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</si>
  <si>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</si>
  <si>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</si>
  <si>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</si>
  <si>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</si>
  <si>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</si>
  <si>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</si>
  <si>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</si>
  <si>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</si>
  <si>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</si>
  <si>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</si>
  <si>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</si>
  <si>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</si>
  <si>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</si>
  <si>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</si>
  <si>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</si>
  <si>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</si>
  <si>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</si>
  <si>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</si>
  <si>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</si>
  <si>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</si>
  <si>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</si>
  <si>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</si>
  <si>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</si>
  <si>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</si>
  <si>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</si>
  <si>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</si>
  <si>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</si>
  <si>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</si>
  <si>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</si>
  <si>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</si>
  <si>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</si>
  <si>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</si>
  <si>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</si>
  <si>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</si>
  <si>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</si>
  <si>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</si>
  <si>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</si>
  <si>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</si>
  <si>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</si>
  <si>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</si>
  <si>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</si>
  <si>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</si>
  <si>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</si>
  <si>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</si>
  <si>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</si>
  <si>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</si>
  <si>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</si>
  <si>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</si>
  <si>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</si>
  <si>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</si>
  <si>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</si>
  <si>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</si>
  <si>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</si>
  <si>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</si>
  <si>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</si>
  <si>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</si>
  <si>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</si>
  <si>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</si>
  <si>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</si>
  <si>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</si>
  <si>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</si>
  <si>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</si>
  <si>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</si>
  <si>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</si>
  <si>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</si>
  <si>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</si>
  <si>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</si>
  <si>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</si>
  <si>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</si>
  <si>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</si>
  <si>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</si>
  <si>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</si>
  <si>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</si>
  <si>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</si>
  <si>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</si>
  <si>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</si>
  <si>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</si>
  <si>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</si>
  <si>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</si>
  <si>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</si>
  <si>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</si>
  <si>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</si>
  <si>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</si>
  <si>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</si>
  <si>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</si>
  <si>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</si>
  <si>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</si>
  <si>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</si>
  <si>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</si>
  <si>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</si>
  <si>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</si>
  <si>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</si>
  <si>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</si>
  <si>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</si>
  <si>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</si>
  <si>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</si>
  <si>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</si>
  <si>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</si>
  <si>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</si>
  <si>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</si>
  <si>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</si>
  <si>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</si>
  <si>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</si>
  <si>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</si>
  <si>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</si>
  <si>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</si>
  <si>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</si>
  <si>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</si>
  <si>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</si>
  <si>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</si>
  <si>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</si>
  <si>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</si>
  <si>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</si>
  <si>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</si>
  <si>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</si>
  <si>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</si>
  <si>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</si>
  <si>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</si>
  <si>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</si>
  <si>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</si>
  <si>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</si>
  <si>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</si>
  <si>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</si>
  <si>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</si>
  <si>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</si>
  <si>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</si>
  <si>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</si>
  <si>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</si>
  <si>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</si>
  <si>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</si>
  <si>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</si>
  <si>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</si>
  <si>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</si>
  <si>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</si>
  <si>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</si>
  <si>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</si>
  <si>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</si>
  <si>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</si>
  <si>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</si>
  <si>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</si>
  <si>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</si>
  <si>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</si>
  <si>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</si>
  <si>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</si>
  <si>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</si>
  <si>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</si>
  <si>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</si>
  <si>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</si>
  <si>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</si>
  <si>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</si>
  <si>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</si>
  <si>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</si>
  <si>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</si>
  <si>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</si>
  <si>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</si>
  <si>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</si>
  <si>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</si>
  <si>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</si>
  <si>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</si>
  <si>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</si>
  <si>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</si>
  <si>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</si>
  <si>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</si>
  <si>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</si>
  <si>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</si>
  <si>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</si>
  <si>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</si>
  <si>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</si>
  <si>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</si>
  <si>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</si>
  <si>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</si>
  <si>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</si>
  <si>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</si>
  <si>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</si>
  <si>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</si>
  <si>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</si>
  <si>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</si>
  <si>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</si>
  <si>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</si>
  <si>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</si>
  <si>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</si>
  <si>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</si>
  <si>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</si>
  <si>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</si>
  <si>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</si>
  <si>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</si>
  <si>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</si>
  <si>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</si>
  <si>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</si>
  <si>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</si>
  <si>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</si>
  <si>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</si>
  <si>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</si>
  <si>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</si>
  <si>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</si>
  <si>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</si>
  <si>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</si>
  <si>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</si>
  <si>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</si>
  <si>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</si>
  <si>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</si>
  <si>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</si>
  <si>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</si>
  <si>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</si>
  <si>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</si>
  <si>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</si>
  <si>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</si>
  <si>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</si>
  <si>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</si>
  <si>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</si>
  <si>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</si>
  <si>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</si>
  <si>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</si>
  <si>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</si>
  <si>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</si>
  <si>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</si>
  <si>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</si>
  <si>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</si>
  <si>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</si>
  <si>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</si>
  <si>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</si>
  <si>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</si>
  <si>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</si>
  <si>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</si>
  <si>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</si>
  <si>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</si>
  <si>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</si>
  <si>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</si>
  <si>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</si>
  <si>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</si>
  <si>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</si>
  <si>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</si>
  <si>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</si>
  <si>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</si>
  <si>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</si>
  <si>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</si>
  <si>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</si>
  <si>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</si>
  <si>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</si>
  <si>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</si>
  <si>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</si>
  <si>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</si>
  <si>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</si>
  <si>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</si>
  <si>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</si>
  <si>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</si>
  <si>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</si>
  <si>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</si>
  <si>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</si>
  <si>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</si>
  <si>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</si>
  <si>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</si>
  <si>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</si>
  <si>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</si>
  <si>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</si>
  <si>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</si>
  <si>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</si>
  <si>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</si>
  <si>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</si>
  <si>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</si>
  <si>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</si>
  <si>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</si>
  <si>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</si>
  <si>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</si>
  <si>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</si>
  <si>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</si>
  <si>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</si>
  <si>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</si>
  <si>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</si>
  <si>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</si>
  <si>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</si>
  <si>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</si>
  <si>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</si>
  <si>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</si>
  <si>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</si>
  <si>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</si>
  <si>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</si>
  <si>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</si>
  <si>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</si>
  <si>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</si>
  <si>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</si>
  <si>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</si>
  <si>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</si>
  <si>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</si>
  <si>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</si>
  <si>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</si>
  <si>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</si>
  <si>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</si>
  <si>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</si>
  <si>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</si>
  <si>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</si>
  <si>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</si>
  <si>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</si>
  <si>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</si>
  <si>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</si>
  <si>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</si>
  <si>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</si>
  <si>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</si>
  <si>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</si>
  <si>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</si>
  <si>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</si>
  <si>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</si>
  <si>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</si>
  <si>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</si>
  <si>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</si>
  <si>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</si>
  <si>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</si>
  <si>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</si>
  <si>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</si>
  <si>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</si>
  <si>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</si>
  <si>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</si>
  <si>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</si>
  <si>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</si>
  <si>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</si>
  <si>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</si>
  <si>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</si>
  <si>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</si>
  <si>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</si>
  <si>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</si>
  <si>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</si>
  <si>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</si>
  <si>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</si>
  <si>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</si>
  <si>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</si>
  <si>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</si>
  <si>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</si>
  <si>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</si>
  <si>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</si>
  <si>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</si>
  <si>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</si>
  <si>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</si>
  <si>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</si>
  <si>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</si>
  <si>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</si>
  <si>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</si>
  <si>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</si>
  <si>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</si>
  <si>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</si>
  <si>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</si>
  <si>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</si>
  <si>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</si>
  <si>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</si>
  <si>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</si>
  <si>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</si>
  <si>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</si>
  <si>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</si>
  <si>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</si>
  <si>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</si>
  <si>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</si>
  <si>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</si>
  <si>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</si>
  <si>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</si>
  <si>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</si>
  <si>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</si>
  <si>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</si>
  <si>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</si>
  <si>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</si>
  <si>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</si>
  <si>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</si>
  <si>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</si>
  <si>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</si>
  <si>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</si>
  <si>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</si>
  <si>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</si>
  <si>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</si>
  <si>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</si>
  <si>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</si>
  <si>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</si>
  <si>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</si>
  <si>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</si>
  <si>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</si>
  <si>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</si>
  <si>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</si>
  <si>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</si>
  <si>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</si>
  <si>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</si>
  <si>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</si>
  <si>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</si>
  <si>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</si>
  <si>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</si>
  <si>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</si>
  <si>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</si>
  <si>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</si>
  <si>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</si>
  <si>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</si>
  <si>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</si>
  <si>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</si>
  <si>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</si>
  <si>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</si>
  <si>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</si>
  <si>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</si>
  <si>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</si>
  <si>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</si>
  <si>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</si>
  <si>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</si>
  <si>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</si>
  <si>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</si>
  <si>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</si>
  <si>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</si>
  <si>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</si>
  <si>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</si>
  <si>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</si>
  <si>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</si>
  <si>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</si>
  <si>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</si>
  <si>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</si>
  <si>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</si>
  <si>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</si>
  <si>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</si>
  <si>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</si>
  <si>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</si>
  <si>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</si>
  <si>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</si>
  <si>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</si>
  <si>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</si>
  <si>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</si>
  <si>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</si>
  <si>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</si>
  <si>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</si>
  <si>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</si>
  <si>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</si>
  <si>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</si>
  <si>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</si>
  <si>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</si>
  <si>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</si>
  <si>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</si>
  <si>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</si>
  <si>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</si>
  <si>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</si>
  <si>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</si>
  <si>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</si>
  <si>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</si>
  <si>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</si>
  <si>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</si>
  <si>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</si>
  <si>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</si>
  <si>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</si>
  <si>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</si>
  <si>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</si>
  <si>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</si>
  <si>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</si>
  <si>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</si>
  <si>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</si>
  <si>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</si>
  <si>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</si>
  <si>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</si>
  <si>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</si>
  <si>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</si>
  <si>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</si>
  <si>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</si>
  <si>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</si>
  <si>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</si>
  <si>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</si>
  <si>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</si>
  <si>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</si>
  <si>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</si>
  <si>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</si>
  <si>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</si>
  <si>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</si>
  <si>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</si>
  <si>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</si>
  <si>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</si>
  <si>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</si>
  <si>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</si>
  <si>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</si>
  <si>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</si>
  <si>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</si>
  <si>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</si>
  <si>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</si>
  <si>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</si>
  <si>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</si>
  <si>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</si>
  <si>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</si>
  <si>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</si>
  <si>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</si>
  <si>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</si>
  <si>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</si>
  <si>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</si>
  <si>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</si>
  <si>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</si>
  <si>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</si>
  <si>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</si>
  <si>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</si>
  <si>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</si>
  <si>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</si>
  <si>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</si>
  <si>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</si>
  <si>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</si>
  <si>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</si>
  <si>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</si>
  <si>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</si>
  <si>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</si>
  <si>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</si>
  <si>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</si>
  <si>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</si>
  <si>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</si>
  <si>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</si>
  <si>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</si>
  <si>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</si>
  <si>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</si>
  <si>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</si>
  <si>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</si>
  <si>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</si>
  <si>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</si>
  <si>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</si>
  <si>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</si>
  <si>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</si>
  <si>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</si>
  <si>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</si>
  <si>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</si>
  <si>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</si>
  <si>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</si>
  <si>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</si>
  <si>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</si>
  <si>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</si>
  <si>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</si>
  <si>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</si>
  <si>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</si>
  <si>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</si>
  <si>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</si>
  <si>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</si>
  <si>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</si>
  <si>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</si>
  <si>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</si>
  <si>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</si>
  <si>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</si>
  <si>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</si>
  <si>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</si>
  <si>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</si>
  <si>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</si>
  <si>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</si>
  <si>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</si>
  <si>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</si>
  <si>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</si>
  <si>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</si>
  <si>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</si>
  <si>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</si>
  <si>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</si>
  <si>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</si>
  <si>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</si>
  <si>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</si>
  <si>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</si>
  <si>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</si>
  <si>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</si>
  <si>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</si>
  <si>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</si>
  <si>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</si>
  <si>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</si>
  <si>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</si>
  <si>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</si>
  <si>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</si>
  <si>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</si>
  <si>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</si>
  <si>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</si>
  <si>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</si>
  <si>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</si>
  <si>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</si>
  <si>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</si>
  <si>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</si>
  <si>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</si>
  <si>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</si>
  <si>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</si>
  <si>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</si>
  <si>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</si>
  <si>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</si>
  <si>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</si>
  <si>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</si>
  <si>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</si>
  <si>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</si>
  <si>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</si>
  <si>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</si>
  <si>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</si>
  <si>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</si>
  <si>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</si>
  <si>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</si>
  <si>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</si>
  <si>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</si>
  <si>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</si>
  <si>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</si>
  <si>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</si>
  <si>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</si>
  <si>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</si>
  <si>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</si>
  <si>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</si>
  <si>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</si>
  <si>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</si>
  <si>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</si>
  <si>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</si>
  <si>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</si>
  <si>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</si>
  <si>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</si>
  <si>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</si>
  <si>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</si>
  <si>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</si>
  <si>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</si>
  <si>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</si>
  <si>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</si>
  <si>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</si>
  <si>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</si>
  <si>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</si>
  <si>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</si>
  <si>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</si>
  <si>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</si>
  <si>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</si>
  <si>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</si>
  <si>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</si>
  <si>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</si>
  <si>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</si>
  <si>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</si>
  <si>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</si>
  <si>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</si>
  <si>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</si>
  <si>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</si>
  <si>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</si>
  <si>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</si>
  <si>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</si>
  <si>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</si>
  <si>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</si>
  <si>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</si>
  <si>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</si>
  <si>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</si>
  <si>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</si>
  <si>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</si>
  <si>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</si>
  <si>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</si>
  <si>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</si>
  <si>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</si>
  <si>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</si>
  <si>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</si>
  <si>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</si>
  <si>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</si>
  <si>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</si>
  <si>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</si>
  <si>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</si>
  <si>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</si>
  <si>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</si>
  <si>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</si>
  <si>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</si>
  <si>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</si>
  <si>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</si>
  <si>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</si>
  <si>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</si>
  <si>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</si>
  <si>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</si>
  <si>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</si>
  <si>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</si>
  <si>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</si>
  <si>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</si>
  <si>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</si>
  <si>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</si>
  <si>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</si>
  <si>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</si>
  <si>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</si>
  <si>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</si>
  <si>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</si>
  <si>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</si>
  <si>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</si>
  <si>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</si>
  <si>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</si>
  <si>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</si>
  <si>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</si>
  <si>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</si>
  <si>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</si>
  <si>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</si>
  <si>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</si>
  <si>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</si>
  <si>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</si>
  <si>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</si>
  <si>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</si>
  <si>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</si>
  <si>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</si>
  <si>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</si>
  <si>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</si>
  <si>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</si>
  <si>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</si>
  <si>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</si>
  <si>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</si>
  <si>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</si>
  <si>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</si>
  <si>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</si>
  <si>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</si>
  <si>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</si>
  <si>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</si>
  <si>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</si>
  <si>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</si>
  <si>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</si>
  <si>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</si>
  <si>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</si>
  <si>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</si>
  <si>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</si>
  <si>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</si>
  <si>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</si>
  <si>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</si>
  <si>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</si>
  <si>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</si>
  <si>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</si>
  <si>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</si>
  <si>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</si>
  <si>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</si>
  <si>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</si>
  <si>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</si>
  <si>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</si>
  <si>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</si>
  <si>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</si>
  <si>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</si>
  <si>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</si>
  <si>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</si>
  <si>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</si>
  <si>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</si>
  <si>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</si>
  <si>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</si>
  <si>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</si>
  <si>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</si>
  <si>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</si>
  <si>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</si>
  <si>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</si>
  <si>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</si>
  <si>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</si>
  <si>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</si>
  <si>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</si>
  <si>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</si>
  <si>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</si>
  <si>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</si>
  <si>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</si>
  <si>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</si>
  <si>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</si>
  <si>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</si>
  <si>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</si>
  <si>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</si>
  <si>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</si>
  <si>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</si>
  <si>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</si>
  <si>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</si>
  <si>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</si>
  <si>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</si>
  <si>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</si>
  <si>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</si>
  <si>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</si>
  <si>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</si>
  <si>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</si>
  <si>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</si>
  <si>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</si>
  <si>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</si>
  <si>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</si>
  <si>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</si>
  <si>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</si>
  <si>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</si>
  <si>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</si>
  <si>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</si>
  <si>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</si>
  <si>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</si>
  <si>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</si>
  <si>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</si>
  <si>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</si>
  <si>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</si>
  <si>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</si>
  <si>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</si>
  <si>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</si>
  <si>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</si>
  <si>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</si>
  <si>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</si>
  <si>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</si>
  <si>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</si>
  <si>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</si>
  <si>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</si>
  <si>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</si>
  <si>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</si>
  <si>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</si>
  <si>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</si>
  <si>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</si>
  <si>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</si>
  <si>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</si>
  <si>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</si>
  <si>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</si>
  <si>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</si>
  <si>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</si>
  <si>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</si>
  <si>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</si>
  <si>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</si>
  <si>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</si>
  <si>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</si>
  <si>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</si>
  <si>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</si>
  <si>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</si>
  <si>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</si>
  <si>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</si>
  <si>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</si>
  <si>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</si>
  <si>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</si>
  <si>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</si>
  <si>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</si>
  <si>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</si>
  <si>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</si>
  <si>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</si>
  <si>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</si>
  <si>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</si>
  <si>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</si>
  <si>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</si>
  <si>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</si>
  <si>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</si>
  <si>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</si>
  <si>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</si>
  <si>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</si>
  <si>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</si>
  <si>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</si>
  <si>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</si>
  <si>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</si>
  <si>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</si>
  <si>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</si>
  <si>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</si>
  <si>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</si>
  <si>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</si>
  <si>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</si>
  <si>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</si>
  <si>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</si>
  <si>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</si>
  <si>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</si>
  <si>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</si>
  <si>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</si>
  <si>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</si>
  <si>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</si>
  <si>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</si>
  <si>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</si>
  <si>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</si>
  <si>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</si>
  <si>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</si>
  <si>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</si>
  <si>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</si>
  <si>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</si>
  <si>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</si>
  <si>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</si>
  <si>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</si>
  <si>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</si>
  <si>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</si>
  <si>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</si>
  <si>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</si>
  <si>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</si>
  <si>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</si>
  <si>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</si>
  <si>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</si>
  <si>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</si>
  <si>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</si>
  <si>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</si>
  <si>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</si>
  <si>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</si>
  <si>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</si>
  <si>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</si>
  <si>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</si>
  <si>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</si>
  <si>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</si>
  <si>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</si>
  <si>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</si>
  <si>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</si>
  <si>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</si>
  <si>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</si>
  <si>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</si>
  <si>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</si>
  <si>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</si>
  <si>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</si>
  <si>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</si>
  <si>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</si>
  <si>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</si>
  <si>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</si>
  <si>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</si>
  <si>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</si>
  <si>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</si>
  <si>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</si>
  <si>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</si>
  <si>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</si>
  <si>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</si>
  <si>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</si>
  <si>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</si>
  <si>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</si>
  <si>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</si>
  <si>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</si>
  <si>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</si>
  <si>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</si>
  <si>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</si>
  <si>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</si>
  <si>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</si>
  <si>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</si>
  <si>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</si>
  <si>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</si>
  <si>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</si>
  <si>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</si>
  <si>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</si>
  <si>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</si>
  <si>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</si>
  <si>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</si>
  <si>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</si>
  <si>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</si>
  <si>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</si>
  <si>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</si>
  <si>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</si>
  <si>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</si>
  <si>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</si>
  <si>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</si>
  <si>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</si>
  <si>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</si>
  <si>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</si>
  <si>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</si>
  <si>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</si>
  <si>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</si>
  <si>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</si>
  <si>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</si>
  <si>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</si>
  <si>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</si>
  <si>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</si>
  <si>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</si>
  <si>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</si>
  <si>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</si>
  <si>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</si>
  <si>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</si>
  <si>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</si>
  <si>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</si>
  <si>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</si>
  <si>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</si>
  <si>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</si>
  <si>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</si>
  <si>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</si>
  <si>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</si>
  <si>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</si>
  <si>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</si>
  <si>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</si>
  <si>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</si>
  <si>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</si>
  <si>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</si>
  <si>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</si>
  <si>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</si>
  <si>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</si>
  <si>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</si>
  <si>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</si>
  <si>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</si>
  <si>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</si>
  <si>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</si>
  <si>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</si>
  <si>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</si>
  <si>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</si>
  <si>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</si>
  <si>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</si>
  <si>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</si>
  <si>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</si>
  <si>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</si>
  <si>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</si>
  <si>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</si>
  <si>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</si>
  <si>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</si>
  <si>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</si>
  <si>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</si>
  <si>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</si>
  <si>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</si>
  <si>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</si>
  <si>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</si>
  <si>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</si>
  <si>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</si>
  <si>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</si>
  <si>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</si>
  <si>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</si>
  <si>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</si>
  <si>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</si>
  <si>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</si>
  <si>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</si>
  <si>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</si>
  <si>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</si>
  <si>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</si>
  <si>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</si>
  <si>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</si>
  <si>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</si>
  <si>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</si>
  <si>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</si>
  <si>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</si>
  <si>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</si>
  <si>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</si>
  <si>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</si>
  <si>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</si>
  <si>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</si>
  <si>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</si>
  <si>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</si>
  <si>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</si>
  <si>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</si>
  <si>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</si>
  <si>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</si>
  <si>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</si>
  <si>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</si>
  <si>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</si>
  <si>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</si>
  <si>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</si>
  <si>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</si>
  <si>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</si>
  <si>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</si>
  <si>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</si>
  <si>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</si>
  <si>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</si>
  <si>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</si>
  <si>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</si>
  <si>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</si>
  <si>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</si>
  <si>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</si>
  <si>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</si>
  <si>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</si>
  <si>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</si>
  <si>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</si>
  <si>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</si>
  <si>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</si>
  <si>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</si>
  <si>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</si>
  <si>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</si>
  <si>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</si>
  <si>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</si>
  <si>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</si>
  <si>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</si>
  <si>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</si>
  <si>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</si>
  <si>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</si>
  <si>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</si>
  <si>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</si>
  <si>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</si>
  <si>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</si>
  <si>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</si>
  <si>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</si>
  <si>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</si>
  <si>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</si>
  <si>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</si>
  <si>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</si>
  <si>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</si>
  <si>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</si>
  <si>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</si>
  <si>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</si>
  <si>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</si>
  <si>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</si>
  <si>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</si>
  <si>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</si>
  <si>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</si>
  <si>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</si>
  <si>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</si>
  <si>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</si>
  <si>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</si>
  <si>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</si>
  <si>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</si>
  <si>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</si>
  <si>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</si>
  <si>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</si>
  <si>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</si>
  <si>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</si>
  <si>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</si>
  <si>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</si>
  <si>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</si>
  <si>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</si>
  <si>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</si>
  <si>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</si>
  <si>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</si>
  <si>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</si>
  <si>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</si>
  <si>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</si>
  <si>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</si>
  <si>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</si>
  <si>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</si>
  <si>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</si>
  <si>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</si>
  <si>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</si>
  <si>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</si>
  <si>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</si>
  <si>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</si>
  <si>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</si>
  <si>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</si>
  <si>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</si>
  <si>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</si>
  <si>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</si>
  <si>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</si>
  <si>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</si>
  <si>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</si>
  <si>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</si>
  <si>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</si>
  <si>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</si>
  <si>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</si>
  <si>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</si>
  <si>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</si>
  <si>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</si>
  <si>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</si>
  <si>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</si>
  <si>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</si>
  <si>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</si>
  <si>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</si>
  <si>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</si>
  <si>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</si>
  <si>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</si>
  <si>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</si>
  <si>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</si>
  <si>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</si>
  <si>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</si>
  <si>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</si>
  <si>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</si>
  <si>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</si>
  <si>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</si>
  <si>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</si>
  <si>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</si>
  <si>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</si>
  <si>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</si>
  <si>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</si>
  <si>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</si>
  <si>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</si>
  <si>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</si>
  <si>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</si>
  <si>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</si>
  <si>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</si>
  <si>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</si>
  <si>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</si>
  <si>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</si>
  <si>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</si>
  <si>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</si>
  <si>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</si>
  <si>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</si>
  <si>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</si>
  <si>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</si>
  <si>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</si>
  <si>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</si>
  <si>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</si>
  <si>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</si>
  <si>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</si>
  <si>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</si>
  <si>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</si>
  <si>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</si>
  <si>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</si>
  <si>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</si>
  <si>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</si>
  <si>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</si>
  <si>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</si>
  <si>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</si>
  <si>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</si>
  <si>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</si>
  <si>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</si>
  <si>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</si>
  <si>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</si>
  <si>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</si>
  <si>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</si>
  <si>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</si>
  <si>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</si>
  <si>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</si>
  <si>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</si>
  <si>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</si>
  <si>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</si>
  <si>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</si>
  <si>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</si>
  <si>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</si>
  <si>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</si>
  <si>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</si>
  <si>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</si>
  <si>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</si>
  <si>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</si>
  <si>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</si>
  <si>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</si>
  <si>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</si>
  <si>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</si>
  <si>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</si>
  <si>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</si>
  <si>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</si>
  <si>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</si>
  <si>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</si>
  <si>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</si>
  <si>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</si>
  <si>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</si>
  <si>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</si>
  <si>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</si>
  <si>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</si>
  <si>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</si>
  <si>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</si>
  <si>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</si>
  <si>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</si>
  <si>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</si>
  <si>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</si>
  <si>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</si>
  <si>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</si>
  <si>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</si>
  <si>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</si>
  <si>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</si>
  <si>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</si>
  <si>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</si>
  <si>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</si>
  <si>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</si>
  <si>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</si>
  <si>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</si>
  <si>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</si>
  <si>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</si>
  <si>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</si>
  <si>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</si>
  <si>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</si>
  <si>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</si>
  <si>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</si>
  <si>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</si>
  <si>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</si>
  <si>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</si>
  <si>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</si>
  <si>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</si>
  <si>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</si>
  <si>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</si>
  <si>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</si>
  <si>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</si>
  <si>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</si>
  <si>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</si>
  <si>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</si>
  <si>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</si>
  <si>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</si>
  <si>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</si>
  <si>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</si>
  <si>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</si>
  <si>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</si>
  <si>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</si>
  <si>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</si>
  <si>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</si>
  <si>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</si>
  <si>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</si>
  <si>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</si>
  <si>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</si>
  <si>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</si>
  <si>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</si>
  <si>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</si>
  <si>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</si>
  <si>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</si>
  <si>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</si>
  <si>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</si>
  <si>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</si>
  <si>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</si>
  <si>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</si>
  <si>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</si>
  <si>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</si>
  <si>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</si>
  <si>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</si>
  <si>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</si>
  <si>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</si>
  <si>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</si>
  <si>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</si>
  <si>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</si>
  <si>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</si>
  <si>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</si>
  <si>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</si>
  <si>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</si>
  <si>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</si>
  <si>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</si>
  <si>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</si>
  <si>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</si>
  <si>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</si>
  <si>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</si>
  <si>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</si>
  <si>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</si>
  <si>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</si>
  <si>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</si>
  <si>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</si>
  <si>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</si>
  <si>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</si>
  <si>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</si>
  <si>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</si>
  <si>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</si>
  <si>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</si>
  <si>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</si>
  <si>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</si>
  <si>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</si>
  <si>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</si>
  <si>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</si>
  <si>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</si>
  <si>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</si>
  <si>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</si>
  <si>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</si>
  <si>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</si>
  <si>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</si>
  <si>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</si>
  <si>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</si>
  <si>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</si>
  <si>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</si>
  <si>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</si>
  <si>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</si>
  <si>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</si>
  <si>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</si>
  <si>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</si>
  <si>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</si>
  <si>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</si>
  <si>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</si>
  <si>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</si>
  <si>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</si>
  <si>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</si>
  <si>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</si>
  <si>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</si>
  <si>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</si>
  <si>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</si>
  <si>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</si>
  <si>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</si>
  <si>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</si>
  <si>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</si>
  <si>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</si>
  <si>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</si>
  <si>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</si>
  <si>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</si>
  <si>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</si>
  <si>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</si>
  <si>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</si>
  <si>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</si>
  <si>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</si>
  <si>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</si>
  <si>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</si>
  <si>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</si>
  <si>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</si>
  <si>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</si>
  <si>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</si>
  <si>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</si>
  <si>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</si>
  <si>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</si>
  <si>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</si>
  <si>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</si>
  <si>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</si>
  <si>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</si>
  <si>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</si>
  <si>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</si>
  <si>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</si>
  <si>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</si>
  <si>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</si>
  <si>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</si>
  <si>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</si>
  <si>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</si>
  <si>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</si>
  <si>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</si>
  <si>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</si>
  <si>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</si>
  <si>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</si>
  <si>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</si>
  <si>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</si>
  <si>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</si>
  <si>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</si>
  <si>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</si>
  <si>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</si>
  <si>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</si>
  <si>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</si>
  <si>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</si>
  <si>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</si>
  <si>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</si>
  <si>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</si>
  <si>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</si>
  <si>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</si>
  <si>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</si>
  <si>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</si>
  <si>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</si>
  <si>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</si>
  <si>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</si>
  <si>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</si>
  <si>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</si>
  <si>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</si>
  <si>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</si>
  <si>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</si>
  <si>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</si>
  <si>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</si>
  <si>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</si>
  <si>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</si>
  <si>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</si>
  <si>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</si>
  <si>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</si>
  <si>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</si>
  <si>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</si>
  <si>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</si>
  <si>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</si>
  <si>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</si>
  <si>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</si>
  <si>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</si>
  <si>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</si>
  <si>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</si>
  <si>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</si>
  <si>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</si>
  <si>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</si>
  <si>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</si>
  <si>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</si>
  <si>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</si>
  <si>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</si>
  <si>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</si>
  <si>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</si>
  <si>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</si>
  <si>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</si>
  <si>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</si>
  <si>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</si>
  <si>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</si>
  <si>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</si>
  <si>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</si>
  <si>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</si>
  <si>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</si>
  <si>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</si>
  <si>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</si>
  <si>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</si>
  <si>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</si>
  <si>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</si>
  <si>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</si>
  <si>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</si>
  <si>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</si>
  <si>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</si>
  <si>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</si>
  <si>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</si>
  <si>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</si>
  <si>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</si>
  <si>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</si>
  <si>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</si>
  <si>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</si>
  <si>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</si>
  <si>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</si>
  <si>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</si>
  <si>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</si>
  <si>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</si>
  <si>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</si>
  <si>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</si>
  <si>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</si>
  <si>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</si>
  <si>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</si>
  <si>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</si>
  <si>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</si>
  <si>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</si>
  <si>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</si>
  <si>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</si>
  <si>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</si>
  <si>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</si>
  <si>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</si>
  <si>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</si>
  <si>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</si>
  <si>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</si>
  <si>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</si>
  <si>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</si>
  <si>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</si>
  <si>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</si>
  <si>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</si>
  <si>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</si>
  <si>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</si>
  <si>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</si>
  <si>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</si>
  <si>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</si>
  <si>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</si>
  <si>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</si>
  <si>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</si>
  <si>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</si>
  <si>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</si>
  <si>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</si>
  <si>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</si>
  <si>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</si>
  <si>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</si>
  <si>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</si>
  <si>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</si>
  <si>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</si>
  <si>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</si>
  <si>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</si>
  <si>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</si>
  <si>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</si>
  <si>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</si>
  <si>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</si>
  <si>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</si>
  <si>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</si>
  <si>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</si>
  <si>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</si>
  <si>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</si>
  <si>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</si>
  <si>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</si>
  <si>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</si>
  <si>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</si>
  <si>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</si>
  <si>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</si>
  <si>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</si>
  <si>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</si>
  <si>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</si>
  <si>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</si>
  <si>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</si>
  <si>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</si>
  <si>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</si>
  <si>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</si>
  <si>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</si>
  <si>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</si>
  <si>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</si>
  <si>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</si>
  <si>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</si>
  <si>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</si>
  <si>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</si>
  <si>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</si>
  <si>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</si>
  <si>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</si>
  <si>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</si>
  <si>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</si>
  <si>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</si>
  <si>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</si>
  <si>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</si>
  <si>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</si>
  <si>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</si>
  <si>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</si>
  <si>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</si>
  <si>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</si>
  <si>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</si>
  <si>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</si>
  <si>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</si>
  <si>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</si>
  <si>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</si>
  <si>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</si>
  <si>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</si>
  <si>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</si>
  <si>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</si>
  <si>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</si>
  <si>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</si>
  <si>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</si>
  <si>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</si>
  <si>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</si>
  <si>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</si>
  <si>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</si>
  <si>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</si>
  <si>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</si>
  <si>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</si>
  <si>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</si>
  <si>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</si>
  <si>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</si>
  <si>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</si>
  <si>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</si>
  <si>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</si>
  <si>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</si>
  <si>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</si>
  <si>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</si>
  <si>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</si>
  <si>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</si>
  <si>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</si>
  <si>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</si>
  <si>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</si>
  <si>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</si>
  <si>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</si>
  <si>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</si>
  <si>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</si>
  <si>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</si>
  <si>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</si>
  <si>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</si>
  <si>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</si>
  <si>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</si>
  <si>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</si>
  <si>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</si>
  <si>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</si>
  <si>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</si>
  <si>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</si>
  <si>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</si>
  <si>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</si>
  <si>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</si>
  <si>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</si>
  <si>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</si>
  <si>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</si>
  <si>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</si>
  <si>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</si>
  <si>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</si>
  <si>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</si>
  <si>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</si>
  <si>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</si>
  <si>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</si>
  <si>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</si>
  <si>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</si>
  <si>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</si>
  <si>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</si>
  <si>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</si>
  <si>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</si>
  <si>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</si>
  <si>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</si>
  <si>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</si>
  <si>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</si>
  <si>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</si>
  <si>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</si>
  <si>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</si>
  <si>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</si>
  <si>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</si>
  <si>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</si>
  <si>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</si>
  <si>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</si>
  <si>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</si>
  <si>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</si>
  <si>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</si>
  <si>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</si>
  <si>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</si>
  <si>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</si>
  <si>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</si>
  <si>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</si>
  <si>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</si>
  <si>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</si>
  <si>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</si>
  <si>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</si>
  <si>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</si>
  <si>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</si>
  <si>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</si>
  <si>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</si>
  <si>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</si>
  <si>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</si>
  <si>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</si>
  <si>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</si>
  <si>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</si>
  <si>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</si>
  <si>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</si>
  <si>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</si>
  <si>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</si>
  <si>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</si>
  <si>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</si>
  <si>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</si>
  <si>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</si>
  <si>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</si>
  <si>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</si>
  <si>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</si>
  <si>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</si>
  <si>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</si>
  <si>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</si>
  <si>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</si>
  <si>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</si>
  <si>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</si>
  <si>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</si>
  <si>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</si>
  <si>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</si>
  <si>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</si>
  <si>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</si>
  <si>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</si>
  <si>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</si>
  <si>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</si>
  <si>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</si>
  <si>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</si>
  <si>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</si>
  <si>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</si>
  <si>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</si>
  <si>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</si>
  <si>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</si>
  <si>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</si>
  <si>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</si>
  <si>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</si>
  <si>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</si>
  <si>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</si>
  <si>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</si>
  <si>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</si>
  <si>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</si>
  <si>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</si>
  <si>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</si>
  <si>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</si>
  <si>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</si>
  <si>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</si>
  <si>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</si>
  <si>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</si>
  <si>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</si>
  <si>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</si>
  <si>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</si>
  <si>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</si>
  <si>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</si>
  <si>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</si>
  <si>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</si>
  <si>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</si>
  <si>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</si>
  <si>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</si>
  <si>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</si>
  <si>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</si>
  <si>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</si>
  <si>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</si>
  <si>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</si>
  <si>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</si>
  <si>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</si>
  <si>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</si>
  <si>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</si>
  <si>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</si>
  <si>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</si>
  <si>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</si>
  <si>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</si>
  <si>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</si>
  <si>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</si>
  <si>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</si>
  <si>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</si>
  <si>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</si>
  <si>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</si>
  <si>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</si>
  <si>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</si>
  <si>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</si>
  <si>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</si>
  <si>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</si>
  <si>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</si>
  <si>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</si>
  <si>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</si>
  <si>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</si>
  <si>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</si>
  <si>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</si>
  <si>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</si>
  <si>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</si>
  <si>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</si>
  <si>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</si>
  <si>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</si>
  <si>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</si>
  <si>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</si>
  <si>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</si>
  <si>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</si>
  <si>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</si>
  <si>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</si>
  <si>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</si>
  <si>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</si>
  <si>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</si>
  <si>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</si>
  <si>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</si>
  <si>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</si>
  <si>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</si>
  <si>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</si>
  <si>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</si>
  <si>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</si>
  <si>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</si>
  <si>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</si>
  <si>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</si>
  <si>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</si>
  <si>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</si>
  <si>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</si>
  <si>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</si>
  <si>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</si>
  <si>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</si>
  <si>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</si>
  <si>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</si>
  <si>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</si>
  <si>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</si>
  <si>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</si>
  <si>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</si>
  <si>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</si>
  <si>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</si>
  <si>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</si>
  <si>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</si>
  <si>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</si>
  <si>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</si>
  <si>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</si>
  <si>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</si>
  <si>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</si>
  <si>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</si>
  <si>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</si>
  <si>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</si>
  <si>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</si>
  <si>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</si>
  <si>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</si>
  <si>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</si>
  <si>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</si>
  <si>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</si>
  <si>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</si>
  <si>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</si>
  <si>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</si>
  <si>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</si>
  <si>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</si>
  <si>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</si>
  <si>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</si>
  <si>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</si>
  <si>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</si>
  <si>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</si>
  <si>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</si>
  <si>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</si>
  <si>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</si>
  <si>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</si>
  <si>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</si>
  <si>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</si>
  <si>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</si>
  <si>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</si>
  <si>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</si>
  <si>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</si>
  <si>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</si>
  <si>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</si>
  <si>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</si>
  <si>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</si>
  <si>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</si>
  <si>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</si>
  <si>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</si>
  <si>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</si>
  <si>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</si>
  <si>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</si>
  <si>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</si>
  <si>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</si>
  <si>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</si>
  <si>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</si>
  <si>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</si>
  <si>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</si>
  <si>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</si>
  <si>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</si>
  <si>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</si>
  <si>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</si>
  <si>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</si>
  <si>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</si>
  <si>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</si>
  <si>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</si>
  <si>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</si>
  <si>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</si>
  <si>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</si>
  <si>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</si>
  <si>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</si>
  <si>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</si>
  <si>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</si>
  <si>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</si>
  <si>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</si>
  <si>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</si>
  <si>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</si>
  <si>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</si>
  <si>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</si>
  <si>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</si>
  <si>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</si>
  <si>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</si>
  <si>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</si>
  <si>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</si>
  <si>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</si>
  <si>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</si>
  <si>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</si>
  <si>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</si>
  <si>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</si>
  <si>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</si>
  <si>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</si>
  <si>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</si>
  <si>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</si>
  <si>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</si>
  <si>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</si>
  <si>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</si>
  <si>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</si>
  <si>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</si>
  <si>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</si>
  <si>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</si>
  <si>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</si>
  <si>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</si>
  <si>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</si>
  <si>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</si>
  <si>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</si>
  <si>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</si>
  <si>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</si>
  <si>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</si>
  <si>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</si>
  <si>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</si>
  <si>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</si>
  <si>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</si>
  <si>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</si>
  <si>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</si>
  <si>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</si>
  <si>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</si>
  <si>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</si>
  <si>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</si>
  <si>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</si>
  <si>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</si>
  <si>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</si>
  <si>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</si>
  <si>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</si>
  <si>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</si>
  <si>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</si>
  <si>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</si>
  <si>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</si>
  <si>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</si>
  <si>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</si>
  <si>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</si>
  <si>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</si>
  <si>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</si>
  <si>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</si>
  <si>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</si>
  <si>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</si>
  <si>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</si>
  <si>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</si>
  <si>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</si>
  <si>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</si>
  <si>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</si>
  <si>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</si>
  <si>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</si>
  <si>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</si>
  <si>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</si>
  <si>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</si>
  <si>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</si>
  <si>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</si>
  <si>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</si>
  <si>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</si>
  <si>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</si>
  <si>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</si>
  <si>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</si>
  <si>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</si>
  <si>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</si>
  <si>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</si>
  <si>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</si>
  <si>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</si>
  <si>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</si>
  <si>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</si>
  <si>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</si>
  <si>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</si>
  <si>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</si>
  <si>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</si>
  <si>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</si>
  <si>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</si>
  <si>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</si>
  <si>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</si>
  <si>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</si>
  <si>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</si>
  <si>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</si>
  <si>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</si>
  <si>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</si>
  <si>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</si>
  <si>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</si>
  <si>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</si>
  <si>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</si>
  <si>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</si>
  <si>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</si>
  <si>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</si>
  <si>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</si>
  <si>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</si>
  <si>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</si>
  <si>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</si>
  <si>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</si>
  <si>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</si>
  <si>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</si>
  <si>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</si>
  <si>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</si>
  <si>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</si>
  <si>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</si>
  <si>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</si>
  <si>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</si>
  <si>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</si>
  <si>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</si>
  <si>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</si>
  <si>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</si>
  <si>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</si>
  <si>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</si>
  <si>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</si>
  <si>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</si>
  <si>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</si>
  <si>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</si>
  <si>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</si>
  <si>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</si>
  <si>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</si>
  <si>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</si>
  <si>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</si>
  <si>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</si>
  <si>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</si>
  <si>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</si>
  <si>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</si>
  <si>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</si>
  <si>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</si>
  <si>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</si>
  <si>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</si>
  <si>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</si>
  <si>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</si>
  <si>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</si>
  <si>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</si>
  <si>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</si>
  <si>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</si>
  <si>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</si>
  <si>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</si>
  <si>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</si>
  <si>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</si>
  <si>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</si>
  <si>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</si>
  <si>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</si>
  <si>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</si>
  <si>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</si>
  <si>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</si>
  <si>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</si>
  <si>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</si>
  <si>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</si>
  <si>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</si>
  <si>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</si>
  <si>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</si>
  <si>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</si>
  <si>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</si>
  <si>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</si>
  <si>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</si>
  <si>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</si>
  <si>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</si>
  <si>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</si>
  <si>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</si>
  <si>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</si>
  <si>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</si>
  <si>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</si>
  <si>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</si>
  <si>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</si>
  <si>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</si>
  <si>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</si>
  <si>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</si>
  <si>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</si>
  <si>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</si>
  <si>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</si>
  <si>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</si>
  <si>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</si>
  <si>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</si>
  <si>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</si>
  <si>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</si>
  <si>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</si>
  <si>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</si>
  <si>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</si>
  <si>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</si>
  <si>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</si>
  <si>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</si>
  <si>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</si>
  <si>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</si>
  <si>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</si>
  <si>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</si>
  <si>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</si>
  <si>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</si>
  <si>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</si>
  <si>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</si>
  <si>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</si>
  <si>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</si>
  <si>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</si>
  <si>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</si>
  <si>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</si>
  <si>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</si>
  <si>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</si>
  <si>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</si>
  <si>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</si>
  <si>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</si>
  <si>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</si>
  <si>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</si>
  <si>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</si>
  <si>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</si>
  <si>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</si>
  <si>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</si>
  <si>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</si>
  <si>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</si>
  <si>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</si>
  <si>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</si>
  <si>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</si>
  <si>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</si>
  <si>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</si>
  <si>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</si>
  <si>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</si>
  <si>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</si>
  <si>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</si>
  <si>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</si>
  <si>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</si>
  <si>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</si>
  <si>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</si>
  <si>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</si>
  <si>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</si>
  <si>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</si>
  <si>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</si>
  <si>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</si>
  <si>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</si>
  <si>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</si>
  <si>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</si>
  <si>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</si>
  <si>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</si>
  <si>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</si>
  <si>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</si>
  <si>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</si>
  <si>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</si>
  <si>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</si>
  <si>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</si>
  <si>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</si>
  <si>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</si>
  <si>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</si>
  <si>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</si>
  <si>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</si>
  <si>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</si>
  <si>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</si>
  <si>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</si>
  <si>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</si>
  <si>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</si>
  <si>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</si>
  <si>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</si>
  <si>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</si>
  <si>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</si>
  <si>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</si>
  <si>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</si>
  <si>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</si>
  <si>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</si>
  <si>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</si>
  <si>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</si>
  <si>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</si>
  <si>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</si>
  <si>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</si>
  <si>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</si>
  <si>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</si>
  <si>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</si>
  <si>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</si>
  <si>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</si>
  <si>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</si>
  <si>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</si>
  <si>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</si>
  <si>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</si>
  <si>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</si>
  <si>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</si>
  <si>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</si>
  <si>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</si>
  <si>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</si>
  <si>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</si>
  <si>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</si>
  <si>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</si>
  <si>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</si>
  <si>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</si>
  <si>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</si>
  <si>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</si>
  <si>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</si>
  <si>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</si>
  <si>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</si>
  <si>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</si>
  <si>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</si>
  <si>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</si>
  <si>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</si>
  <si>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</si>
  <si>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</si>
  <si>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</si>
  <si>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</si>
  <si>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</si>
  <si>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</si>
  <si>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</si>
  <si>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</si>
  <si>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</si>
  <si>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</si>
  <si>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</si>
  <si>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</si>
  <si>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</si>
  <si>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</si>
  <si>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</si>
  <si>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</si>
  <si>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</si>
  <si>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</si>
  <si>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</si>
  <si>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</si>
  <si>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</si>
  <si>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</si>
  <si>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</si>
  <si>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</si>
  <si>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</si>
  <si>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</si>
  <si>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</si>
  <si>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</si>
  <si>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</si>
  <si>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</si>
  <si>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</si>
  <si>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</si>
  <si>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</si>
  <si>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</si>
  <si>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</si>
  <si>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</si>
  <si>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</si>
  <si>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</si>
  <si>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</si>
  <si>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</si>
  <si>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</si>
  <si>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</si>
  <si>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</si>
  <si>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</si>
  <si>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</si>
  <si>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</si>
  <si>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</si>
  <si>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</si>
  <si>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</si>
  <si>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</si>
  <si>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</si>
  <si>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</si>
  <si>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</si>
  <si>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</si>
  <si>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</si>
  <si>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</si>
  <si>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</si>
  <si>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</si>
  <si>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</si>
  <si>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</si>
  <si>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</si>
  <si>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</si>
  <si>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</si>
  <si>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</si>
  <si>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</si>
  <si>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</si>
  <si>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</si>
  <si>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</si>
  <si>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</si>
  <si>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</si>
  <si>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</si>
  <si>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</si>
  <si>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</si>
  <si>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</si>
  <si>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</si>
  <si>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</si>
  <si>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</si>
  <si>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</si>
  <si>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</si>
  <si>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</si>
  <si>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</si>
  <si>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</si>
  <si>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</si>
  <si>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</si>
  <si>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</si>
  <si>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</si>
  <si>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</si>
  <si>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</si>
  <si>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</si>
  <si>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</si>
  <si>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</si>
  <si>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</si>
  <si>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</si>
  <si>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</si>
  <si>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</si>
  <si>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</si>
  <si>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</si>
  <si>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</si>
  <si>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</si>
  <si>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</si>
  <si>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</si>
  <si>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</si>
  <si>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</si>
  <si>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</si>
  <si>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</si>
  <si>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</si>
  <si>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</si>
  <si>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</si>
  <si>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</si>
  <si>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</si>
  <si>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</si>
  <si>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</si>
  <si>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</si>
  <si>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</si>
  <si>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</si>
  <si>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</si>
  <si>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</si>
  <si>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</si>
  <si>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</si>
  <si>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</si>
  <si>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</si>
  <si>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</si>
  <si>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</si>
  <si>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</si>
  <si>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</si>
  <si>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</si>
  <si>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</si>
  <si>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</si>
  <si>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</si>
  <si>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</si>
  <si>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</si>
  <si>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</si>
  <si>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</si>
  <si>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</si>
  <si>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</si>
  <si>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</si>
  <si>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</si>
  <si>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</si>
  <si>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</si>
  <si>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</si>
  <si>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</si>
  <si>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</si>
  <si>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</si>
  <si>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</si>
  <si>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</si>
  <si>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</si>
  <si>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</si>
  <si>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</si>
  <si>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</si>
  <si>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</si>
  <si>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</si>
  <si>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</si>
  <si>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</si>
  <si>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</si>
  <si>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</si>
  <si>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</si>
  <si>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</si>
  <si>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</si>
  <si>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</si>
  <si>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</si>
  <si>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</si>
  <si>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</si>
  <si>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</si>
  <si>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</si>
  <si>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</si>
  <si>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</si>
  <si>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</si>
  <si>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</si>
  <si>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</si>
  <si>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</si>
  <si>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</si>
  <si>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</si>
  <si>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</si>
  <si>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</si>
  <si>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</si>
  <si>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</si>
  <si>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</si>
  <si>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</si>
  <si>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</si>
  <si>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</si>
  <si>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</si>
  <si>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</si>
  <si>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</si>
  <si>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</si>
  <si>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</si>
  <si>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</si>
  <si>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</si>
  <si>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</si>
  <si>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</si>
  <si>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</si>
  <si>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</si>
  <si>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</si>
  <si>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</si>
  <si>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</si>
  <si>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</si>
  <si>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</si>
  <si>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</si>
  <si>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</si>
  <si>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</si>
  <si>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</si>
  <si>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</si>
  <si>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</si>
  <si>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</si>
  <si>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</si>
  <si>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</si>
  <si>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</si>
  <si>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</si>
  <si>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</si>
  <si>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</si>
  <si>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</si>
  <si>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</si>
  <si>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</si>
  <si>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</si>
  <si>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</si>
  <si>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</si>
  <si>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</si>
  <si>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</si>
  <si>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</si>
  <si>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</si>
  <si>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</si>
  <si>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</si>
  <si>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</si>
  <si>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</si>
  <si>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</si>
  <si>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</si>
  <si>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</si>
  <si>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</si>
  <si>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</si>
  <si>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</si>
  <si>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</si>
  <si>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</si>
  <si>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</si>
  <si>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</si>
  <si>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</si>
  <si>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</si>
  <si>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</si>
  <si>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</si>
  <si>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</si>
  <si>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</si>
  <si>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</si>
  <si>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</si>
  <si>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</si>
  <si>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</si>
  <si>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</si>
  <si>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</si>
  <si>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</si>
  <si>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</si>
  <si>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</si>
  <si>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</si>
  <si>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</si>
  <si>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</si>
  <si>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</si>
  <si>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</si>
  <si>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</si>
  <si>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</si>
  <si>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</si>
  <si>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</si>
  <si>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</si>
  <si>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</si>
  <si>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</si>
  <si>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</si>
  <si>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</si>
  <si>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</si>
  <si>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</si>
  <si>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</si>
  <si>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</si>
  <si>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</si>
  <si>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</si>
  <si>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</si>
  <si>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</si>
  <si>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</si>
  <si>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</si>
  <si>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</si>
  <si>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</si>
  <si>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</si>
  <si>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</si>
  <si>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</si>
  <si>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</si>
  <si>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</si>
  <si>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</si>
  <si>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</si>
  <si>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</si>
  <si>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</si>
  <si>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</si>
  <si>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</si>
  <si>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</si>
  <si>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</si>
  <si>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</si>
  <si>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</si>
  <si>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</si>
  <si>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</si>
  <si>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</si>
  <si>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</si>
  <si>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</si>
  <si>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</si>
  <si>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</si>
  <si>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</si>
  <si>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</si>
  <si>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</si>
  <si>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</si>
  <si>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</si>
  <si>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</si>
  <si>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</si>
  <si>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</si>
  <si>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</si>
  <si>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</si>
  <si>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</si>
  <si>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</si>
  <si>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</si>
  <si>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</si>
  <si>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</si>
  <si>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</si>
  <si>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</si>
  <si>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</si>
  <si>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</si>
  <si>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</si>
  <si>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</si>
  <si>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</si>
  <si>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</si>
  <si>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</si>
  <si>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</si>
  <si>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</si>
  <si>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</si>
  <si>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</si>
  <si>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</si>
  <si>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</si>
  <si>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</si>
  <si>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</si>
  <si>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</si>
  <si>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</si>
  <si>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</si>
  <si>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</si>
  <si>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</si>
  <si>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</si>
  <si>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</si>
  <si>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</si>
  <si>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</si>
  <si>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</si>
  <si>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</si>
  <si>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</si>
  <si>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</si>
  <si>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</si>
  <si>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</si>
  <si>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</si>
  <si>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</si>
  <si>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</si>
  <si>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</si>
  <si>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</si>
  <si>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</si>
  <si>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</si>
  <si>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</si>
  <si>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</si>
  <si>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</si>
  <si>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</si>
  <si>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</si>
  <si>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</si>
  <si>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</si>
  <si>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</si>
  <si>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</si>
  <si>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</si>
  <si>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</si>
  <si>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</si>
  <si>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</si>
  <si>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</si>
  <si>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</si>
  <si>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</si>
  <si>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</si>
  <si>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</si>
  <si>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</si>
  <si>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</si>
  <si>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</si>
  <si>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</si>
  <si>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</si>
  <si>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</si>
  <si>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</si>
  <si>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</si>
  <si>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</si>
  <si>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</si>
  <si>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</si>
  <si>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</si>
  <si>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</si>
  <si>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</si>
  <si>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</si>
  <si>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</si>
  <si>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</si>
  <si>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</si>
  <si>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</si>
  <si>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</si>
  <si>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</si>
  <si>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</si>
  <si>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</si>
  <si>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</si>
  <si>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</si>
  <si>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</si>
  <si>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</si>
  <si>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</si>
  <si>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</si>
  <si>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</si>
  <si>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</si>
  <si>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</si>
  <si>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</si>
  <si>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</si>
  <si>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</si>
  <si>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</si>
  <si>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</si>
  <si>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</si>
  <si>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</si>
  <si>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</si>
  <si>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</si>
  <si>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</si>
  <si>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</si>
  <si>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</si>
  <si>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</si>
  <si>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</si>
  <si>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</si>
  <si>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</si>
  <si>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</si>
  <si>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</si>
  <si>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</si>
  <si>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</si>
  <si>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</si>
  <si>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</si>
  <si>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刘梅</t>
  </si>
  <si>
    <t>吴薇</t>
  </si>
  <si>
    <t>赣州市恒臣置业有限公司</t>
    <phoneticPr fontId="6" type="noConversion"/>
  </si>
  <si>
    <t>五矿信托</t>
    <phoneticPr fontId="6" type="noConversion"/>
  </si>
  <si>
    <t>赣州市恒臣置业有限公司</t>
    <phoneticPr fontId="6" type="noConversion"/>
  </si>
  <si>
    <t>核定资产</t>
  </si>
  <si>
    <t>抵押价格</t>
  </si>
  <si>
    <t>市场价格</t>
  </si>
  <si>
    <t>其他：</t>
  </si>
  <si>
    <t>江西省赣州市</t>
    <phoneticPr fontId="6" type="noConversion"/>
  </si>
  <si>
    <t>赣南大道南侧（原灯饰市场）地块</t>
    <phoneticPr fontId="6" type="noConversion"/>
  </si>
  <si>
    <t>企业</t>
  </si>
  <si>
    <t>其他普通商品住房用地</t>
    <phoneticPr fontId="6" type="noConversion"/>
  </si>
  <si>
    <t>《国有建设用地使用权出让合同》及附件[电子监管号：3607822017B00480号]</t>
    <phoneticPr fontId="6" type="noConversion"/>
  </si>
  <si>
    <t>住宅、商业、地下车库</t>
    <phoneticPr fontId="6" type="noConversion"/>
  </si>
  <si>
    <t>《赣州恒大城E-1&amp;E-2经济技术指标》</t>
    <phoneticPr fontId="6" type="noConversion"/>
  </si>
  <si>
    <t>不一致</t>
  </si>
  <si>
    <t>符合</t>
  </si>
  <si>
    <t>出让</t>
  </si>
  <si>
    <t>商业</t>
  </si>
  <si>
    <t>住宅69.4年、商业39.4年、地下车库49.4年</t>
    <phoneticPr fontId="6" type="noConversion"/>
  </si>
  <si>
    <t>《赣州恒大城E-1&amp;E-2经济技术指标》</t>
    <phoneticPr fontId="3" type="noConversion"/>
  </si>
  <si>
    <t>《国有建设用地使用权出让合同》及附件[电子监管号：3607822017B00480号]</t>
    <phoneticPr fontId="3" type="noConversion"/>
  </si>
  <si>
    <t>否</t>
  </si>
  <si>
    <t>居住项目</t>
  </si>
  <si>
    <t>无</t>
  </si>
  <si>
    <t>宗地内已开工建设</t>
  </si>
  <si>
    <t>估价委托方尚未取得《建筑工程施工许可证》，但已开始土方工程建设及建筑物建设，并建有数幢临时工程用房。</t>
    <phoneticPr fontId="6" type="noConversion"/>
  </si>
  <si>
    <t>平整</t>
  </si>
  <si>
    <t>通路</t>
  </si>
  <si>
    <t>通电</t>
  </si>
  <si>
    <t>通讯</t>
  </si>
  <si>
    <t>通上水</t>
  </si>
  <si>
    <t>通下水</t>
  </si>
  <si>
    <t>燃气</t>
  </si>
  <si>
    <t>地上</t>
  </si>
  <si>
    <t>普通住宅</t>
  </si>
  <si>
    <t>独立商业</t>
  </si>
  <si>
    <t>地下</t>
  </si>
  <si>
    <t>车库</t>
  </si>
  <si>
    <t>住宅</t>
    <phoneticPr fontId="7" type="noConversion"/>
  </si>
  <si>
    <t>商业</t>
    <phoneticPr fontId="7" type="noConversion"/>
  </si>
  <si>
    <t>地下车库</t>
    <phoneticPr fontId="7" type="noConversion"/>
  </si>
  <si>
    <t>恒大城</t>
    <phoneticPr fontId="3" type="noConversion"/>
  </si>
  <si>
    <t>碧桂园正荣.天麓</t>
    <phoneticPr fontId="3" type="noConversion"/>
  </si>
  <si>
    <t>玺宝.城上城</t>
    <phoneticPr fontId="3" type="noConversion"/>
  </si>
  <si>
    <t>售价</t>
  </si>
  <si>
    <t>住宅</t>
    <phoneticPr fontId="21" type="noConversion"/>
  </si>
  <si>
    <t>正常</t>
  </si>
  <si>
    <t>高速</t>
    <phoneticPr fontId="21" type="noConversion"/>
  </si>
  <si>
    <t>快速</t>
    <phoneticPr fontId="21" type="noConversion"/>
  </si>
  <si>
    <t>主</t>
    <phoneticPr fontId="21" type="noConversion"/>
  </si>
  <si>
    <t>次</t>
    <phoneticPr fontId="21" type="noConversion"/>
  </si>
  <si>
    <t>支</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</si>
  <si>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</si>
  <si>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</si>
  <si>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</si>
  <si>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</si>
  <si>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</si>
  <si>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</si>
  <si>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</si>
  <si>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</si>
  <si>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</si>
  <si>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</si>
  <si>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</si>
  <si>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</si>
  <si>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</si>
  <si>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</si>
  <si>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</si>
  <si>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</si>
  <si>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</si>
  <si>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</si>
  <si>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</si>
  <si>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60-70（含）</t>
  </si>
  <si>
    <t>一般</t>
  </si>
  <si>
    <t>较好</t>
  </si>
  <si>
    <t>主</t>
    <phoneticPr fontId="21" type="noConversion"/>
  </si>
  <si>
    <t>钢混</t>
  </si>
  <si>
    <t>中档</t>
  </si>
  <si>
    <t>精装修</t>
  </si>
  <si>
    <t>专业</t>
  </si>
  <si>
    <t>简单装修</t>
  </si>
  <si>
    <t>毛坯</t>
  </si>
  <si>
    <t>地块名称</t>
  </si>
  <si>
    <t>建设用地面积(㎡)</t>
  </si>
  <si>
    <t>规划建筑面积(㎡)</t>
  </si>
  <si>
    <t>截止日期</t>
  </si>
  <si>
    <t>受让单位</t>
  </si>
  <si>
    <t>起始价(万元)</t>
  </si>
  <si>
    <t>成交价(万元)</t>
  </si>
  <si>
    <t>成交每亩价(万元/亩)</t>
  </si>
  <si>
    <t>成交楼面价(元/㎡)</t>
  </si>
  <si>
    <t>溢价率</t>
  </si>
  <si>
    <t>大于1并且小于或等于2</t>
  </si>
  <si>
    <t>2017-12-20</t>
  </si>
  <si>
    <t>赣州市南康区城发集团城发房地产开发有限公司</t>
  </si>
  <si>
    <t>龙岭新区J1-07-02地块</t>
  </si>
  <si>
    <t>大于1并且小于或等于2.5</t>
  </si>
  <si>
    <t>赣州市南康区城市建设发展集团有限公司</t>
  </si>
  <si>
    <t>大于1并且小于或等于2.4</t>
  </si>
  <si>
    <t>2017-06-28</t>
  </si>
  <si>
    <t>江西碧桂园地产有限公司</t>
  </si>
  <si>
    <t>赣南大道南侧(原灯饰市场)地块</t>
  </si>
  <si>
    <t>2017-06-16</t>
  </si>
  <si>
    <t>恒大地产集团(江西)有限公司、赣州博臣置业有限责任公司</t>
  </si>
  <si>
    <t>蓉江新区A-16地块</t>
  </si>
  <si>
    <t>2017-06-02</t>
  </si>
  <si>
    <t>赣州恒大地产有限公司</t>
  </si>
  <si>
    <t>＞1且≤2.5</t>
  </si>
  <si>
    <t>2017-05-05</t>
  </si>
  <si>
    <t>赣州梁轩置业有限公司(中梁地产)</t>
  </si>
  <si>
    <t>龙华中心卫生院圩上门诊地块</t>
  </si>
  <si>
    <t>大于1并且小于或等于3.6</t>
  </si>
  <si>
    <t>2017-03-15</t>
  </si>
  <si>
    <t>张烈民</t>
  </si>
  <si>
    <t>浮石乡贤女村25号地块</t>
  </si>
  <si>
    <t>大于1并且小于或等于4.5</t>
  </si>
  <si>
    <t>2017-03-03</t>
  </si>
  <si>
    <t>罗开文</t>
  </si>
  <si>
    <t>浮石乡贤女村31号地块</t>
  </si>
  <si>
    <t>陈宣滨</t>
  </si>
  <si>
    <t>浮石贤女村36号地块</t>
  </si>
  <si>
    <t>黄绍芳</t>
  </si>
  <si>
    <t>浮石贤女村35号地块</t>
  </si>
  <si>
    <t>浮石乡贤女村34号地块</t>
  </si>
  <si>
    <t>吴继华</t>
  </si>
  <si>
    <t>浮石乡贤女村32号地块</t>
  </si>
  <si>
    <t>罗志斌</t>
  </si>
  <si>
    <t>浮石乡贤女村33号地块</t>
  </si>
  <si>
    <t>李汉禄</t>
  </si>
  <si>
    <t>南水新区A-08d</t>
  </si>
  <si>
    <t>1.0＜容≤2.6</t>
  </si>
  <si>
    <t>2017-01-18</t>
  </si>
  <si>
    <t>赣州梁轩置业有限公司</t>
  </si>
  <si>
    <t>龙华工业园C-16-03-01地块</t>
  </si>
  <si>
    <t>大于1并且小于或等于1.8</t>
  </si>
  <si>
    <t>2016-12-09</t>
  </si>
  <si>
    <t>赣州市南康区中小企业投资发展有限责任公司</t>
  </si>
  <si>
    <t>龙回产业园R-01地块</t>
  </si>
  <si>
    <t>大于1并且小于或等于2.2</t>
  </si>
  <si>
    <t>2016-11-02</t>
  </si>
  <si>
    <t>汽车城B-25地块</t>
  </si>
  <si>
    <t>2016-08-19</t>
  </si>
  <si>
    <t>赣州市南康区城发房地产开发有限公司</t>
  </si>
  <si>
    <t>镜坝工业园I-1-10地块</t>
  </si>
  <si>
    <t>2016-05-27</t>
  </si>
  <si>
    <t>赣州市南康区国有资产经营投资有限公司</t>
  </si>
  <si>
    <t>龙回镇龙回村沙坝里地块</t>
  </si>
  <si>
    <t>2015-08-19</t>
  </si>
  <si>
    <t>彭宝平</t>
  </si>
  <si>
    <t>龙岭新区J1-07-02、J1-07-03地块</t>
  </si>
  <si>
    <t>赣州市开源矿业有限公司</t>
  </si>
  <si>
    <t>地面价</t>
    <phoneticPr fontId="233" type="noConversion"/>
  </si>
  <si>
    <t>用地性质</t>
  </si>
  <si>
    <t>住宅用地</t>
  </si>
  <si>
    <t>综合用地(含住宅)</t>
  </si>
  <si>
    <t>住宅</t>
    <phoneticPr fontId="26" type="noConversion"/>
  </si>
  <si>
    <t>住宅、商业</t>
    <phoneticPr fontId="26" type="noConversion"/>
  </si>
  <si>
    <t>高速</t>
    <phoneticPr fontId="26" type="noConversion"/>
  </si>
  <si>
    <t>快速</t>
  </si>
  <si>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</si>
  <si>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</si>
  <si>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</si>
  <si>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</si>
  <si>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</si>
  <si>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</si>
  <si>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</si>
  <si>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</si>
  <si>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</si>
  <si>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</si>
  <si>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</si>
  <si>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</si>
  <si>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</si>
  <si>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</si>
  <si>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</si>
  <si>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</si>
  <si>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</si>
  <si>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</si>
  <si>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</si>
  <si>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</si>
  <si>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</si>
  <si>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</si>
  <si>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</si>
  <si>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</si>
  <si>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</si>
  <si>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蓉江新区和南水西片区C-28-04地块(挹翠路西侧)</t>
    <phoneticPr fontId="233"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</si>
  <si>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</si>
  <si>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70</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</si>
  <si>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</si>
  <si>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多面临街</t>
  </si>
  <si>
    <t>单位面积地价</t>
  </si>
  <si>
    <t>双面临街</t>
  </si>
  <si>
    <t>不动产收益法</t>
  </si>
  <si>
    <t>自定义</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</si>
  <si>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</si>
  <si>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</si>
  <si>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</si>
  <si>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</si>
  <si>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</si>
  <si>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</si>
  <si>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</si>
  <si>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差</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</si>
  <si>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</si>
  <si>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</si>
  <si>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</si>
  <si>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</si>
  <si>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</si>
  <si>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t>商业街商铺</t>
    <phoneticPr fontId="26" type="noConversion"/>
  </si>
  <si>
    <t>独立商业</t>
    <phoneticPr fontId="26" type="noConversion"/>
  </si>
  <si>
    <t>社区底商</t>
    <phoneticPr fontId="26" type="noConversion"/>
  </si>
  <si>
    <t>钢</t>
    <phoneticPr fontId="26" type="noConversion"/>
  </si>
  <si>
    <t>钢混</t>
    <phoneticPr fontId="26" type="noConversion"/>
  </si>
  <si>
    <t>砖混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</si>
  <si>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</si>
  <si>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</si>
  <si>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</si>
  <si>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</si>
  <si>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</si>
  <si>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phoneticPr fontId="26" type="noConversion"/>
  </si>
  <si>
    <t>不可餐饮</t>
    <phoneticPr fontId="26" type="noConversion"/>
  </si>
  <si>
    <t>超高层高</t>
    <phoneticPr fontId="26" type="noConversion"/>
  </si>
  <si>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</si>
  <si>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</si>
  <si>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</si>
  <si>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</si>
  <si>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</si>
  <si>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商业</t>
    <phoneticPr fontId="26" type="noConversion"/>
  </si>
  <si>
    <t>30-40（含）</t>
  </si>
  <si>
    <t>御龙城</t>
    <phoneticPr fontId="3" type="noConversion"/>
  </si>
  <si>
    <t>路福服装城</t>
    <phoneticPr fontId="3" type="noConversion"/>
  </si>
  <si>
    <t>路福服装城</t>
    <phoneticPr fontId="3" type="noConversion"/>
  </si>
  <si>
    <t>一般</t>
    <phoneticPr fontId="26" type="noConversion"/>
  </si>
  <si>
    <t>较好</t>
    <phoneticPr fontId="26" type="noConversion"/>
  </si>
  <si>
    <t>较好</t>
    <phoneticPr fontId="26" type="noConversion"/>
  </si>
  <si>
    <t>1层</t>
  </si>
  <si>
    <t>商业街商铺</t>
  </si>
  <si>
    <t>五通</t>
  </si>
  <si>
    <t>可餐饮</t>
  </si>
  <si>
    <t>标准层高</t>
  </si>
  <si>
    <t>普通装修</t>
  </si>
  <si>
    <r>
      <t>1-2</t>
    </r>
    <r>
      <rPr>
        <sz val="11"/>
        <color indexed="8"/>
        <rFont val="宋体"/>
        <family val="3"/>
        <charset val="134"/>
      </rPr>
      <t>层</t>
    </r>
    <phoneticPr fontId="26" type="noConversion"/>
  </si>
  <si>
    <t>剩余法-待开发</t>
  </si>
  <si>
    <t>比较法-住宅、综合</t>
  </si>
  <si>
    <t>项目全部</t>
  </si>
  <si>
    <t>土地</t>
  </si>
  <si>
    <t>较差</t>
  </si>
  <si>
    <t>不临街</t>
  </si>
  <si>
    <t>2层</t>
  </si>
  <si>
    <r>
      <rPr>
        <sz val="11"/>
        <color rgb="FFFF0000"/>
        <rFont val="宋体"/>
        <family val="3"/>
        <charset val="134"/>
      </rPr>
      <t>估价对象商业占比这么低（</t>
    </r>
    <r>
      <rPr>
        <sz val="11"/>
        <color rgb="FFFF0000"/>
        <rFont val="Arial"/>
        <family val="2"/>
      </rPr>
      <t>0.5%</t>
    </r>
    <r>
      <rPr>
        <sz val="11"/>
        <color rgb="FFFF0000"/>
        <rFont val="宋体"/>
        <family val="3"/>
        <charset val="134"/>
      </rPr>
      <t>），是否有修正必要？</t>
    </r>
    <phoneticPr fontId="26" type="noConversion"/>
  </si>
  <si>
    <t>南水新区E-08、E-09地块</t>
    <phoneticPr fontId="233" type="noConversion"/>
  </si>
  <si>
    <t>南水新区A-10地块</t>
    <phoneticPr fontId="233" type="noConversion"/>
  </si>
  <si>
    <t>省会市名称</t>
  </si>
  <si>
    <t>建筑型式</t>
  </si>
  <si>
    <t>多层</t>
  </si>
  <si>
    <t>小高层</t>
  </si>
  <si>
    <t>南昌</t>
  </si>
  <si>
    <t>1-2</t>
    <phoneticPr fontId="21" type="noConversion"/>
  </si>
  <si>
    <t>较规则</t>
  </si>
  <si>
    <t>低溢价</t>
  </si>
  <si>
    <t>低溢价</t>
    <phoneticPr fontId="26" type="noConversion"/>
  </si>
  <si>
    <t>高溢价</t>
  </si>
  <si>
    <t>高溢价</t>
    <phoneticPr fontId="26" type="noConversion"/>
  </si>
  <si>
    <t>土地（套用方法）</t>
  </si>
  <si>
    <t>主</t>
  </si>
  <si>
    <t>佳龙太古城</t>
    <phoneticPr fontId="3" type="noConversion"/>
  </si>
  <si>
    <t>支</t>
    <phoneticPr fontId="21" type="noConversion"/>
  </si>
  <si>
    <t>次</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</si>
</sst>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6" borderId="0" xfId="0" applyFill="1" applyAlignment="1"/>
    <xf numFmtId="0" fontId="0" fillId="9" borderId="0" xfId="0" applyFill="1" applyAlignment="1"/>
    <xf numFmtId="0" fontId="0" fillId="0" borderId="0" xfId="0" applyFont="1" applyAlignment="1"/>
    <xf numFmtId="0" fontId="145" fillId="9" borderId="0" xfId="0" applyFont="1" applyFill="1" applyAlignment="1"/>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4" fillId="9" borderId="1" xfId="0"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75" fillId="7" borderId="87" xfId="0" applyFont="1" applyFill="1" applyBorder="1" applyAlignment="1" applyProtection="1">
      <alignment vertical="center" wrapText="1"/>
    </xf>
    <xf numFmtId="0" fontId="75" fillId="7" borderId="63" xfId="0" applyFont="1" applyFill="1" applyBorder="1" applyAlignment="1" applyProtection="1">
      <alignment horizontal="left" vertical="center" wrapText="1"/>
    </xf>
    <xf numFmtId="181" fontId="153" fillId="6" borderId="0" xfId="0" applyNumberFormat="1" applyFont="1" applyFill="1" applyBorder="1" applyAlignment="1" applyProtection="1">
      <alignment horizontal="center" vertical="center" wrapText="1"/>
      <protection locked="0"/>
    </xf>
    <xf numFmtId="0" fontId="84" fillId="9" borderId="64" xfId="0" applyNumberFormat="1" applyFont="1" applyFill="1" applyBorder="1" applyAlignment="1" applyProtection="1">
      <alignment horizontal="center" vertical="center" wrapText="1"/>
      <protection locked="0"/>
    </xf>
    <xf numFmtId="0" fontId="71" fillId="7" borderId="7" xfId="0" applyNumberFormat="1" applyFont="1" applyFill="1" applyBorder="1" applyAlignment="1" applyProtection="1">
      <alignment horizontal="center" vertical="center" wrapText="1"/>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106" fillId="7" borderId="9"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181" fontId="76" fillId="9" borderId="12" xfId="0" applyNumberFormat="1" applyFont="1" applyFill="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3</xdr:col>
      <xdr:colOff>847725</xdr:colOff>
      <xdr:row>57</xdr:row>
      <xdr:rowOff>19050</xdr:rowOff>
    </xdr:to>
    <xdr:pic>
      <xdr:nvPicPr>
        <xdr:cNvPr id="2" name="图片 1" descr="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1900"/>
          <a:ext cx="5981700"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304800</xdr:colOff>
      <xdr:row>59</xdr:row>
      <xdr:rowOff>133350</xdr:rowOff>
    </xdr:to>
    <xdr:sp macro="" textlink="">
      <xdr:nvSpPr>
        <xdr:cNvPr id="96258" name="AutoShape 2" descr="https://t10.baidu.com/it/u=2183566872,4206179207&amp;fm=173&amp;s=14D8AB7DD3AEEB4D0CF149C20100E032&amp;w=640&amp;h=744&amp;img.JPEG"/>
        <xdr:cNvSpPr>
          <a:spLocks noChangeAspect="1" noChangeArrowheads="1"/>
        </xdr:cNvSpPr>
      </xdr:nvSpPr>
      <xdr:spPr bwMode="auto">
        <a:xfrm>
          <a:off x="0" y="99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58</xdr:row>
      <xdr:rowOff>0</xdr:rowOff>
    </xdr:from>
    <xdr:to>
      <xdr:col>0</xdr:col>
      <xdr:colOff>304800</xdr:colOff>
      <xdr:row>59</xdr:row>
      <xdr:rowOff>133350</xdr:rowOff>
    </xdr:to>
    <xdr:sp macro="" textlink="">
      <xdr:nvSpPr>
        <xdr:cNvPr id="96259" name="AutoShape 3" descr="https://t10.baidu.com/it/u=2183566872,4206179207&amp;fm=173&amp;s=14D8AB7DD3AEEB4D0CF149C20100E032&amp;w=640&amp;h=744&amp;img.JPEG"/>
        <xdr:cNvSpPr>
          <a:spLocks noChangeAspect="1" noChangeArrowheads="1"/>
        </xdr:cNvSpPr>
      </xdr:nvSpPr>
      <xdr:spPr bwMode="auto">
        <a:xfrm>
          <a:off x="0" y="99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2</xdr:col>
      <xdr:colOff>875681</xdr:colOff>
      <xdr:row>91</xdr:row>
      <xdr:rowOff>161219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115550"/>
          <a:ext cx="4952381" cy="5647619"/>
        </a:xfrm>
        <a:prstGeom prst="rect">
          <a:avLst/>
        </a:prstGeom>
      </xdr:spPr>
    </xdr:pic>
    <xdr:clientData/>
  </xdr:twoCellAnchor>
  <xdr:twoCellAnchor editAs="oneCell">
    <xdr:from>
      <xdr:col>0</xdr:col>
      <xdr:colOff>0</xdr:colOff>
      <xdr:row>93</xdr:row>
      <xdr:rowOff>0</xdr:rowOff>
    </xdr:from>
    <xdr:to>
      <xdr:col>3</xdr:col>
      <xdr:colOff>104775</xdr:colOff>
      <xdr:row>135</xdr:row>
      <xdr:rowOff>9525</xdr:rowOff>
    </xdr:to>
    <xdr:pic>
      <xdr:nvPicPr>
        <xdr:cNvPr id="7" name="图片 6" descr="http://www.0797fdc.com.cn/userfiles/editor/image/20170505/149395308512375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944850"/>
          <a:ext cx="5238750" cy="72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6',16);"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7" customWidth="1"/>
    <col min="2" max="2" width="20.625" style="3472" customWidth="1"/>
    <col min="3" max="3" width="11.875" style="3472" customWidth="1"/>
    <col min="4" max="4" width="40.5" style="3197" customWidth="1"/>
    <col min="5" max="5" width="15.75" style="3197" customWidth="1"/>
    <col min="6" max="6" width="10.625" style="3197" customWidth="1"/>
    <col min="7" max="7" width="4.875" style="3197" customWidth="1"/>
    <col min="8" max="8" width="8.5" style="3197" customWidth="1"/>
    <col min="9" max="9" width="21.25" style="3197" customWidth="1"/>
    <col min="10" max="10" width="12.25" style="3197" customWidth="1"/>
    <col min="11" max="11" width="40.125" style="3459" customWidth="1"/>
    <col min="12" max="12" width="16.375" style="3197" customWidth="1"/>
    <col min="13" max="13" width="13" style="3197" customWidth="1"/>
    <col min="14" max="14" width="13.75" style="3196" customWidth="1"/>
    <col min="15" max="15" width="5.125" style="3196" customWidth="1"/>
    <col min="16" max="16" width="25.75" style="3196" customWidth="1"/>
    <col min="17" max="17" width="13.75" style="3196" customWidth="1"/>
    <col min="18" max="18" width="20.5" style="3196" customWidth="1"/>
    <col min="19" max="19" width="13.25" style="3196" customWidth="1"/>
    <col min="20" max="37" width="9" style="3196"/>
    <col min="38" max="16384" width="9" style="3197"/>
  </cols>
  <sheetData>
    <row r="1" spans="1:37" s="3186" customFormat="1" ht="21">
      <c r="A1" s="3175" t="s">
        <v>2980</v>
      </c>
      <c r="B1" s="3176"/>
      <c r="C1" s="3177"/>
      <c r="D1" s="3178"/>
      <c r="E1" s="3179" t="s">
        <v>2981</v>
      </c>
      <c r="F1" s="3180" t="b">
        <f>J53</f>
        <v>0</v>
      </c>
      <c r="G1" s="3181">
        <f>MATCH(C1,'[1]数据-取费表'!A6:A16,0)+5</f>
        <v>6</v>
      </c>
      <c r="H1" s="3182"/>
      <c r="I1" s="3183"/>
      <c r="J1" s="3183"/>
      <c r="K1" s="3184"/>
      <c r="L1" s="3183"/>
      <c r="M1" s="3183"/>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row>
    <row r="2" spans="1:37" ht="18" customHeight="1">
      <c r="A2" s="3187" t="s">
        <v>2982</v>
      </c>
      <c r="B2" s="3188" t="e">
        <f ca="1">ROUND(D2/10000,0)</f>
        <v>#DIV/0!</v>
      </c>
      <c r="C2" s="3189" t="s">
        <v>2983</v>
      </c>
      <c r="D2" s="3190" t="e">
        <f ca="1">C40+J29+L46</f>
        <v>#DIV/0!</v>
      </c>
      <c r="E2" s="3191" t="s">
        <v>2984</v>
      </c>
      <c r="F2" s="3192"/>
      <c r="G2" s="3193"/>
      <c r="H2" s="3194"/>
      <c r="I2" s="3194"/>
      <c r="J2" s="3194"/>
      <c r="K2" s="3195"/>
      <c r="L2" s="3194"/>
      <c r="M2" s="3194"/>
    </row>
    <row r="3" spans="1:37" ht="18" customHeight="1" thickBot="1">
      <c r="A3" s="3198" t="s">
        <v>2985</v>
      </c>
      <c r="B3" s="3199">
        <f ca="1">IF(ISERROR(D2/F43),0,ROUND(D2/F43,0))</f>
        <v>0</v>
      </c>
      <c r="C3" s="3189" t="s">
        <v>2986</v>
      </c>
      <c r="D3" s="3189"/>
      <c r="E3" s="3191"/>
      <c r="F3" s="3192"/>
      <c r="G3" s="3193"/>
      <c r="H3" s="3200" t="s">
        <v>2987</v>
      </c>
      <c r="I3" s="3194"/>
      <c r="J3" s="3194"/>
      <c r="K3" s="3195"/>
      <c r="L3" s="3194"/>
      <c r="M3" s="3194"/>
    </row>
    <row r="4" spans="1:37" ht="18" customHeight="1">
      <c r="A4" s="3201" t="s">
        <v>2988</v>
      </c>
      <c r="B4" s="3202" t="s">
        <v>2989</v>
      </c>
      <c r="C4" s="3202" t="s">
        <v>2990</v>
      </c>
      <c r="D4" s="3202" t="s">
        <v>2991</v>
      </c>
      <c r="E4" s="3203" t="s">
        <v>2992</v>
      </c>
      <c r="F4" s="3204"/>
      <c r="G4" s="3205"/>
      <c r="H4" s="3201" t="s">
        <v>2993</v>
      </c>
      <c r="I4" s="3202" t="s">
        <v>2994</v>
      </c>
      <c r="J4" s="3202" t="s">
        <v>2995</v>
      </c>
      <c r="K4" s="3202" t="s">
        <v>2996</v>
      </c>
      <c r="L4" s="3203" t="s">
        <v>2992</v>
      </c>
      <c r="M4" s="3204"/>
    </row>
    <row r="5" spans="1:37" ht="18" customHeight="1">
      <c r="A5" s="3206">
        <v>1</v>
      </c>
      <c r="B5" s="3207" t="s">
        <v>2997</v>
      </c>
      <c r="C5" s="3208">
        <f ca="1">C6+C10+C12</f>
        <v>0</v>
      </c>
      <c r="D5" s="3209" t="s">
        <v>2998</v>
      </c>
      <c r="E5" s="3210"/>
      <c r="F5" s="3211"/>
      <c r="G5" s="3205"/>
      <c r="H5" s="3206">
        <v>1</v>
      </c>
      <c r="I5" s="3207" t="s">
        <v>2997</v>
      </c>
      <c r="J5" s="3208">
        <f ca="1">J6+J10+J12</f>
        <v>0</v>
      </c>
      <c r="K5" s="3209" t="s">
        <v>2998</v>
      </c>
      <c r="L5" s="3210"/>
      <c r="M5" s="3211"/>
    </row>
    <row r="6" spans="1:37" ht="18" customHeight="1">
      <c r="A6" s="3212" t="s">
        <v>2999</v>
      </c>
      <c r="B6" s="3509" t="s">
        <v>3000</v>
      </c>
      <c r="C6" s="3213">
        <f ca="1">ROUND(F6*F8*F7*(1-F9),0)</f>
        <v>0</v>
      </c>
      <c r="D6" s="3214" t="s">
        <v>3001</v>
      </c>
      <c r="E6" s="3215" t="s">
        <v>3002</v>
      </c>
      <c r="F6" s="3216">
        <f ca="1">INDIRECT("'数据-取费表'!u"&amp;$G$1)</f>
        <v>0</v>
      </c>
      <c r="G6" s="3205"/>
      <c r="H6" s="3212" t="s">
        <v>2999</v>
      </c>
      <c r="I6" s="3509" t="s">
        <v>3000</v>
      </c>
      <c r="J6" s="3217">
        <f ca="1">ROUND(M6*M8*M7*(1-M9),0)</f>
        <v>0</v>
      </c>
      <c r="K6" s="3218" t="s">
        <v>3003</v>
      </c>
      <c r="L6" s="3215" t="s">
        <v>3002</v>
      </c>
      <c r="M6" s="3216">
        <f ca="1">INDIRECT("'数据-取费表'!z"&amp;$G$1)</f>
        <v>0</v>
      </c>
    </row>
    <row r="7" spans="1:37" ht="18" customHeight="1">
      <c r="A7" s="3219"/>
      <c r="B7" s="3510"/>
      <c r="C7" s="3220"/>
      <c r="D7" s="3221"/>
      <c r="E7" s="3222" t="s">
        <v>3004</v>
      </c>
      <c r="F7" s="3216">
        <f ca="1">IF(INDIRECT("'数据-取费表'!ah"&amp;$G$1)="",INDIRECT("'数据-取费表'!k"&amp;$G$1),INDIRECT("'数据-取费表'!ah"&amp;$G$1))</f>
        <v>360128.49</v>
      </c>
      <c r="G7" s="3205"/>
      <c r="H7" s="3223"/>
      <c r="I7" s="3510"/>
      <c r="J7" s="3224"/>
      <c r="K7" s="3221"/>
      <c r="L7" s="3215" t="s">
        <v>3004</v>
      </c>
      <c r="M7" s="3216">
        <f ca="1">F7</f>
        <v>360128.49</v>
      </c>
    </row>
    <row r="8" spans="1:37" ht="18" customHeight="1">
      <c r="A8" s="3223"/>
      <c r="B8" s="3510"/>
      <c r="C8" s="3224"/>
      <c r="D8" s="3221"/>
      <c r="E8" s="3215" t="s">
        <v>3005</v>
      </c>
      <c r="F8" s="3216">
        <f ca="1">INDIRECT("'数据-取费表'!ai"&amp;$G$1)</f>
        <v>0</v>
      </c>
      <c r="G8" s="3205"/>
      <c r="H8" s="3223"/>
      <c r="I8" s="3510"/>
      <c r="J8" s="3224"/>
      <c r="K8" s="3221"/>
      <c r="L8" s="3215" t="s">
        <v>3005</v>
      </c>
      <c r="M8" s="3216">
        <f ca="1">INDIRECT("'数据-取费表'!ai"&amp;$G$1)</f>
        <v>0</v>
      </c>
    </row>
    <row r="9" spans="1:37" ht="18" customHeight="1">
      <c r="A9" s="3223"/>
      <c r="B9" s="3511"/>
      <c r="C9" s="3224"/>
      <c r="D9" s="3221"/>
      <c r="E9" s="3215" t="s">
        <v>3006</v>
      </c>
      <c r="F9" s="3225">
        <f ca="1">INDIRECT("'数据-取费表'!w"&amp;$G$1)</f>
        <v>0</v>
      </c>
      <c r="G9" s="3205"/>
      <c r="H9" s="3223"/>
      <c r="I9" s="3511"/>
      <c r="J9" s="3224"/>
      <c r="K9" s="3221"/>
      <c r="L9" s="3226" t="s">
        <v>3006</v>
      </c>
      <c r="M9" s="3227">
        <f ca="1">INDIRECT("'数据-取费表'!ab"&amp;$G$1)</f>
        <v>0</v>
      </c>
    </row>
    <row r="10" spans="1:37" ht="18" customHeight="1">
      <c r="A10" s="3212" t="s">
        <v>3007</v>
      </c>
      <c r="B10" s="3228" t="s">
        <v>3008</v>
      </c>
      <c r="C10" s="3229">
        <f>ROUND(IF(F10="押一",F6*F8*F7/12*F11,IF(F10="押二",F6*F8*F7/12*2*F11,IF(F10="押三",F6*F8*F7/12*3*F11,C11*F11))),0)</f>
        <v>0</v>
      </c>
      <c r="D10" s="3230" t="s">
        <v>3009</v>
      </c>
      <c r="E10" s="3226" t="s">
        <v>3010</v>
      </c>
      <c r="F10" s="3231"/>
      <c r="G10" s="3205"/>
      <c r="H10" s="3212" t="s">
        <v>3007</v>
      </c>
      <c r="I10" s="3228" t="s">
        <v>3008</v>
      </c>
      <c r="J10" s="3217">
        <f>ROUND(IF(M10="押一",M6*M8*M7/12*M11,IF(M10="押二",M6*M8*M7/12*2*M11,IF(M10="押三",M6*M8*M7/12*3*M11,J11*M11))),0)</f>
        <v>0</v>
      </c>
      <c r="K10" s="3232" t="s">
        <v>3011</v>
      </c>
      <c r="L10" s="3226" t="s">
        <v>3010</v>
      </c>
      <c r="M10" s="3231"/>
    </row>
    <row r="11" spans="1:37" ht="18" customHeight="1">
      <c r="A11" s="3233"/>
      <c r="B11" s="3234" t="s">
        <v>3012</v>
      </c>
      <c r="C11" s="3235"/>
      <c r="D11" s="3221"/>
      <c r="E11" s="3226" t="s">
        <v>3013</v>
      </c>
      <c r="F11" s="3227">
        <f>'[1]数据-取费表'!B39</f>
        <v>0</v>
      </c>
      <c r="G11" s="3205"/>
      <c r="H11" s="3236"/>
      <c r="I11" s="3234" t="s">
        <v>3014</v>
      </c>
      <c r="J11" s="3235"/>
      <c r="K11" s="3237"/>
      <c r="L11" s="3226" t="s">
        <v>3013</v>
      </c>
      <c r="M11" s="3238">
        <f>'[1]数据-取费表'!B39</f>
        <v>0</v>
      </c>
    </row>
    <row r="12" spans="1:37" ht="18" customHeight="1" thickBot="1">
      <c r="A12" s="3239" t="s">
        <v>3015</v>
      </c>
      <c r="B12" s="3240" t="s">
        <v>3016</v>
      </c>
      <c r="C12" s="3241"/>
      <c r="D12" s="3242"/>
      <c r="E12" s="3243"/>
      <c r="F12" s="3244"/>
      <c r="G12" s="3205"/>
      <c r="H12" s="3239" t="s">
        <v>3015</v>
      </c>
      <c r="I12" s="3240" t="s">
        <v>3016</v>
      </c>
      <c r="J12" s="3241"/>
      <c r="K12" s="3245"/>
      <c r="L12" s="3243"/>
      <c r="M12" s="3246"/>
    </row>
    <row r="13" spans="1:37" ht="18" customHeight="1" thickTop="1">
      <c r="A13" s="3247">
        <v>2</v>
      </c>
      <c r="B13" s="3248" t="s">
        <v>3017</v>
      </c>
      <c r="C13" s="3249">
        <f ca="1">ROUND(C29*F13,0)</f>
        <v>0</v>
      </c>
      <c r="D13" s="3250" t="s">
        <v>3018</v>
      </c>
      <c r="E13" s="3250" t="s">
        <v>3019</v>
      </c>
      <c r="F13" s="3251">
        <f ca="1">INDIRECT("'数据-取费表'!y"&amp;$G$1)</f>
        <v>0</v>
      </c>
      <c r="G13" s="3205"/>
      <c r="H13" s="3247">
        <v>2</v>
      </c>
      <c r="I13" s="3248" t="s">
        <v>3017</v>
      </c>
      <c r="J13" s="3252">
        <f ca="1">ROUND(J14*J15,0)</f>
        <v>0</v>
      </c>
      <c r="K13" s="3253" t="s">
        <v>3018</v>
      </c>
      <c r="L13" s="3254"/>
      <c r="M13" s="3255"/>
    </row>
    <row r="14" spans="1:37" ht="18" customHeight="1">
      <c r="A14" s="3256" t="s">
        <v>3020</v>
      </c>
      <c r="B14" s="3215" t="s">
        <v>3021</v>
      </c>
      <c r="C14" s="3257">
        <f ca="1">ROUND(INDIRECT("'数据-取费表'!l"&amp;$G$1)*F43+'[1]数据-取费表'!L14*INDIRECT("'数据-取费表'!S"&amp;$G$1),0)</f>
        <v>936334074</v>
      </c>
      <c r="D14" s="3258" t="s">
        <v>3022</v>
      </c>
      <c r="E14" s="3259"/>
      <c r="F14" s="3260"/>
      <c r="G14" s="3205"/>
      <c r="H14" s="3256" t="s">
        <v>3023</v>
      </c>
      <c r="I14" s="3215" t="s">
        <v>3024</v>
      </c>
      <c r="J14" s="3261">
        <f ca="1">C29</f>
        <v>1076784185</v>
      </c>
      <c r="K14" s="3262"/>
      <c r="L14" s="3263"/>
      <c r="M14" s="3264"/>
    </row>
    <row r="15" spans="1:37" s="3273" customFormat="1" ht="18" customHeight="1" thickBot="1">
      <c r="A15" s="3256" t="s">
        <v>3025</v>
      </c>
      <c r="B15" s="3215" t="s">
        <v>3026</v>
      </c>
      <c r="C15" s="3261">
        <f ca="1">ROUND(C14*F15,0)</f>
        <v>0</v>
      </c>
      <c r="D15" s="3265" t="s">
        <v>3027</v>
      </c>
      <c r="E15" s="3265" t="s">
        <v>3028</v>
      </c>
      <c r="F15" s="3266">
        <f>'[1]数据-取费表'!B33</f>
        <v>0</v>
      </c>
      <c r="G15" s="3267"/>
      <c r="H15" s="3268" t="s">
        <v>3007</v>
      </c>
      <c r="I15" s="3243" t="s">
        <v>3019</v>
      </c>
      <c r="J15" s="3246">
        <f ca="1">INDIRECT("'数据-取费表'!ad"&amp;$G$1)</f>
        <v>0</v>
      </c>
      <c r="K15" s="3269"/>
      <c r="L15" s="3270"/>
      <c r="M15" s="3271"/>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2"/>
      <c r="AK15" s="3272"/>
    </row>
    <row r="16" spans="1:37" ht="18" customHeight="1" thickTop="1">
      <c r="A16" s="3256" t="s">
        <v>3029</v>
      </c>
      <c r="B16" s="3215" t="s">
        <v>3030</v>
      </c>
      <c r="C16" s="3261">
        <f ca="1">ROUND(INDIRECT("'数据-取费表'!l"&amp;$G$1)*F43*F16,0)</f>
        <v>0</v>
      </c>
      <c r="D16" s="3215" t="s">
        <v>3031</v>
      </c>
      <c r="E16" s="3215" t="s">
        <v>3032</v>
      </c>
      <c r="F16" s="3274">
        <f ca="1">IF(INDIRECT("'数据-取费表'!c"&amp;$G$1)="住宅",'[1]数据-取费表'!B34,0)</f>
        <v>0</v>
      </c>
      <c r="G16" s="3205"/>
      <c r="H16" s="3247" t="s">
        <v>3033</v>
      </c>
      <c r="I16" s="3248" t="s">
        <v>3034</v>
      </c>
      <c r="J16" s="3249">
        <f ca="1">ROUND(J17+J22+J23+J24,0)</f>
        <v>9044987</v>
      </c>
      <c r="K16" s="3253" t="s">
        <v>3035</v>
      </c>
      <c r="L16" s="3275"/>
      <c r="M16" s="3211"/>
    </row>
    <row r="17" spans="1:37" s="3273" customFormat="1" ht="18" customHeight="1">
      <c r="A17" s="3256" t="s">
        <v>3036</v>
      </c>
      <c r="B17" s="3215" t="s">
        <v>3037</v>
      </c>
      <c r="C17" s="3261">
        <f ca="1">ROUND(F17*(F43+INDIRECT("'数据-取费表'!S"&amp;$G$1)),0)</f>
        <v>0</v>
      </c>
      <c r="D17" s="3215" t="s">
        <v>3038</v>
      </c>
      <c r="E17" s="3215" t="s">
        <v>3039</v>
      </c>
      <c r="F17" s="3276">
        <f>'[1]数据-取费表'!B35</f>
        <v>0</v>
      </c>
      <c r="G17" s="3267"/>
      <c r="H17" s="3256" t="s">
        <v>2999</v>
      </c>
      <c r="I17" s="3215" t="s">
        <v>3040</v>
      </c>
      <c r="J17" s="3261">
        <f ca="1">ROUND(IF([1]项目基本情况!B11="自然人",J5*M17,J18+J19+J20),0)</f>
        <v>9044987</v>
      </c>
      <c r="K17" s="3258" t="s">
        <v>3041</v>
      </c>
      <c r="L17" s="3277" t="s">
        <v>3042</v>
      </c>
      <c r="M17" s="3278">
        <f ca="1">IF([1]项目基本情况!B11="企业","",IF(INDIRECT("'数据-取费表'!c"&amp;$G$1)="住宅",5%,IF(M6*M7*M8/12/(1+'[1]数据-取费表'!C42)&gt;20000,12%,7%)))</f>
        <v>0.05</v>
      </c>
      <c r="N17" s="3272"/>
      <c r="O17" s="3272"/>
      <c r="P17" s="3272"/>
      <c r="Q17" s="3272"/>
      <c r="R17" s="3272"/>
      <c r="S17" s="3272"/>
      <c r="T17" s="3272"/>
      <c r="U17" s="3272"/>
      <c r="V17" s="3272"/>
      <c r="W17" s="3272"/>
      <c r="X17" s="3272"/>
      <c r="Y17" s="3272"/>
      <c r="Z17" s="3272"/>
      <c r="AA17" s="3272"/>
      <c r="AB17" s="3272"/>
      <c r="AC17" s="3272"/>
      <c r="AD17" s="3272"/>
      <c r="AE17" s="3272"/>
      <c r="AF17" s="3272"/>
      <c r="AG17" s="3272"/>
      <c r="AH17" s="3272"/>
      <c r="AI17" s="3272"/>
      <c r="AJ17" s="3272"/>
      <c r="AK17" s="3272"/>
    </row>
    <row r="18" spans="1:37" s="3273" customFormat="1" ht="18" customHeight="1">
      <c r="A18" s="3256" t="s">
        <v>3043</v>
      </c>
      <c r="B18" s="3215" t="s">
        <v>3044</v>
      </c>
      <c r="C18" s="3261">
        <f ca="1">ROUND(C14*F18,0)</f>
        <v>0</v>
      </c>
      <c r="D18" s="3215" t="s">
        <v>3027</v>
      </c>
      <c r="E18" s="3215" t="s">
        <v>3028</v>
      </c>
      <c r="F18" s="3274">
        <f>'[1]数据-取费表'!B36</f>
        <v>0</v>
      </c>
      <c r="G18" s="3267"/>
      <c r="H18" s="3256" t="s">
        <v>3020</v>
      </c>
      <c r="I18" s="3215" t="s">
        <v>3045</v>
      </c>
      <c r="J18" s="3261">
        <f ca="1">ROUND(J5*M18/(1+'[1]数据-取费表'!C42),0)</f>
        <v>0</v>
      </c>
      <c r="K18" s="3277" t="s">
        <v>3046</v>
      </c>
      <c r="L18" s="3215" t="s">
        <v>3032</v>
      </c>
      <c r="M18" s="3274">
        <f>'[1]数据-取费表'!B41</f>
        <v>0</v>
      </c>
      <c r="N18" s="3272"/>
      <c r="O18" s="3272"/>
      <c r="P18" s="3272"/>
      <c r="Q18" s="3272"/>
      <c r="R18" s="3272"/>
      <c r="S18" s="3272"/>
      <c r="T18" s="3272"/>
      <c r="U18" s="3272"/>
      <c r="V18" s="3272"/>
      <c r="W18" s="3272"/>
      <c r="X18" s="3272"/>
      <c r="Y18" s="3272"/>
      <c r="Z18" s="3272"/>
      <c r="AA18" s="3272"/>
      <c r="AB18" s="3272"/>
      <c r="AC18" s="3272"/>
      <c r="AD18" s="3272"/>
      <c r="AE18" s="3272"/>
      <c r="AF18" s="3272"/>
      <c r="AG18" s="3272"/>
      <c r="AH18" s="3272"/>
      <c r="AI18" s="3272"/>
      <c r="AJ18" s="3272"/>
      <c r="AK18" s="3272"/>
    </row>
    <row r="19" spans="1:37" ht="18" customHeight="1">
      <c r="A19" s="3256" t="s">
        <v>3023</v>
      </c>
      <c r="B19" s="3215" t="s">
        <v>3047</v>
      </c>
      <c r="C19" s="3261">
        <f ca="1">SUM(C14:C18)</f>
        <v>936334074</v>
      </c>
      <c r="D19" s="3279" t="s">
        <v>3048</v>
      </c>
      <c r="E19" s="3280"/>
      <c r="F19" s="3276"/>
      <c r="G19" s="3205"/>
      <c r="H19" s="3256" t="s">
        <v>3025</v>
      </c>
      <c r="I19" s="3215" t="s">
        <v>3049</v>
      </c>
      <c r="J19" s="3261">
        <f ca="1">IF(K19="按租金收入计税",ROUND(J5*M19,0),ROUND(C29*M19*0.7,0))</f>
        <v>9044987</v>
      </c>
      <c r="K19" s="3281" t="s">
        <v>3050</v>
      </c>
      <c r="L19" s="3215" t="s">
        <v>3028</v>
      </c>
      <c r="M19" s="3274">
        <f>IF(K19="按租金收入计税",'[1]数据-取费表'!B51,'[1]数据-取费表'!B50)</f>
        <v>1.2E-2</v>
      </c>
    </row>
    <row r="20" spans="1:37" s="3273" customFormat="1" ht="18" customHeight="1">
      <c r="A20" s="3256" t="s">
        <v>3007</v>
      </c>
      <c r="B20" s="3215" t="s">
        <v>3051</v>
      </c>
      <c r="C20" s="3261">
        <f ca="1">ROUND(C19*F20,0)</f>
        <v>0</v>
      </c>
      <c r="D20" s="3282" t="s">
        <v>3052</v>
      </c>
      <c r="E20" s="3215" t="s">
        <v>3028</v>
      </c>
      <c r="F20" s="3274">
        <f>'[1]数据-取费表'!B37</f>
        <v>0</v>
      </c>
      <c r="G20" s="3267"/>
      <c r="H20" s="3256" t="s">
        <v>3029</v>
      </c>
      <c r="I20" s="3214" t="s">
        <v>3053</v>
      </c>
      <c r="J20" s="3283">
        <f ca="1">ROUND(M20*M21,0)</f>
        <v>0</v>
      </c>
      <c r="K20" s="3284" t="s">
        <v>3054</v>
      </c>
      <c r="L20" s="3215" t="s">
        <v>3055</v>
      </c>
      <c r="M20" s="3285">
        <f>'[1]数据-取费表'!B52</f>
        <v>0</v>
      </c>
      <c r="N20" s="3272"/>
      <c r="O20" s="3272"/>
      <c r="P20" s="3272"/>
      <c r="Q20" s="3272"/>
      <c r="R20" s="3272"/>
      <c r="S20" s="3272"/>
      <c r="T20" s="3272"/>
      <c r="U20" s="3272"/>
      <c r="V20" s="3272"/>
      <c r="W20" s="3272"/>
      <c r="X20" s="3272"/>
      <c r="Y20" s="3272"/>
      <c r="Z20" s="3272"/>
      <c r="AA20" s="3272"/>
      <c r="AB20" s="3272"/>
      <c r="AC20" s="3272"/>
      <c r="AD20" s="3272"/>
      <c r="AE20" s="3272"/>
      <c r="AF20" s="3272"/>
      <c r="AG20" s="3272"/>
      <c r="AH20" s="3272"/>
      <c r="AI20" s="3272"/>
      <c r="AJ20" s="3272"/>
      <c r="AK20" s="3272"/>
    </row>
    <row r="21" spans="1:37" s="3273" customFormat="1" ht="18" customHeight="1">
      <c r="A21" s="3256" t="s">
        <v>3015</v>
      </c>
      <c r="B21" s="3215" t="s">
        <v>3056</v>
      </c>
      <c r="C21" s="3261" t="s">
        <v>3057</v>
      </c>
      <c r="D21" s="3282" t="s">
        <v>3058</v>
      </c>
      <c r="E21" s="3215" t="s">
        <v>3059</v>
      </c>
      <c r="F21" s="3274">
        <f>'[1]数据-取费表'!B38</f>
        <v>0</v>
      </c>
      <c r="G21" s="3267"/>
      <c r="H21" s="3286"/>
      <c r="I21" s="3287"/>
      <c r="J21" s="3288"/>
      <c r="K21" s="3289"/>
      <c r="L21" s="3215" t="s">
        <v>3060</v>
      </c>
      <c r="M21" s="3216">
        <f ca="1">INDIRECT("'数据-取费表'!r"&amp;$G$1)</f>
        <v>116017.93</v>
      </c>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2"/>
      <c r="AK21" s="3272"/>
    </row>
    <row r="22" spans="1:37" ht="18" customHeight="1">
      <c r="A22" s="3256" t="s">
        <v>3061</v>
      </c>
      <c r="B22" s="3215" t="s">
        <v>3062</v>
      </c>
      <c r="C22" s="3261"/>
      <c r="D22" s="3279" t="str">
        <f>IF(F23&lt;=1,"单利计息。","复利计息。")&amp;"建造成本、管理费用、销售费用产生的利息。"</f>
        <v>单利计息。建造成本、管理费用、销售费用产生的利息。</v>
      </c>
      <c r="E22" s="3280"/>
      <c r="F22" s="3276"/>
      <c r="G22" s="3205"/>
      <c r="H22" s="3256" t="s">
        <v>3007</v>
      </c>
      <c r="I22" s="3215" t="s">
        <v>3063</v>
      </c>
      <c r="J22" s="3261">
        <f ca="1">ROUND(J14*M22,0)</f>
        <v>0</v>
      </c>
      <c r="K22" s="3277" t="s">
        <v>3064</v>
      </c>
      <c r="L22" s="3215" t="s">
        <v>3028</v>
      </c>
      <c r="M22" s="3290">
        <f ca="1">INDIRECT("'数据-取费表'!Ak"&amp;$G$1)</f>
        <v>0</v>
      </c>
    </row>
    <row r="23" spans="1:37" s="3273" customFormat="1" ht="18" customHeight="1">
      <c r="A23" s="3256" t="s">
        <v>3020</v>
      </c>
      <c r="B23" s="3215" t="s">
        <v>3065</v>
      </c>
      <c r="C23" s="3261">
        <f ca="1">IF('[1]数据-取费表'!B22&lt;=1,ROUND(C19*F24*F23/2,0)+ROUND(C20*F24*F23/2,0),ROUND(C19*(POWER((1+F24),F23/2)-1),0)+ROUND(C20*(POWER((1+F24),F23/2)-1),0))</f>
        <v>0</v>
      </c>
      <c r="D23" s="3291" t="str">
        <f>IF(F23&lt;=1,"(建造成本+管理费用)×利率×(建设周期÷2)","(建造成本+管理费用)×((1+利率)^(建设周期÷2)-1)")</f>
        <v>(建造成本+管理费用)×利率×(建设周期÷2)</v>
      </c>
      <c r="E23" s="3215" t="s">
        <v>3066</v>
      </c>
      <c r="F23" s="3285">
        <f>'[1]数据-取费表'!B20</f>
        <v>0</v>
      </c>
      <c r="G23" s="3267"/>
      <c r="H23" s="3256" t="s">
        <v>3015</v>
      </c>
      <c r="I23" s="3215" t="s">
        <v>3067</v>
      </c>
      <c r="J23" s="3261">
        <f ca="1">ROUND(J13*M23,0)</f>
        <v>0</v>
      </c>
      <c r="K23" s="3277" t="s">
        <v>3068</v>
      </c>
      <c r="L23" s="3215" t="s">
        <v>3028</v>
      </c>
      <c r="M23" s="3292">
        <f ca="1">INDIRECT("'数据-取费表'!Al"&amp;$G$1)</f>
        <v>0</v>
      </c>
      <c r="N23" s="3272"/>
      <c r="O23" s="3272"/>
      <c r="P23" s="3272"/>
      <c r="Q23" s="3272"/>
      <c r="R23" s="3272"/>
      <c r="S23" s="3272"/>
      <c r="T23" s="3272"/>
      <c r="U23" s="3272"/>
      <c r="V23" s="3272"/>
      <c r="W23" s="3272"/>
      <c r="X23" s="3272"/>
      <c r="Y23" s="3272"/>
      <c r="Z23" s="3272"/>
      <c r="AA23" s="3272"/>
      <c r="AB23" s="3272"/>
      <c r="AC23" s="3272"/>
      <c r="AD23" s="3272"/>
      <c r="AE23" s="3272"/>
      <c r="AF23" s="3272"/>
      <c r="AG23" s="3272"/>
      <c r="AH23" s="3272"/>
      <c r="AI23" s="3272"/>
      <c r="AJ23" s="3272"/>
      <c r="AK23" s="3272"/>
    </row>
    <row r="24" spans="1:37" s="3273" customFormat="1" ht="18" customHeight="1" thickBot="1">
      <c r="A24" s="3256" t="s">
        <v>3069</v>
      </c>
      <c r="B24" s="3215" t="s">
        <v>3070</v>
      </c>
      <c r="C24" s="3261">
        <f>ROUND(IF('[1]数据-取费表'!B22&lt;=1,F21*F24*F23/2,F21*(POWER((1+F24),F23/2)-1)),4)</f>
        <v>0</v>
      </c>
      <c r="D24" s="3291" t="str">
        <f>IF(F23&lt;=1,"销售费用×利率×(建设周期÷2)","销售费用×((1+利率)^(建设周期÷2)-1)")</f>
        <v>销售费用×利率×(建设周期÷2)</v>
      </c>
      <c r="E24" s="3215" t="s">
        <v>3071</v>
      </c>
      <c r="F24" s="3293">
        <f>'[1]数据-取费表'!B40</f>
        <v>0</v>
      </c>
      <c r="G24" s="3267"/>
      <c r="H24" s="3268" t="s">
        <v>3061</v>
      </c>
      <c r="I24" s="3243" t="s">
        <v>3051</v>
      </c>
      <c r="J24" s="3294">
        <f ca="1">ROUND(J5*M24,0)</f>
        <v>0</v>
      </c>
      <c r="K24" s="3295" t="s">
        <v>3072</v>
      </c>
      <c r="L24" s="3243" t="s">
        <v>3028</v>
      </c>
      <c r="M24" s="3244">
        <f ca="1">INDIRECT("'数据-取费表'!Am"&amp;$G$1)</f>
        <v>0</v>
      </c>
      <c r="N24" s="3272"/>
      <c r="O24" s="3272"/>
      <c r="P24" s="3272"/>
      <c r="Q24" s="3272"/>
      <c r="R24" s="3272"/>
      <c r="S24" s="3272"/>
      <c r="T24" s="3272"/>
      <c r="U24" s="3272"/>
      <c r="V24" s="3272"/>
      <c r="W24" s="3272"/>
      <c r="X24" s="3272"/>
      <c r="Y24" s="3272"/>
      <c r="Z24" s="3272"/>
      <c r="AA24" s="3272"/>
      <c r="AB24" s="3272"/>
      <c r="AC24" s="3272"/>
      <c r="AD24" s="3272"/>
      <c r="AE24" s="3272"/>
      <c r="AF24" s="3272"/>
      <c r="AG24" s="3272"/>
      <c r="AH24" s="3272"/>
      <c r="AI24" s="3272"/>
      <c r="AJ24" s="3272"/>
      <c r="AK24" s="3272"/>
    </row>
    <row r="25" spans="1:37" ht="18" customHeight="1" thickTop="1">
      <c r="A25" s="3256" t="s">
        <v>3073</v>
      </c>
      <c r="B25" s="3215" t="s">
        <v>3074</v>
      </c>
      <c r="C25" s="3261"/>
      <c r="D25" s="3279" t="s">
        <v>3075</v>
      </c>
      <c r="E25" s="3280"/>
      <c r="F25" s="3276"/>
      <c r="G25" s="3205"/>
      <c r="H25" s="3247" t="s">
        <v>3076</v>
      </c>
      <c r="I25" s="3296" t="s">
        <v>3077</v>
      </c>
      <c r="J25" s="3249">
        <f ca="1">J5-J16</f>
        <v>-9044987</v>
      </c>
      <c r="K25" s="3297" t="s">
        <v>3078</v>
      </c>
      <c r="L25" s="3298"/>
      <c r="M25" s="3299"/>
    </row>
    <row r="26" spans="1:37" ht="18" customHeight="1">
      <c r="A26" s="3256" t="s">
        <v>3020</v>
      </c>
      <c r="B26" s="3215" t="s">
        <v>3079</v>
      </c>
      <c r="C26" s="3261">
        <f ca="1">ROUND((C19+C20)*F26,0)</f>
        <v>140450111</v>
      </c>
      <c r="D26" s="3282" t="s">
        <v>3080</v>
      </c>
      <c r="E26" s="3226" t="s">
        <v>3081</v>
      </c>
      <c r="F26" s="3225">
        <f ca="1">INDIRECT("'数据-取费表'!q"&amp;$G$1)</f>
        <v>0.15</v>
      </c>
      <c r="G26" s="3205"/>
      <c r="H26" s="3206" t="s">
        <v>3082</v>
      </c>
      <c r="I26" s="3207" t="s">
        <v>3083</v>
      </c>
      <c r="J26" s="3217">
        <f ca="1">IF(J5&lt;&gt;0,ROUND(J25*(1-((1+M28)/(1+M26))^M27)/(M26-M28),0),0)</f>
        <v>0</v>
      </c>
      <c r="K26" s="3284" t="s">
        <v>3084</v>
      </c>
      <c r="L26" s="3215" t="s">
        <v>3085</v>
      </c>
      <c r="M26" s="3225">
        <f ca="1">INDIRECT("'数据-取费表'!I"&amp;$G$1)</f>
        <v>0.05</v>
      </c>
    </row>
    <row r="27" spans="1:37" ht="18" customHeight="1">
      <c r="A27" s="3256" t="s">
        <v>3069</v>
      </c>
      <c r="B27" s="3215" t="s">
        <v>3086</v>
      </c>
      <c r="C27" s="3261">
        <f ca="1">ROUND(F21*F26,4)</f>
        <v>0</v>
      </c>
      <c r="D27" s="3282" t="s">
        <v>3087</v>
      </c>
      <c r="E27" s="3265"/>
      <c r="F27" s="3266"/>
      <c r="G27" s="3205"/>
      <c r="H27" s="3223"/>
      <c r="I27" s="3300"/>
      <c r="J27" s="3224"/>
      <c r="K27" s="3301" t="s">
        <v>3088</v>
      </c>
      <c r="L27" s="3215" t="s">
        <v>3089</v>
      </c>
      <c r="M27" s="3302">
        <f ca="1">INDIRECT("'数据-取费表'!ag"&amp;$G$1)</f>
        <v>0</v>
      </c>
    </row>
    <row r="28" spans="1:37" s="3273" customFormat="1" ht="18" customHeight="1">
      <c r="A28" s="3256" t="s">
        <v>3090</v>
      </c>
      <c r="B28" s="3215" t="s">
        <v>3091</v>
      </c>
      <c r="C28" s="3261">
        <f>ROUND(F28/(1+'[1]数据-取费表'!C42),4)</f>
        <v>0</v>
      </c>
      <c r="D28" s="3282" t="s">
        <v>3092</v>
      </c>
      <c r="E28" s="3215" t="s">
        <v>3028</v>
      </c>
      <c r="F28" s="3274">
        <f>'[1]数据-取费表'!B41</f>
        <v>0</v>
      </c>
      <c r="G28" s="3267"/>
      <c r="H28" s="3233"/>
      <c r="I28" s="3303"/>
      <c r="J28" s="3249"/>
      <c r="K28" s="3289"/>
      <c r="L28" s="3215" t="s">
        <v>3093</v>
      </c>
      <c r="M28" s="3225">
        <f ca="1">INDIRECT("'数据-取费表'!aa"&amp;$G$1)</f>
        <v>0</v>
      </c>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row>
    <row r="29" spans="1:37" s="3273" customFormat="1" ht="18" customHeight="1" thickBot="1">
      <c r="A29" s="3268" t="s">
        <v>3094</v>
      </c>
      <c r="B29" s="3243" t="s">
        <v>3095</v>
      </c>
      <c r="C29" s="3294">
        <f ca="1">ROUND((C19+C20+C23+C26)/(1-F21-C24-C27-C28),0)</f>
        <v>1076784185</v>
      </c>
      <c r="D29" s="3295"/>
      <c r="E29" s="3243"/>
      <c r="F29" s="3304"/>
      <c r="G29" s="3267"/>
      <c r="H29" s="3305" t="s">
        <v>3096</v>
      </c>
      <c r="I29" s="3306" t="s">
        <v>3097</v>
      </c>
      <c r="J29" s="3307">
        <f ca="1">ROUND(J26/(1+F40)^F41,0)</f>
        <v>0</v>
      </c>
      <c r="K29" s="3308" t="s">
        <v>3098</v>
      </c>
      <c r="L29" s="3309"/>
      <c r="M29" s="3310">
        <f ca="1">INDIRECT("'数据-取费表'!k"&amp;$G$1)</f>
        <v>360128.49</v>
      </c>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K29" s="3272"/>
    </row>
    <row r="30" spans="1:37" ht="18" customHeight="1" thickTop="1">
      <c r="A30" s="3247" t="s">
        <v>3099</v>
      </c>
      <c r="B30" s="3248" t="s">
        <v>3034</v>
      </c>
      <c r="C30" s="3249">
        <f ca="1">ROUND(C31+C36+C37+C38,0)</f>
        <v>9044987</v>
      </c>
      <c r="D30" s="3253" t="s">
        <v>3035</v>
      </c>
      <c r="E30" s="3275"/>
      <c r="F30" s="3211"/>
      <c r="G30" s="3205"/>
      <c r="H30" s="3311"/>
      <c r="I30" s="3312"/>
      <c r="J30" s="3313"/>
      <c r="K30" s="3237"/>
      <c r="L30" s="3314"/>
      <c r="M30" s="3315"/>
    </row>
    <row r="31" spans="1:37" ht="18" customHeight="1">
      <c r="A31" s="3256" t="s">
        <v>2999</v>
      </c>
      <c r="B31" s="3215" t="s">
        <v>3040</v>
      </c>
      <c r="C31" s="3261">
        <f ca="1">ROUND(IF([1]项目基本情况!B11="自然人",C5*F31,C32+C33+C34),0)</f>
        <v>9044987</v>
      </c>
      <c r="D31" s="3258" t="s">
        <v>3041</v>
      </c>
      <c r="E31" s="3277" t="s">
        <v>3042</v>
      </c>
      <c r="F31" s="3278">
        <f ca="1">IF([1]项目基本情况!B11="企业","",IF(INDIRECT("'数据-取费表'!c"&amp;$G$1)="住宅",5%,IF(F6*F7*F8/12/(1+'[1]数据-取费表'!C42)&gt;20000,12%,7%)))</f>
        <v>0.05</v>
      </c>
      <c r="G31" s="3205"/>
      <c r="H31" s="3311"/>
      <c r="I31" s="3312"/>
      <c r="J31" s="3313"/>
      <c r="K31" s="3237"/>
      <c r="L31" s="3314"/>
      <c r="M31" s="3315"/>
    </row>
    <row r="32" spans="1:37" ht="18" customHeight="1">
      <c r="A32" s="3256" t="s">
        <v>3020</v>
      </c>
      <c r="B32" s="3215" t="s">
        <v>3100</v>
      </c>
      <c r="C32" s="3261">
        <f ca="1">IF([1]项目基本情况!B11="自然人","——",ROUND(C5*F32/(1+'[1]数据-取费表'!C42),0))</f>
        <v>0</v>
      </c>
      <c r="D32" s="3277" t="s">
        <v>3101</v>
      </c>
      <c r="E32" s="3215" t="s">
        <v>3028</v>
      </c>
      <c r="F32" s="3293">
        <f>'[1]数据-取费表'!B41</f>
        <v>0</v>
      </c>
      <c r="G32" s="3205"/>
      <c r="H32" s="3311"/>
      <c r="I32" s="3312"/>
      <c r="J32" s="3313"/>
      <c r="K32" s="3237"/>
      <c r="L32" s="3314"/>
      <c r="M32" s="3315"/>
    </row>
    <row r="33" spans="1:18" ht="18" customHeight="1">
      <c r="A33" s="3256" t="s">
        <v>3069</v>
      </c>
      <c r="B33" s="3215" t="s">
        <v>3049</v>
      </c>
      <c r="C33" s="3261">
        <f ca="1">IF([1]项目基本情况!B11="自然人","——",IF(D33="按租金收入计税",ROUND(C5*F33,0),IF(D33="按房产原值计税",ROUND(C29*F33*0.7,0),INDIRECT("'数据-取费表'!Aj"&amp;$G$1))))</f>
        <v>9044987</v>
      </c>
      <c r="D33" s="3281" t="s">
        <v>3050</v>
      </c>
      <c r="E33" s="3215" t="s">
        <v>3028</v>
      </c>
      <c r="F33" s="3274">
        <f>IF(D33="按票据","——",IF(D33="按租金收入计税",'[1]数据-取费表'!B51,'[1]数据-取费表'!B50))</f>
        <v>1.2E-2</v>
      </c>
      <c r="G33" s="3205"/>
      <c r="H33" s="3316"/>
      <c r="I33" s="3317"/>
      <c r="J33" s="3318"/>
      <c r="K33" s="3319"/>
      <c r="L33" s="3316"/>
      <c r="M33" s="3316"/>
    </row>
    <row r="34" spans="1:18" ht="18" customHeight="1">
      <c r="A34" s="3212" t="s">
        <v>3029</v>
      </c>
      <c r="B34" s="3214" t="s">
        <v>3053</v>
      </c>
      <c r="C34" s="3283">
        <f ca="1">IF([1]项目基本情况!B11="自然人","——",ROUND(F34*F35,))</f>
        <v>0</v>
      </c>
      <c r="D34" s="3284" t="s">
        <v>3054</v>
      </c>
      <c r="E34" s="3215" t="s">
        <v>3055</v>
      </c>
      <c r="F34" s="3285">
        <f>'[1]数据-取费表'!B52</f>
        <v>0</v>
      </c>
      <c r="G34" s="3205"/>
      <c r="H34" s="3311"/>
      <c r="I34" s="3317"/>
      <c r="J34" s="3318"/>
      <c r="K34" s="3320"/>
      <c r="L34" s="3321"/>
      <c r="M34" s="3321"/>
    </row>
    <row r="35" spans="1:18" ht="18" customHeight="1">
      <c r="A35" s="3322"/>
      <c r="B35" s="3323"/>
      <c r="C35" s="3288"/>
      <c r="D35" s="3289"/>
      <c r="E35" s="3215" t="s">
        <v>3060</v>
      </c>
      <c r="F35" s="3216">
        <f ca="1">INDIRECT("'数据-取费表'!r"&amp;$G$1)</f>
        <v>116017.93</v>
      </c>
      <c r="G35" s="3205"/>
      <c r="H35" s="3311"/>
      <c r="I35" s="3317"/>
      <c r="J35" s="3318"/>
      <c r="K35" s="3319"/>
      <c r="L35" s="3316"/>
      <c r="M35" s="3316"/>
    </row>
    <row r="36" spans="1:18" ht="18" customHeight="1">
      <c r="A36" s="3324" t="s">
        <v>3007</v>
      </c>
      <c r="B36" s="3215" t="s">
        <v>3063</v>
      </c>
      <c r="C36" s="3261">
        <f ca="1">ROUND(C29*F36,0)</f>
        <v>0</v>
      </c>
      <c r="D36" s="3277" t="s">
        <v>3102</v>
      </c>
      <c r="E36" s="3215" t="s">
        <v>3028</v>
      </c>
      <c r="F36" s="3290">
        <f ca="1">INDIRECT("'数据-取费表'!Ak"&amp;$G$1)</f>
        <v>0</v>
      </c>
      <c r="G36" s="3205"/>
      <c r="H36" s="3316"/>
      <c r="I36" s="3317"/>
      <c r="J36" s="3318"/>
      <c r="K36" s="3325"/>
      <c r="L36" s="3316"/>
      <c r="M36" s="3316"/>
    </row>
    <row r="37" spans="1:18" ht="18" customHeight="1">
      <c r="A37" s="3256" t="s">
        <v>3015</v>
      </c>
      <c r="B37" s="3215" t="s">
        <v>3067</v>
      </c>
      <c r="C37" s="3261">
        <f ca="1">ROUND(C13*F37,0)</f>
        <v>0</v>
      </c>
      <c r="D37" s="3277" t="s">
        <v>3068</v>
      </c>
      <c r="E37" s="3215" t="s">
        <v>3028</v>
      </c>
      <c r="F37" s="3292">
        <f ca="1">INDIRECT("'数据-取费表'!Al"&amp;$G$1)</f>
        <v>0</v>
      </c>
      <c r="G37" s="3205"/>
      <c r="H37" s="3316"/>
      <c r="I37" s="3317"/>
      <c r="J37" s="3318"/>
      <c r="K37" s="3325"/>
      <c r="L37" s="3316"/>
      <c r="M37" s="3316"/>
    </row>
    <row r="38" spans="1:18" ht="18" customHeight="1" thickBot="1">
      <c r="A38" s="3268" t="s">
        <v>3061</v>
      </c>
      <c r="B38" s="3243" t="s">
        <v>3051</v>
      </c>
      <c r="C38" s="3294">
        <f ca="1">ROUND(C5*F38,1)</f>
        <v>0</v>
      </c>
      <c r="D38" s="3295" t="s">
        <v>3072</v>
      </c>
      <c r="E38" s="3243" t="s">
        <v>3028</v>
      </c>
      <c r="F38" s="3244">
        <f ca="1">INDIRECT("'数据-取费表'!Am"&amp;$G$1)</f>
        <v>0</v>
      </c>
      <c r="G38" s="3205"/>
      <c r="H38" s="3316"/>
      <c r="I38" s="3317"/>
      <c r="J38" s="3318"/>
      <c r="K38" s="3326"/>
      <c r="L38" s="3316"/>
      <c r="M38" s="3316"/>
    </row>
    <row r="39" spans="1:18" ht="24.6" customHeight="1" thickTop="1">
      <c r="A39" s="3247" t="s">
        <v>3076</v>
      </c>
      <c r="B39" s="3296" t="s">
        <v>3077</v>
      </c>
      <c r="C39" s="3249">
        <f ca="1">C5-C30</f>
        <v>-9044987</v>
      </c>
      <c r="D39" s="3297" t="s">
        <v>3078</v>
      </c>
      <c r="E39" s="3298"/>
      <c r="F39" s="3299"/>
      <c r="G39" s="3205"/>
      <c r="H39" s="3316"/>
      <c r="I39" s="3317"/>
      <c r="J39" s="3318"/>
      <c r="K39" s="3326"/>
      <c r="L39" s="3316"/>
      <c r="M39" s="3316"/>
    </row>
    <row r="40" spans="1:18" ht="18" customHeight="1">
      <c r="A40" s="3206" t="s">
        <v>3082</v>
      </c>
      <c r="B40" s="3207" t="s">
        <v>3103</v>
      </c>
      <c r="C40" s="3217">
        <f ca="1">ROUND(C39*(1-((1+F42)/(1+F40))^F41)/(F40-F42),0)</f>
        <v>0</v>
      </c>
      <c r="D40" s="3284" t="s">
        <v>3084</v>
      </c>
      <c r="E40" s="3215" t="s">
        <v>3085</v>
      </c>
      <c r="F40" s="3225">
        <f ca="1">INDIRECT("'数据-取费表'!I"&amp;$G$1)</f>
        <v>0.05</v>
      </c>
      <c r="G40" s="3205"/>
      <c r="H40" s="3327"/>
      <c r="I40" s="3317"/>
      <c r="J40" s="3318"/>
      <c r="K40" s="3326"/>
      <c r="L40" s="3327"/>
      <c r="M40" s="3327"/>
    </row>
    <row r="41" spans="1:18" ht="18" customHeight="1">
      <c r="A41" s="3223"/>
      <c r="B41" s="3300"/>
      <c r="C41" s="3224"/>
      <c r="D41" s="3301" t="s">
        <v>3088</v>
      </c>
      <c r="E41" s="3215" t="s">
        <v>3089</v>
      </c>
      <c r="F41" s="3302">
        <f ca="1">IF(INDIRECT("'数据-取费表'!af"&amp;$G$1)=0,INDIRECT("'数据-取费表'!ae"&amp;$G$1),INDIRECT("'数据-取费表'!af"&amp;$G$1))</f>
        <v>0</v>
      </c>
      <c r="G41" s="3205"/>
      <c r="H41" s="3328"/>
      <c r="I41" s="3317"/>
      <c r="J41" s="3318"/>
      <c r="K41" s="3325"/>
      <c r="L41" s="3328"/>
      <c r="M41" s="3328"/>
    </row>
    <row r="42" spans="1:18" ht="18" customHeight="1">
      <c r="A42" s="3233"/>
      <c r="B42" s="3303"/>
      <c r="C42" s="3249"/>
      <c r="D42" s="3289"/>
      <c r="E42" s="3215" t="s">
        <v>3093</v>
      </c>
      <c r="F42" s="3225">
        <f ca="1">INDIRECT("'数据-取费表'!v"&amp;$G$1)</f>
        <v>0</v>
      </c>
      <c r="G42" s="3205"/>
      <c r="H42" s="3328"/>
      <c r="I42" s="3317"/>
      <c r="J42" s="3318"/>
      <c r="K42" s="3325"/>
      <c r="L42" s="3328"/>
      <c r="M42" s="3328"/>
    </row>
    <row r="43" spans="1:18" ht="18" customHeight="1" thickBot="1">
      <c r="A43" s="3305" t="s">
        <v>3096</v>
      </c>
      <c r="B43" s="3306" t="s">
        <v>3104</v>
      </c>
      <c r="C43" s="3307">
        <f ca="1">ROUND(C40/F43,0)</f>
        <v>0</v>
      </c>
      <c r="D43" s="3308" t="s">
        <v>3105</v>
      </c>
      <c r="E43" s="3309" t="s">
        <v>3106</v>
      </c>
      <c r="F43" s="3310">
        <f ca="1">INDIRECT("'数据-取费表'!k"&amp;$G$1)</f>
        <v>360128.49</v>
      </c>
      <c r="G43" s="3205"/>
      <c r="H43" s="3328"/>
      <c r="I43" s="3328"/>
      <c r="J43" s="3328"/>
      <c r="K43" s="3325"/>
      <c r="L43" s="3328"/>
      <c r="M43" s="3328"/>
    </row>
    <row r="44" spans="1:18" s="3196" customFormat="1" ht="18" customHeight="1">
      <c r="A44" s="3329"/>
      <c r="B44" s="3329"/>
      <c r="C44" s="3330"/>
      <c r="D44" s="3329"/>
      <c r="E44" s="3329"/>
      <c r="F44" s="3329"/>
      <c r="K44" s="3331"/>
    </row>
    <row r="45" spans="1:18" s="3196" customFormat="1" ht="18" customHeight="1" thickBot="1">
      <c r="A45" s="3329"/>
      <c r="B45" s="3329"/>
      <c r="C45" s="3332">
        <f ca="1">C68-C40</f>
        <v>0</v>
      </c>
      <c r="D45" s="3333" t="s">
        <v>3107</v>
      </c>
      <c r="E45" s="3329"/>
      <c r="F45" s="3329"/>
      <c r="O45" s="3334" t="s">
        <v>3108</v>
      </c>
      <c r="P45" s="3327"/>
      <c r="Q45" s="3327"/>
      <c r="R45" s="3327"/>
    </row>
    <row r="46" spans="1:18" s="3196" customFormat="1" ht="13.5" thickBot="1">
      <c r="A46" s="3335" t="s">
        <v>3109</v>
      </c>
      <c r="C46" s="3336">
        <f ca="1">ROUND(C45/10000,0)</f>
        <v>0</v>
      </c>
      <c r="D46" s="3337" t="str">
        <f>C2</f>
        <v>万元</v>
      </c>
      <c r="I46" s="3338" t="s">
        <v>3110</v>
      </c>
      <c r="J46" s="3339"/>
      <c r="K46" s="3340"/>
      <c r="L46" s="3341" t="e">
        <f ca="1">IF(M47="住宅",0,IF(L48&gt;J51,L60,J60))</f>
        <v>#DIV/0!</v>
      </c>
      <c r="O46" s="3342" t="s">
        <v>3111</v>
      </c>
      <c r="P46" s="3343" t="s">
        <v>3112</v>
      </c>
      <c r="Q46" s="3344" t="s">
        <v>3113</v>
      </c>
      <c r="R46" s="3344" t="s">
        <v>3114</v>
      </c>
    </row>
    <row r="47" spans="1:18" s="3196" customFormat="1" ht="13.5" thickBot="1">
      <c r="A47" s="3345" t="s">
        <v>2993</v>
      </c>
      <c r="B47" s="3346" t="s">
        <v>2994</v>
      </c>
      <c r="C47" s="3346" t="s">
        <v>2995</v>
      </c>
      <c r="D47" s="3346" t="s">
        <v>2996</v>
      </c>
      <c r="E47" s="3347" t="s">
        <v>2992</v>
      </c>
      <c r="F47" s="3348"/>
      <c r="G47" s="3349"/>
      <c r="I47" s="3350" t="s">
        <v>3115</v>
      </c>
      <c r="J47" s="3351"/>
      <c r="K47" s="3352" t="s">
        <v>3116</v>
      </c>
      <c r="L47" s="3353">
        <f ca="1">INDIRECT("'数据-取费表'!d"&amp;$G$1)</f>
        <v>70</v>
      </c>
      <c r="M47" s="3354" t="str">
        <f>IF(ISNUMBER(FIND("住宅",C1)),"住宅","非住宅")</f>
        <v>非住宅</v>
      </c>
      <c r="O47" s="3355" t="s">
        <v>2383</v>
      </c>
      <c r="P47" s="3356" t="s">
        <v>3117</v>
      </c>
      <c r="Q47" s="3357">
        <f ca="1">C40+J29</f>
        <v>0</v>
      </c>
      <c r="R47" s="3357" t="s">
        <v>3118</v>
      </c>
    </row>
    <row r="48" spans="1:18" s="3196" customFormat="1" ht="28.5" thickBot="1">
      <c r="A48" s="3358" t="s">
        <v>3119</v>
      </c>
      <c r="B48" s="3207" t="s">
        <v>2997</v>
      </c>
      <c r="C48" s="3359">
        <f ca="1">C49+C53+C55</f>
        <v>0</v>
      </c>
      <c r="D48" s="3360"/>
      <c r="E48" s="3361"/>
      <c r="F48" s="3362"/>
      <c r="G48" s="3349"/>
      <c r="H48" s="3363"/>
      <c r="I48" s="3364" t="s">
        <v>3120</v>
      </c>
      <c r="J48" s="3365"/>
      <c r="K48" s="3366" t="s">
        <v>3121</v>
      </c>
      <c r="L48" s="3367">
        <f ca="1">INDIRECT("'数据-取费表'!f"&amp;$G$1)</f>
        <v>69.37</v>
      </c>
      <c r="O48" s="3355" t="s">
        <v>2385</v>
      </c>
      <c r="P48" s="3356" t="s">
        <v>3122</v>
      </c>
      <c r="Q48" s="3357" t="str">
        <f ca="1">J60</f>
        <v>0</v>
      </c>
      <c r="R48" s="3357" t="s">
        <v>3123</v>
      </c>
    </row>
    <row r="49" spans="1:18" s="3196" customFormat="1" ht="13.5" thickBot="1">
      <c r="A49" s="3368" t="s">
        <v>3124</v>
      </c>
      <c r="B49" s="3369" t="s">
        <v>3125</v>
      </c>
      <c r="C49" s="3370">
        <f ca="1">ROUND(F49*F51*F50*(1-F52),0)</f>
        <v>0</v>
      </c>
      <c r="D49" s="3371" t="s">
        <v>3126</v>
      </c>
      <c r="E49" s="3372" t="s">
        <v>3127</v>
      </c>
      <c r="F49" s="3373"/>
      <c r="G49" s="3374"/>
      <c r="H49" s="3363"/>
      <c r="I49" s="3364" t="s">
        <v>3128</v>
      </c>
      <c r="J49" s="3375"/>
      <c r="K49" s="3366" t="s">
        <v>3129</v>
      </c>
      <c r="L49" s="3376"/>
      <c r="O49" s="3377" t="s">
        <v>2387</v>
      </c>
      <c r="P49" s="3356" t="s">
        <v>3130</v>
      </c>
      <c r="Q49" s="3357">
        <f ca="1">C29</f>
        <v>1076784185</v>
      </c>
      <c r="R49" s="3357" t="s">
        <v>3118</v>
      </c>
    </row>
    <row r="50" spans="1:18" s="3196" customFormat="1" ht="13.5" thickBot="1">
      <c r="A50" s="3378"/>
      <c r="B50" s="3379"/>
      <c r="C50" s="3380"/>
      <c r="D50" s="3381"/>
      <c r="E50" s="3382" t="s">
        <v>3004</v>
      </c>
      <c r="F50" s="3383">
        <f ca="1">F7</f>
        <v>360128.49</v>
      </c>
      <c r="H50" s="3363"/>
      <c r="I50" s="3364" t="s">
        <v>3131</v>
      </c>
      <c r="J50" s="3384">
        <f>SUMPRODUCT((I63:I65=J47)*(J62:L62=J48)*(J63:L65))</f>
        <v>0</v>
      </c>
      <c r="K50" s="3366" t="s">
        <v>3132</v>
      </c>
      <c r="L50" s="3376"/>
      <c r="M50" s="3385"/>
      <c r="O50" s="3377" t="s">
        <v>2388</v>
      </c>
      <c r="P50" s="3356" t="s">
        <v>3133</v>
      </c>
      <c r="Q50" s="3386" t="e">
        <f ca="1">J58</f>
        <v>#VALUE!</v>
      </c>
      <c r="R50" s="3357"/>
    </row>
    <row r="51" spans="1:18" s="3196" customFormat="1" ht="13.5" thickBot="1">
      <c r="A51" s="3387"/>
      <c r="B51" s="3379"/>
      <c r="C51" s="3380"/>
      <c r="D51" s="3381"/>
      <c r="E51" s="3388" t="s">
        <v>3005</v>
      </c>
      <c r="F51" s="3216">
        <f ca="1">F8</f>
        <v>0</v>
      </c>
      <c r="I51" s="3389" t="s">
        <v>3134</v>
      </c>
      <c r="J51" s="3390">
        <f>IF(J49="",J50,J49+J50-YEAR('[1]数据-取费表'!B2))</f>
        <v>0</v>
      </c>
      <c r="K51" s="3391" t="s">
        <v>3135</v>
      </c>
      <c r="L51" s="3392">
        <f ca="1">ROUND(-PV(INDIRECT("'数据-取费表'!h"&amp;$G$1),L48,(C39-C13*C76),0),0)</f>
        <v>-191513378</v>
      </c>
      <c r="M51" s="3393"/>
      <c r="O51" s="3377" t="s">
        <v>2390</v>
      </c>
      <c r="P51" s="3356" t="s">
        <v>3136</v>
      </c>
      <c r="Q51" s="3386">
        <f>J52</f>
        <v>0</v>
      </c>
      <c r="R51" s="3357"/>
    </row>
    <row r="52" spans="1:18" s="3196" customFormat="1" ht="13.5" thickBot="1">
      <c r="A52" s="3387"/>
      <c r="B52" s="3379"/>
      <c r="C52" s="3380"/>
      <c r="D52" s="3381"/>
      <c r="E52" s="3388" t="s">
        <v>3006</v>
      </c>
      <c r="F52" s="3394"/>
      <c r="I52" s="3395" t="s">
        <v>3137</v>
      </c>
      <c r="J52" s="3396"/>
      <c r="K52" s="3395" t="s">
        <v>3138</v>
      </c>
      <c r="L52" s="3396"/>
      <c r="O52" s="3377" t="s">
        <v>2392</v>
      </c>
      <c r="P52" s="3356" t="s">
        <v>3139</v>
      </c>
      <c r="Q52" s="3357" t="b">
        <f>J53</f>
        <v>0</v>
      </c>
      <c r="R52" s="3357" t="s">
        <v>3140</v>
      </c>
    </row>
    <row r="53" spans="1:18" s="3196" customFormat="1" ht="30.75" customHeight="1" thickBot="1">
      <c r="A53" s="3397" t="s">
        <v>3141</v>
      </c>
      <c r="B53" s="3282" t="s">
        <v>3008</v>
      </c>
      <c r="C53" s="3229">
        <f>ROUND(IF(F53="押一",F49*F51*F50/12*F11,IF(F53="押二",F49*F51*F50/12*2*F11,IF(F53="押三",F49*F51*F50/12*3*F11,C54*F11))),0)</f>
        <v>0</v>
      </c>
      <c r="D53" s="3230" t="s">
        <v>3142</v>
      </c>
      <c r="E53" s="3226" t="s">
        <v>3010</v>
      </c>
      <c r="F53" s="3231"/>
      <c r="I53" s="3398" t="s">
        <v>3143</v>
      </c>
      <c r="J53" s="3399" t="b">
        <f>IF(M47="住宅",J51,IF(D1="——",MIN(J51,L48),IF(D1="在建（套用方法）",MIN(J51,L48-'[1]数据-取费表'!B24),IF(D1="土地（套用方法）",MIN(J51,L48-'[1]数据-取费表'!B20)))))</f>
        <v>0</v>
      </c>
      <c r="K53" s="3512" t="s">
        <v>3144</v>
      </c>
      <c r="L53" s="3513"/>
      <c r="O53" s="3355" t="s">
        <v>2395</v>
      </c>
      <c r="P53" s="3356" t="s">
        <v>3145</v>
      </c>
      <c r="Q53" s="3357">
        <f ca="1">Q47+Q48</f>
        <v>0</v>
      </c>
      <c r="R53" s="3357" t="s">
        <v>2396</v>
      </c>
    </row>
    <row r="54" spans="1:18" s="3196" customFormat="1" ht="13.5" thickBot="1">
      <c r="A54" s="3368"/>
      <c r="B54" s="3400" t="s">
        <v>3014</v>
      </c>
      <c r="C54" s="3235"/>
      <c r="D54" s="3230"/>
      <c r="E54" s="3401"/>
      <c r="F54" s="3402"/>
      <c r="I54"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4"/>
      <c r="K54" s="3404"/>
      <c r="L54" s="3404"/>
      <c r="M54" s="3374"/>
      <c r="O54" s="3334" t="s">
        <v>3146</v>
      </c>
      <c r="P54" s="3327"/>
      <c r="Q54" s="3327"/>
      <c r="R54" s="3327"/>
    </row>
    <row r="55" spans="1:18" s="3196" customFormat="1" ht="13.5" thickBot="1">
      <c r="A55" s="3239" t="s">
        <v>3015</v>
      </c>
      <c r="B55" s="3240" t="s">
        <v>3016</v>
      </c>
      <c r="C55" s="3241"/>
      <c r="D55" s="3230"/>
      <c r="E55" s="3401"/>
      <c r="F55" s="3402"/>
      <c r="I55" s="3405" t="s">
        <v>3147</v>
      </c>
      <c r="J55" s="3406" t="e">
        <f ca="1">ROUND(IF(J47="钢混",J57/J50,1-(1-2%)*(J50-J57)/J50),3)</f>
        <v>#VALUE!</v>
      </c>
      <c r="K55" s="3407" t="s">
        <v>3148</v>
      </c>
      <c r="L55" s="3408"/>
      <c r="O55" s="3342" t="s">
        <v>3111</v>
      </c>
      <c r="P55" s="3343" t="s">
        <v>3112</v>
      </c>
      <c r="Q55" s="3344" t="s">
        <v>3113</v>
      </c>
      <c r="R55" s="3344" t="s">
        <v>3114</v>
      </c>
    </row>
    <row r="56" spans="1:18" s="3196" customFormat="1" ht="36" customHeight="1" thickTop="1" thickBot="1">
      <c r="A56" s="3409">
        <v>2</v>
      </c>
      <c r="B56" s="3410" t="s">
        <v>3017</v>
      </c>
      <c r="C56" s="3411">
        <f ca="1">C13</f>
        <v>0</v>
      </c>
      <c r="D56" s="3412"/>
      <c r="E56" s="3413"/>
      <c r="F56" s="3402"/>
      <c r="I56" s="3414" t="s">
        <v>3149</v>
      </c>
      <c r="J56" s="3415"/>
      <c r="K56" s="3364" t="s">
        <v>3150</v>
      </c>
      <c r="L56" s="3367">
        <f ca="1">IF(L48&lt;J51,"——",L48-J51)</f>
        <v>69.37</v>
      </c>
      <c r="O56" s="3355" t="s">
        <v>2383</v>
      </c>
      <c r="P56" s="3356" t="s">
        <v>3117</v>
      </c>
      <c r="Q56" s="3357">
        <f ca="1">C40+J29</f>
        <v>0</v>
      </c>
      <c r="R56" s="3357" t="s">
        <v>3118</v>
      </c>
    </row>
    <row r="57" spans="1:18" s="3196" customFormat="1" ht="24.75" thickBot="1">
      <c r="A57" s="3416"/>
      <c r="B57" s="3417" t="s">
        <v>3095</v>
      </c>
      <c r="C57" s="3418">
        <f ca="1">C29</f>
        <v>1076784185</v>
      </c>
      <c r="D57" s="3419"/>
      <c r="E57" s="3420"/>
      <c r="F57" s="3421"/>
      <c r="I57" s="3422" t="s">
        <v>3151</v>
      </c>
      <c r="J57" s="3423" t="str">
        <f ca="1">IF(OR(M47="住宅",J51&lt;L48,J56="是"),"——",J51-L48)</f>
        <v>——</v>
      </c>
      <c r="K57" s="3364" t="s">
        <v>3152</v>
      </c>
      <c r="L57" s="3367">
        <f ca="1">IF(L48&lt;J51,"——",IF(L55="比较法",L49,IF(L55="基准地价",L50,L51)))</f>
        <v>-191513378</v>
      </c>
      <c r="O57" s="3355" t="s">
        <v>2385</v>
      </c>
      <c r="P57" s="3356" t="s">
        <v>3153</v>
      </c>
      <c r="Q57" s="3357" t="e">
        <f ca="1">L60</f>
        <v>#DIV/0!</v>
      </c>
      <c r="R57" s="3357" t="s">
        <v>3154</v>
      </c>
    </row>
    <row r="58" spans="1:18" s="3196" customFormat="1" ht="24.75" thickBot="1">
      <c r="A58" s="3424" t="s">
        <v>3099</v>
      </c>
      <c r="B58" s="3410" t="s">
        <v>3034</v>
      </c>
      <c r="C58" s="3229">
        <f ca="1">ROUND(C59+C64+C65+C66,0)</f>
        <v>9044987</v>
      </c>
      <c r="D58" s="3425" t="s">
        <v>3035</v>
      </c>
      <c r="E58" s="3426"/>
      <c r="F58" s="3362"/>
      <c r="I58" s="3422" t="s">
        <v>3155</v>
      </c>
      <c r="J58" s="3427" t="e">
        <f ca="1">IF(J55&lt;0.4,0.4,J55)</f>
        <v>#VALUE!</v>
      </c>
      <c r="K58" s="3391" t="s">
        <v>3156</v>
      </c>
      <c r="L58" s="3367" t="e">
        <f ca="1">ROUND(POWER(1+L52,L47-L48)*(POWER(1+L52,L48)-1)/(POWER(1+L52,L47)-1),4)</f>
        <v>#DIV/0!</v>
      </c>
      <c r="O58" s="3377" t="s">
        <v>2387</v>
      </c>
      <c r="P58" s="3356" t="s">
        <v>3157</v>
      </c>
      <c r="Q58" s="3357">
        <f>IF(L55="比较法",L49,IF(L55="基准地价",L50,0))</f>
        <v>0</v>
      </c>
      <c r="R58" s="3357" t="s">
        <v>3118</v>
      </c>
    </row>
    <row r="59" spans="1:18" s="3196" customFormat="1" ht="24.75" thickBot="1">
      <c r="A59" s="3256" t="s">
        <v>2999</v>
      </c>
      <c r="B59" s="3417" t="s">
        <v>3040</v>
      </c>
      <c r="C59" s="3261">
        <f ca="1">ROUND(IF([1]项目基本情况!B11="自然人",C48*F59,C60+C61+C62),0)</f>
        <v>9044987</v>
      </c>
      <c r="D59" s="3428" t="s">
        <v>3041</v>
      </c>
      <c r="E59" s="3429" t="s">
        <v>3042</v>
      </c>
      <c r="F59" s="3278">
        <f ca="1">IF([1]项目基本情况!B11="企业","",IF(INDIRECT("'数据-取费表'!c"&amp;$G$1)="住宅",5%,IF(F49*F50*F51/12/(1+'[1]数据-取费表'!C42)&gt;20000,12%,7%)))</f>
        <v>0.05</v>
      </c>
      <c r="I59" s="3422" t="s">
        <v>3158</v>
      </c>
      <c r="J59" s="3423" t="str">
        <f ca="1">IF(OR(M47="住宅",J51&lt;L48,J56="是"),"——",ROUND(C29*J58,0))</f>
        <v>——</v>
      </c>
      <c r="K59" s="33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7" t="e">
        <f ca="1">ROUND(IF(D1="在建（套用方法）",M59,IF(D1="土地（套用方法）",N59,POWER(1+L52,L47-J51)*(POWER(1+L52,J51)-1)/(POWER(1+L52,L47)-1))),4)</f>
        <v>#DIV/0!</v>
      </c>
      <c r="M59" s="3327" t="e">
        <f ca="1">ROUND(POWER(1+L52,L47-(J51+'[1]数据-取费表'!B24))*(POWER(1+L52,(J51+'[1]数据-取费表'!B24))-1)/(POWER(1+L52,L47)-1),4)</f>
        <v>#DIV/0!</v>
      </c>
      <c r="N59" s="3327" t="e">
        <f ca="1">ROUND(POWER(1+L52,L47-(J51+'[1]数据-取费表'!B20))*(POWER(1+L52,(J51+'[1]数据-取费表'!B20))-1)/(POWER(1+L52,L47)-1),4)</f>
        <v>#DIV/0!</v>
      </c>
      <c r="O59" s="3377" t="s">
        <v>2388</v>
      </c>
      <c r="P59" s="3356" t="s">
        <v>3159</v>
      </c>
      <c r="Q59" s="3386">
        <f>L52</f>
        <v>0</v>
      </c>
      <c r="R59" s="3357"/>
    </row>
    <row r="60" spans="1:18" s="3196" customFormat="1" ht="16.5" thickBot="1">
      <c r="A60" s="3256" t="s">
        <v>3020</v>
      </c>
      <c r="B60" s="3417" t="s">
        <v>3100</v>
      </c>
      <c r="C60" s="3261">
        <f ca="1">IF([1]项目基本情况!B11="自然人","——",ROUND(C48*F60/(1+'[1]数据-取费表'!C42),0))</f>
        <v>0</v>
      </c>
      <c r="D60" s="3429" t="s">
        <v>3101</v>
      </c>
      <c r="E60" s="3417" t="s">
        <v>3028</v>
      </c>
      <c r="F60" s="3293">
        <f t="shared" ref="F60:F66" si="0">F32</f>
        <v>0</v>
      </c>
      <c r="I60" s="3430" t="s">
        <v>3160</v>
      </c>
      <c r="J60" s="3431" t="str">
        <f ca="1">IF(OR(M47="住宅",J51&lt;L48,J56="是"),"0",ROUND(J59/(1+J52)^J53,0))</f>
        <v>0</v>
      </c>
      <c r="K60" s="3432" t="s">
        <v>3161</v>
      </c>
      <c r="L60" s="3431" t="e">
        <f ca="1">IF(OR(M47="住宅",L48&lt;J51),0,ROUND(L57*(L58/L59-1),0))</f>
        <v>#DIV/0!</v>
      </c>
      <c r="O60" s="3377" t="s">
        <v>2390</v>
      </c>
      <c r="P60" s="3356" t="s">
        <v>3162</v>
      </c>
      <c r="Q60" s="3357" t="e">
        <f ca="1">L58</f>
        <v>#DIV/0!</v>
      </c>
      <c r="R60" s="3357" t="s">
        <v>3163</v>
      </c>
    </row>
    <row r="61" spans="1:18" s="3196" customFormat="1" ht="13.5" thickBot="1">
      <c r="A61" s="3256" t="s">
        <v>3164</v>
      </c>
      <c r="B61" s="3417" t="s">
        <v>3049</v>
      </c>
      <c r="C61" s="3261">
        <f ca="1">IF([1]项目基本情况!B11="自然人","——",IF(D61="按租金收入计税",ROUND(C48*F61,0),IF(D61="按房产原值计税",ROUND(C57*F61*0.7,0),INDIRECT("'数据-取费表'!Aj"&amp;$G$1))))</f>
        <v>9044987</v>
      </c>
      <c r="D61" s="3281" t="s">
        <v>3050</v>
      </c>
      <c r="E61" s="3417" t="s">
        <v>3028</v>
      </c>
      <c r="F61" s="3274">
        <f t="shared" si="0"/>
        <v>1.2E-2</v>
      </c>
      <c r="I61" s="3433"/>
      <c r="J61" s="3433"/>
      <c r="K61" s="3433"/>
      <c r="L61" s="3433"/>
      <c r="O61" s="3377" t="s">
        <v>2392</v>
      </c>
      <c r="P61" s="3356" t="str">
        <f>K59</f>
        <v>建设期及建筑物耐用年限下的土地年期修正系数Kn</v>
      </c>
      <c r="Q61" s="3357" t="e">
        <f ca="1">L59</f>
        <v>#DIV/0!</v>
      </c>
      <c r="R61" s="3357" t="s">
        <v>3165</v>
      </c>
    </row>
    <row r="62" spans="1:18" s="3196" customFormat="1" ht="13.5" thickBot="1">
      <c r="A62" s="3256" t="s">
        <v>3166</v>
      </c>
      <c r="B62" s="3434" t="s">
        <v>3053</v>
      </c>
      <c r="C62" s="3283">
        <f ca="1">IF([1]项目基本情况!B11="自然人","——",ROUND(F62*F63,0))</f>
        <v>0</v>
      </c>
      <c r="D62" s="3435" t="s">
        <v>3054</v>
      </c>
      <c r="E62" s="3417" t="s">
        <v>3055</v>
      </c>
      <c r="F62" s="3285">
        <f t="shared" si="0"/>
        <v>0</v>
      </c>
      <c r="I62" s="3436" t="s">
        <v>3167</v>
      </c>
      <c r="J62" s="3437" t="s">
        <v>3168</v>
      </c>
      <c r="K62" s="3437" t="s">
        <v>3169</v>
      </c>
      <c r="L62" s="3437" t="s">
        <v>3170</v>
      </c>
      <c r="M62" s="3438" t="s">
        <v>3171</v>
      </c>
      <c r="O62" s="3355" t="s">
        <v>2395</v>
      </c>
      <c r="P62" s="3356" t="s">
        <v>3145</v>
      </c>
      <c r="Q62" s="3357" t="e">
        <f ca="1">Q56+Q57</f>
        <v>#DIV/0!</v>
      </c>
      <c r="R62" s="3357" t="s">
        <v>2396</v>
      </c>
    </row>
    <row r="63" spans="1:18" s="3196" customFormat="1" ht="13.5" thickBot="1">
      <c r="A63" s="3286"/>
      <c r="B63" s="3439"/>
      <c r="C63" s="3288"/>
      <c r="D63" s="3440"/>
      <c r="E63" s="3417" t="s">
        <v>3060</v>
      </c>
      <c r="F63" s="3216">
        <f t="shared" ca="1" si="0"/>
        <v>116017.93</v>
      </c>
      <c r="I63" s="3436" t="s">
        <v>3172</v>
      </c>
      <c r="J63" s="3437">
        <v>70</v>
      </c>
      <c r="K63" s="3437">
        <v>50</v>
      </c>
      <c r="L63" s="3437">
        <v>80</v>
      </c>
      <c r="M63" s="3441">
        <v>0.02</v>
      </c>
      <c r="O63" s="3334" t="s">
        <v>3173</v>
      </c>
      <c r="P63" s="3327"/>
      <c r="Q63" s="3327"/>
      <c r="R63" s="3327"/>
    </row>
    <row r="64" spans="1:18" s="3196" customFormat="1" ht="13.5" thickBot="1">
      <c r="A64" s="3256" t="s">
        <v>3007</v>
      </c>
      <c r="B64" s="3417" t="s">
        <v>3063</v>
      </c>
      <c r="C64" s="3261">
        <f ca="1">ROUND(C57*F64,0)</f>
        <v>0</v>
      </c>
      <c r="D64" s="3429" t="s">
        <v>3102</v>
      </c>
      <c r="E64" s="3417" t="s">
        <v>3028</v>
      </c>
      <c r="F64" s="3290">
        <f t="shared" ca="1" si="0"/>
        <v>0</v>
      </c>
      <c r="I64" s="3436" t="s">
        <v>3174</v>
      </c>
      <c r="J64" s="3437">
        <v>50</v>
      </c>
      <c r="K64" s="3437">
        <v>35</v>
      </c>
      <c r="L64" s="3437">
        <v>60</v>
      </c>
      <c r="M64" s="3438">
        <v>0</v>
      </c>
      <c r="O64" s="3342" t="s">
        <v>3111</v>
      </c>
      <c r="P64" s="3343" t="s">
        <v>3112</v>
      </c>
      <c r="Q64" s="3344" t="s">
        <v>3113</v>
      </c>
      <c r="R64" s="3344" t="s">
        <v>3114</v>
      </c>
    </row>
    <row r="65" spans="1:18" s="3196" customFormat="1" ht="13.5" thickBot="1">
      <c r="A65" s="3256" t="s">
        <v>3175</v>
      </c>
      <c r="B65" s="3417" t="s">
        <v>3067</v>
      </c>
      <c r="C65" s="3261">
        <f ca="1">ROUND(C56*F65,0)</f>
        <v>0</v>
      </c>
      <c r="D65" s="3429" t="s">
        <v>3068</v>
      </c>
      <c r="E65" s="3417" t="s">
        <v>3028</v>
      </c>
      <c r="F65" s="3292">
        <f t="shared" ca="1" si="0"/>
        <v>0</v>
      </c>
      <c r="I65" s="3436" t="s">
        <v>3176</v>
      </c>
      <c r="J65" s="3437">
        <v>40</v>
      </c>
      <c r="K65" s="3437">
        <v>30</v>
      </c>
      <c r="L65" s="3437">
        <v>50</v>
      </c>
      <c r="M65" s="3441">
        <v>0.02</v>
      </c>
      <c r="O65" s="3355" t="s">
        <v>2383</v>
      </c>
      <c r="P65" s="3356" t="s">
        <v>3117</v>
      </c>
      <c r="Q65" s="3357">
        <f ca="1">C40+J29</f>
        <v>0</v>
      </c>
      <c r="R65" s="3357" t="s">
        <v>3118</v>
      </c>
    </row>
    <row r="66" spans="1:18" s="3196" customFormat="1" ht="16.5" thickBot="1">
      <c r="A66" s="3256" t="s">
        <v>3177</v>
      </c>
      <c r="B66" s="3417" t="s">
        <v>3051</v>
      </c>
      <c r="C66" s="3261">
        <f ca="1">ROUND(C48*F66,0)</f>
        <v>0</v>
      </c>
      <c r="D66" s="3429" t="s">
        <v>3072</v>
      </c>
      <c r="E66" s="3417" t="s">
        <v>3028</v>
      </c>
      <c r="F66" s="3225">
        <f t="shared" ca="1" si="0"/>
        <v>0</v>
      </c>
      <c r="O66" s="3355" t="s">
        <v>2385</v>
      </c>
      <c r="P66" s="3356" t="s">
        <v>3153</v>
      </c>
      <c r="Q66" s="3357" t="e">
        <f ca="1">L60</f>
        <v>#DIV/0!</v>
      </c>
      <c r="R66" s="3357" t="s">
        <v>3178</v>
      </c>
    </row>
    <row r="67" spans="1:18" s="3196" customFormat="1" ht="16.5" thickBot="1">
      <c r="A67" s="3409" t="s">
        <v>3076</v>
      </c>
      <c r="B67" s="3442" t="s">
        <v>3077</v>
      </c>
      <c r="C67" s="3229">
        <f ca="1">C48-C58</f>
        <v>-9044987</v>
      </c>
      <c r="D67" s="3428" t="s">
        <v>3078</v>
      </c>
      <c r="E67" s="3443"/>
      <c r="F67" s="3444"/>
      <c r="O67" s="3377" t="s">
        <v>2387</v>
      </c>
      <c r="P67" s="3356" t="s">
        <v>3157</v>
      </c>
      <c r="Q67" s="3445">
        <f ca="1">L51</f>
        <v>-191513378</v>
      </c>
      <c r="R67" s="3357" t="s">
        <v>3179</v>
      </c>
    </row>
    <row r="68" spans="1:18" s="3196" customFormat="1" ht="16.5" thickBot="1">
      <c r="A68" s="3446" t="s">
        <v>3082</v>
      </c>
      <c r="B68" s="3447" t="s">
        <v>3103</v>
      </c>
      <c r="C68" s="3217">
        <f ca="1">ROUND(C67*(1-((1+F70)/(1+F68))^F69)/(F68-F70),0)</f>
        <v>0</v>
      </c>
      <c r="D68" s="3435" t="s">
        <v>3084</v>
      </c>
      <c r="E68" s="3417" t="s">
        <v>3085</v>
      </c>
      <c r="F68" s="3225">
        <f ca="1">F40</f>
        <v>0.05</v>
      </c>
      <c r="O68" s="3377" t="s">
        <v>2388</v>
      </c>
      <c r="P68" s="3448" t="s">
        <v>3180</v>
      </c>
      <c r="Q68" s="3357">
        <f ca="1">ROUND(Q69-Q70*Q71,0)</f>
        <v>-9044987</v>
      </c>
      <c r="R68" s="3357" t="s">
        <v>3181</v>
      </c>
    </row>
    <row r="69" spans="1:18" s="3196" customFormat="1" ht="13.5" thickBot="1">
      <c r="A69" s="3449"/>
      <c r="B69" s="3450"/>
      <c r="C69" s="3224"/>
      <c r="D69" s="3451" t="s">
        <v>3088</v>
      </c>
      <c r="E69" s="3417" t="s">
        <v>3089</v>
      </c>
      <c r="F69" s="3302">
        <f ca="1">F41</f>
        <v>0</v>
      </c>
      <c r="O69" s="3377" t="s">
        <v>2403</v>
      </c>
      <c r="P69" s="3448" t="s">
        <v>3182</v>
      </c>
      <c r="Q69" s="3357">
        <f ca="1">C39</f>
        <v>-9044987</v>
      </c>
      <c r="R69" s="3357" t="s">
        <v>3118</v>
      </c>
    </row>
    <row r="70" spans="1:18" s="3196" customFormat="1" ht="13.5" thickBot="1">
      <c r="A70" s="3452"/>
      <c r="B70" s="3453"/>
      <c r="C70" s="3249"/>
      <c r="D70" s="3440"/>
      <c r="E70" s="3417" t="s">
        <v>3093</v>
      </c>
      <c r="F70" s="3394">
        <f ca="1">F42</f>
        <v>0</v>
      </c>
      <c r="O70" s="3377" t="s">
        <v>2405</v>
      </c>
      <c r="P70" s="3448" t="s">
        <v>3183</v>
      </c>
      <c r="Q70" s="3357">
        <f ca="1">C13</f>
        <v>0</v>
      </c>
      <c r="R70" s="3357" t="s">
        <v>3118</v>
      </c>
    </row>
    <row r="71" spans="1:18" s="3196" customFormat="1" ht="13.5" thickBot="1">
      <c r="A71" s="3454" t="s">
        <v>3096</v>
      </c>
      <c r="B71" s="3455" t="s">
        <v>3104</v>
      </c>
      <c r="C71" s="3307">
        <f ca="1">ROUND(C68/F71,0)</f>
        <v>0</v>
      </c>
      <c r="D71" s="3456" t="s">
        <v>3105</v>
      </c>
      <c r="E71" s="3457" t="s">
        <v>3106</v>
      </c>
      <c r="F71" s="3310">
        <f ca="1">F43</f>
        <v>360128.49</v>
      </c>
      <c r="O71" s="3377" t="s">
        <v>2407</v>
      </c>
      <c r="P71" s="3448" t="s">
        <v>3184</v>
      </c>
      <c r="Q71" s="3386">
        <f ca="1">C76</f>
        <v>8.5000000000000006E-2</v>
      </c>
      <c r="R71" s="3357"/>
    </row>
    <row r="72" spans="1:18" s="3196" customFormat="1" ht="13.5" thickBot="1">
      <c r="B72" s="3458"/>
      <c r="C72" s="3458"/>
      <c r="O72" s="3377" t="s">
        <v>2390</v>
      </c>
      <c r="P72" s="3356" t="s">
        <v>3159</v>
      </c>
      <c r="Q72" s="3386">
        <f>L52</f>
        <v>0</v>
      </c>
      <c r="R72" s="3357"/>
    </row>
    <row r="73" spans="1:18" ht="16.5" thickBot="1">
      <c r="A73" s="3196"/>
      <c r="B73" s="3458"/>
      <c r="C73" s="3458"/>
      <c r="D73" s="3196"/>
      <c r="E73" s="3196"/>
      <c r="F73" s="3196"/>
      <c r="O73" s="3377" t="s">
        <v>2392</v>
      </c>
      <c r="P73" s="3356" t="s">
        <v>3162</v>
      </c>
      <c r="Q73" s="3357" t="e">
        <f ca="1">L58</f>
        <v>#DIV/0!</v>
      </c>
      <c r="R73" s="3357" t="s">
        <v>3163</v>
      </c>
    </row>
    <row r="74" spans="1:18" ht="13.5" thickBot="1">
      <c r="A74" s="3196"/>
      <c r="B74" s="3460" t="s">
        <v>3185</v>
      </c>
      <c r="C74" s="3461"/>
      <c r="D74" s="3196"/>
      <c r="E74" s="3196"/>
      <c r="F74" s="3196"/>
      <c r="O74" s="3377" t="s">
        <v>3186</v>
      </c>
      <c r="P74" s="3356" t="str">
        <f>K59</f>
        <v>建设期及建筑物耐用年限下的土地年期修正系数Kn</v>
      </c>
      <c r="Q74" s="3357" t="e">
        <f ca="1">L59</f>
        <v>#DIV/0!</v>
      </c>
      <c r="R74" s="3357" t="s">
        <v>3165</v>
      </c>
    </row>
    <row r="75" spans="1:18" ht="13.5" thickBot="1">
      <c r="A75" s="3196"/>
      <c r="B75" s="3462" t="s">
        <v>3187</v>
      </c>
      <c r="C75" s="3463">
        <f ca="1">ROUND(C13*C76,0)</f>
        <v>0</v>
      </c>
      <c r="D75" s="3196"/>
      <c r="E75" s="3196"/>
      <c r="F75" s="3196"/>
      <c r="K75" s="3331"/>
      <c r="L75" s="3196"/>
      <c r="O75" s="3355" t="s">
        <v>2395</v>
      </c>
      <c r="P75" s="3356" t="s">
        <v>3145</v>
      </c>
      <c r="Q75" s="3357" t="e">
        <f ca="1">Q65+Q66</f>
        <v>#DIV/0!</v>
      </c>
      <c r="R75" s="3357" t="s">
        <v>2396</v>
      </c>
    </row>
    <row r="76" spans="1:18">
      <c r="B76" s="3464" t="s">
        <v>3188</v>
      </c>
      <c r="C76" s="3465">
        <f ca="1">INDIRECT("'数据-取费表'!j"&amp;$G$1)</f>
        <v>8.5000000000000006E-2</v>
      </c>
      <c r="I76" s="3196"/>
      <c r="J76" s="3196"/>
      <c r="K76" s="3331"/>
      <c r="L76" s="3196"/>
    </row>
    <row r="77" spans="1:18">
      <c r="B77" s="3466" t="s">
        <v>3189</v>
      </c>
      <c r="C77" s="3467"/>
      <c r="I77" s="3196"/>
      <c r="J77" s="3196"/>
      <c r="K77" s="3331"/>
      <c r="L77" s="3196"/>
    </row>
    <row r="78" spans="1:18">
      <c r="B78" s="3468" t="s">
        <v>3190</v>
      </c>
      <c r="C78" s="3469"/>
    </row>
    <row r="79" spans="1:18">
      <c r="B79" s="3462" t="s">
        <v>3191</v>
      </c>
      <c r="C79" s="3470">
        <f ca="1">1-C80</f>
        <v>1</v>
      </c>
    </row>
    <row r="80" spans="1:18">
      <c r="B80" s="3462" t="s">
        <v>3192</v>
      </c>
      <c r="C80" s="3470">
        <f ca="1">ROUND(C75/C39,3)</f>
        <v>0</v>
      </c>
    </row>
    <row r="81" spans="2:3">
      <c r="B81" s="3468" t="s">
        <v>3193</v>
      </c>
      <c r="C81" s="3418"/>
    </row>
    <row r="82" spans="2:3">
      <c r="B82" s="3460" t="s">
        <v>3194</v>
      </c>
      <c r="C82" s="3471" t="e">
        <f ca="1">1-C83</f>
        <v>#DIV/0!</v>
      </c>
    </row>
    <row r="83" spans="2:3">
      <c r="B83" s="3460" t="s">
        <v>3195</v>
      </c>
      <c r="C83" s="347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2551</v>
      </c>
      <c r="R1" s="2603" t="s">
        <v>2545</v>
      </c>
      <c r="S1" s="6" t="s">
        <v>146</v>
      </c>
      <c r="T1" s="7" t="s">
        <v>147</v>
      </c>
      <c r="U1" s="6" t="s">
        <v>148</v>
      </c>
      <c r="V1" s="6" t="s">
        <v>149</v>
      </c>
      <c r="W1" s="1002"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2546</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2547</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4" t="s">
        <v>761</v>
      </c>
      <c r="Q4" s="9" t="s">
        <v>92</v>
      </c>
      <c r="R4" s="1004" t="s">
        <v>2548</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4" t="s">
        <v>547</v>
      </c>
      <c r="Q5" s="9" t="s">
        <v>97</v>
      </c>
      <c r="R5" s="1004" t="s">
        <v>2549</v>
      </c>
      <c r="S5" s="9" t="s">
        <v>97</v>
      </c>
      <c r="T5" s="9" t="s">
        <v>98</v>
      </c>
      <c r="U5" s="9" t="s">
        <v>97</v>
      </c>
      <c r="W5" s="9" t="s">
        <v>879</v>
      </c>
    </row>
    <row r="6" spans="1:23">
      <c r="A6" s="8" t="s">
        <v>99</v>
      </c>
      <c r="B6" s="1147" t="s">
        <v>1642</v>
      </c>
      <c r="C6" s="1552" t="s">
        <v>1715</v>
      </c>
      <c r="F6" s="9" t="s">
        <v>71</v>
      </c>
      <c r="H6" s="9" t="s">
        <v>72</v>
      </c>
      <c r="I6" s="9" t="s">
        <v>100</v>
      </c>
      <c r="K6" s="9" t="s">
        <v>101</v>
      </c>
      <c r="L6" s="9" t="s">
        <v>101</v>
      </c>
      <c r="M6" s="9" t="s">
        <v>101</v>
      </c>
      <c r="N6" s="9" t="s">
        <v>101</v>
      </c>
      <c r="O6" s="9" t="s">
        <v>101</v>
      </c>
      <c r="P6" s="1004" t="s">
        <v>882</v>
      </c>
      <c r="Q6" s="9" t="s">
        <v>101</v>
      </c>
      <c r="R6" s="1004" t="s">
        <v>2550</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8" t="s">
        <v>2962</v>
      </c>
      <c r="C18" s="1553"/>
    </row>
    <row r="19" spans="1:3">
      <c r="A19" s="8" t="s">
        <v>120</v>
      </c>
      <c r="B19" s="3138" t="s">
        <v>2970</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赣州市恒臣置业有限公司拟使用江西省赣州市赣南大道南侧（原灯饰市场）地块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1990</v>
      </c>
      <c r="B52" s="1767" t="s">
        <v>1991</v>
      </c>
      <c r="C52" s="1765" t="s">
        <v>1992</v>
      </c>
      <c r="D52" s="1765" t="s">
        <v>1993</v>
      </c>
      <c r="E52" s="1766"/>
    </row>
    <row r="53" spans="1:5">
      <c r="A53" s="3541" t="s">
        <v>1994</v>
      </c>
      <c r="B53" s="1765" t="s">
        <v>2000</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住宅、商业、地下车库，剩余土地使用年限为住宅69.4年、商业39.4年、地下车库49.4年的出让国有建设用地使用权价格。</v>
      </c>
      <c r="D53" s="1766"/>
      <c r="E53" s="1766"/>
    </row>
    <row r="54" spans="1:5">
      <c r="A54" s="3541"/>
      <c r="B54" s="1765" t="s">
        <v>2001</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41"/>
      <c r="B55" s="1765" t="s">
        <v>1995</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41"/>
      <c r="B56" s="1765" t="s">
        <v>1996</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41"/>
      <c r="B57" s="1765" t="s">
        <v>1997</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6" sqref="E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1941</v>
      </c>
      <c r="B1" s="3544" t="str">
        <f>IF(B10="北京市","北京市",C10)&amp;F10&amp;B16&amp;"国有建设用地使用权"&amp;B9&amp;"预评估"</f>
        <v>江西省赣州市赣南大道南侧（原灯饰市场）地块出让国有建设用地使用权市场价格预评估</v>
      </c>
      <c r="C1" s="3545"/>
      <c r="D1" s="3545"/>
      <c r="E1" s="3545"/>
      <c r="F1" s="3545"/>
      <c r="G1" s="3545"/>
      <c r="H1" s="3545"/>
      <c r="I1" s="3546"/>
      <c r="J1" s="1691"/>
      <c r="K1" s="2475" t="str">
        <f>IF(B10="北京市","北京市",C10)&amp;F10&amp;B16&amp;"国有建设用地使用权"&amp;B9</f>
        <v>江西省赣州市赣南大道南侧（原灯饰市场）地块出让国有建设用地使用权市场价格</v>
      </c>
      <c r="L1" s="1720"/>
      <c r="M1" s="1720"/>
      <c r="N1" s="1691"/>
      <c r="O1" s="1692"/>
      <c r="P1" s="1691"/>
      <c r="Q1" s="1691"/>
      <c r="R1" s="1691"/>
      <c r="S1" s="1691"/>
      <c r="T1" s="1691"/>
      <c r="U1" s="1691"/>
    </row>
    <row r="2" spans="1:21">
      <c r="A2" s="1658" t="s">
        <v>1942</v>
      </c>
      <c r="B2" s="1839"/>
      <c r="D2" s="1691"/>
      <c r="E2" s="1691"/>
      <c r="F2" s="1691"/>
      <c r="G2" s="1691"/>
      <c r="H2" s="1658"/>
      <c r="I2" s="1692"/>
      <c r="J2" s="1691"/>
      <c r="K2" s="2475" t="str">
        <f>IF(B10="北京市","北京市",C10)&amp;F10&amp;B16&amp;"国有建设用地使用权"</f>
        <v>江西省赣州市赣南大道南侧（原灯饰市场）地块出让国有建设用地使用权</v>
      </c>
      <c r="L2" s="1720"/>
      <c r="M2" s="1720"/>
      <c r="N2" s="1691"/>
      <c r="O2" s="1692"/>
      <c r="P2" s="1691"/>
      <c r="Q2" s="1691"/>
      <c r="R2" s="1691"/>
      <c r="S2" s="1691"/>
      <c r="T2" s="1691"/>
      <c r="U2" s="1691"/>
    </row>
    <row r="3" spans="1:21">
      <c r="A3" s="1659" t="s">
        <v>1943</v>
      </c>
      <c r="B3" s="1660">
        <v>43131</v>
      </c>
      <c r="C3" s="1661" t="s">
        <v>1999</v>
      </c>
      <c r="D3" s="1660">
        <v>43206</v>
      </c>
      <c r="E3" s="1691"/>
      <c r="F3" s="1691"/>
      <c r="G3" s="1691"/>
      <c r="H3" s="1658"/>
      <c r="I3" s="1692"/>
      <c r="J3" s="1691"/>
      <c r="K3" s="1771"/>
      <c r="L3" s="1720"/>
      <c r="M3" s="1720"/>
      <c r="N3" s="1691"/>
      <c r="O3" s="1692"/>
      <c r="P3" s="1691"/>
      <c r="Q3" s="1691"/>
      <c r="R3" s="1691"/>
      <c r="S3" s="1691"/>
      <c r="T3" s="1691"/>
      <c r="U3" s="1691"/>
    </row>
    <row r="4" spans="1:21" ht="15" thickBot="1">
      <c r="A4" s="1662" t="s">
        <v>1944</v>
      </c>
      <c r="B4" s="1840" t="s">
        <v>3196</v>
      </c>
      <c r="C4" s="1843">
        <f ca="1">SUMIF(土地估价师,B4,估价师及机构信息!E3:E24)</f>
        <v>2008110059</v>
      </c>
      <c r="D4" s="1840" t="s">
        <v>3197</v>
      </c>
      <c r="E4" s="1843">
        <f ca="1">SUMIF(土地估价师,D4,估价师及机构信息!E3:E24)</f>
        <v>2002110125</v>
      </c>
      <c r="F4" s="1840" t="s">
        <v>953</v>
      </c>
      <c r="G4" s="1843">
        <f>SUMIF(土地估价师,F4,估价师及机构信息!E3:E24)</f>
        <v>0</v>
      </c>
      <c r="H4" s="1840" t="s">
        <v>953</v>
      </c>
      <c r="I4" s="1843">
        <f>SUMIF(土地估价师,H4,估价师及机构信息!E3:E24)</f>
        <v>0</v>
      </c>
      <c r="J4" s="1691"/>
      <c r="K4" s="2475" t="str">
        <f>IF(AND(F4="——",H4="——"),B4&amp;"、"&amp;D4,IF(AND(F4&lt;&gt;"——",H4="——"),B4&amp;"、"&amp;D4&amp;"、"&amp;F4,B4&amp;"、"&amp;D4&amp;"、"&amp;F4&amp;"、"&amp;H4))</f>
        <v>刘梅、吴薇</v>
      </c>
      <c r="L4" s="1720"/>
      <c r="M4" s="1720"/>
      <c r="N4" s="1691"/>
      <c r="O4" s="1692"/>
      <c r="P4" s="1691"/>
      <c r="Q4" s="1691"/>
      <c r="R4" s="1691"/>
      <c r="S4" s="1691"/>
      <c r="T4" s="1691"/>
      <c r="U4" s="1691"/>
    </row>
    <row r="5" spans="1:21" ht="15" thickTop="1">
      <c r="A5" s="1663" t="s">
        <v>1945</v>
      </c>
      <c r="B5" s="1786" t="s">
        <v>3200</v>
      </c>
      <c r="C5" s="1664"/>
      <c r="D5" s="1665"/>
      <c r="E5" s="1691"/>
      <c r="F5" s="1691"/>
      <c r="G5" s="1691"/>
      <c r="H5" s="1658"/>
      <c r="I5" s="1692"/>
      <c r="J5" s="1691"/>
      <c r="K5" s="1771"/>
      <c r="L5" s="1720"/>
      <c r="M5" s="1720"/>
      <c r="N5" s="1691"/>
      <c r="O5" s="1692"/>
      <c r="P5" s="1691"/>
      <c r="Q5" s="1691"/>
      <c r="R5" s="1691"/>
      <c r="S5" s="1691"/>
      <c r="T5" s="1691"/>
      <c r="U5" s="1691"/>
    </row>
    <row r="6" spans="1:21" ht="26.25">
      <c r="A6" s="1661" t="s">
        <v>2712</v>
      </c>
      <c r="B6" s="1786" t="s">
        <v>3199</v>
      </c>
      <c r="C6" s="1758"/>
      <c r="D6" s="1666"/>
      <c r="E6" s="1691"/>
      <c r="F6" s="1691"/>
      <c r="G6" s="1691"/>
      <c r="H6" s="1658"/>
      <c r="I6" s="1692"/>
      <c r="J6" s="1691"/>
      <c r="K6" s="3076" t="str">
        <f>IF(COUNTIF(B6,"*上海银行*"),"上海银行","")</f>
        <v/>
      </c>
      <c r="L6" s="1720"/>
      <c r="M6" s="1720"/>
      <c r="N6" s="1691"/>
      <c r="O6" s="1692"/>
      <c r="P6" s="1691"/>
      <c r="Q6" s="1691"/>
      <c r="R6" s="1691"/>
      <c r="S6" s="1691"/>
      <c r="T6" s="1691"/>
      <c r="U6" s="1691"/>
    </row>
    <row r="7" spans="1:21">
      <c r="A7" s="1667" t="s">
        <v>2713</v>
      </c>
      <c r="B7" s="1786" t="s">
        <v>3198</v>
      </c>
      <c r="C7" s="1758"/>
      <c r="D7" s="1666"/>
      <c r="E7" s="1691"/>
      <c r="F7" s="1691"/>
      <c r="G7" s="1691"/>
      <c r="H7" s="1658"/>
      <c r="I7" s="1692"/>
      <c r="J7" s="1691"/>
      <c r="K7" s="1771"/>
      <c r="L7" s="1720"/>
      <c r="M7" s="1720"/>
      <c r="N7" s="1691"/>
      <c r="O7" s="1692"/>
      <c r="P7" s="1691"/>
      <c r="Q7" s="1691"/>
      <c r="R7" s="1691"/>
      <c r="S7" s="1691"/>
      <c r="T7" s="1691"/>
      <c r="U7" s="1691"/>
    </row>
    <row r="8" spans="1:21">
      <c r="A8" s="1667" t="s">
        <v>1946</v>
      </c>
      <c r="B8" s="1668" t="s">
        <v>3201</v>
      </c>
      <c r="C8" s="1669"/>
      <c r="D8" s="3550" t="s">
        <v>1948</v>
      </c>
      <c r="E8" s="1841" t="s">
        <v>3202</v>
      </c>
      <c r="F8" s="1670"/>
      <c r="G8" s="1658"/>
      <c r="H8" s="1658"/>
      <c r="I8" s="1704"/>
      <c r="J8" s="1691"/>
      <c r="K8" s="1771"/>
      <c r="L8" s="1720"/>
      <c r="M8" s="1720"/>
      <c r="N8" s="1691"/>
      <c r="O8" s="1692"/>
      <c r="P8" s="1691"/>
      <c r="Q8" s="1691"/>
      <c r="R8" s="1691"/>
      <c r="S8" s="1691"/>
      <c r="T8" s="1691"/>
      <c r="U8" s="1691"/>
    </row>
    <row r="9" spans="1:21" ht="15" thickBot="1">
      <c r="A9" s="1671" t="s">
        <v>1947</v>
      </c>
      <c r="B9" s="1672" t="s">
        <v>3203</v>
      </c>
      <c r="C9" s="1673"/>
      <c r="D9" s="3551"/>
      <c r="E9" s="1672" t="s">
        <v>953</v>
      </c>
      <c r="F9" s="1744"/>
      <c r="G9" s="1739"/>
      <c r="H9" s="1739"/>
      <c r="I9" s="1740"/>
      <c r="J9" s="1691"/>
      <c r="K9" s="1771"/>
      <c r="L9" s="1720"/>
      <c r="M9" s="1720"/>
      <c r="N9" s="1691"/>
      <c r="O9" s="1692"/>
      <c r="P9" s="1691"/>
      <c r="Q9" s="1691"/>
      <c r="R9" s="1691"/>
      <c r="S9" s="1691"/>
      <c r="T9" s="1691"/>
      <c r="U9" s="1691"/>
    </row>
    <row r="10" spans="1:21" ht="15" thickTop="1">
      <c r="A10" s="1741" t="s">
        <v>2002</v>
      </c>
      <c r="B10" s="1716" t="s">
        <v>3204</v>
      </c>
      <c r="C10" s="1674" t="s">
        <v>3205</v>
      </c>
      <c r="D10" s="1665"/>
      <c r="E10" s="1675" t="s">
        <v>1950</v>
      </c>
      <c r="F10" s="1676" t="s">
        <v>3206</v>
      </c>
      <c r="G10" s="1742"/>
      <c r="H10" s="1743"/>
      <c r="I10" s="1665"/>
      <c r="J10" s="1691"/>
      <c r="K10" s="1771"/>
      <c r="L10" s="1720"/>
      <c r="M10" s="1720"/>
      <c r="N10" s="1691"/>
      <c r="O10" s="1692"/>
      <c r="P10" s="1691"/>
      <c r="Q10" s="1691"/>
      <c r="R10" s="1691"/>
      <c r="S10" s="1691"/>
      <c r="T10" s="1691"/>
      <c r="U10" s="1691"/>
    </row>
    <row r="11" spans="1:21">
      <c r="A11" s="1694" t="s">
        <v>2003</v>
      </c>
      <c r="B11" s="1695" t="s">
        <v>3207</v>
      </c>
      <c r="C11" s="3473" t="s">
        <v>3200</v>
      </c>
      <c r="D11" s="1759"/>
      <c r="E11" s="1658"/>
      <c r="F11" s="1658"/>
      <c r="G11" s="1658"/>
      <c r="H11" s="1658"/>
      <c r="I11" s="1658"/>
      <c r="J11" s="1691"/>
      <c r="K11" s="1771"/>
      <c r="L11" s="1720"/>
      <c r="M11" s="1720"/>
      <c r="N11" s="1691"/>
      <c r="O11" s="1692"/>
      <c r="P11" s="1691"/>
      <c r="Q11" s="1691"/>
      <c r="R11" s="1691"/>
      <c r="S11" s="1691"/>
      <c r="T11" s="1691"/>
      <c r="U11" s="1691"/>
    </row>
    <row r="12" spans="1:21">
      <c r="A12" s="1782" t="s">
        <v>2061</v>
      </c>
      <c r="B12" s="3547" t="s">
        <v>3208</v>
      </c>
      <c r="C12" s="3548"/>
      <c r="D12" s="3549"/>
      <c r="E12" s="1696" t="s">
        <v>2064</v>
      </c>
      <c r="F12" s="3565" t="s">
        <v>3209</v>
      </c>
      <c r="G12" s="3566"/>
      <c r="H12" s="3566"/>
      <c r="I12" s="3567"/>
      <c r="J12" s="1691"/>
      <c r="K12" s="1771"/>
      <c r="L12" s="1720"/>
      <c r="M12" s="1720"/>
      <c r="N12" s="1691"/>
      <c r="O12" s="1692"/>
      <c r="P12" s="1691"/>
      <c r="Q12" s="1691"/>
      <c r="R12" s="1691"/>
      <c r="S12" s="1691"/>
      <c r="T12" s="1691"/>
      <c r="U12" s="1691"/>
    </row>
    <row r="13" spans="1:21">
      <c r="A13" s="1684" t="s">
        <v>2062</v>
      </c>
      <c r="B13" s="3547" t="s">
        <v>3210</v>
      </c>
      <c r="C13" s="3548"/>
      <c r="D13" s="3549"/>
      <c r="E13" s="1696" t="s">
        <v>2064</v>
      </c>
      <c r="F13" s="3565" t="s">
        <v>3211</v>
      </c>
      <c r="G13" s="3566"/>
      <c r="H13" s="3566"/>
      <c r="I13" s="3567"/>
      <c r="J13" s="1691"/>
      <c r="K13" s="1771"/>
      <c r="L13" s="1720"/>
      <c r="M13" s="1720"/>
      <c r="N13" s="1691"/>
      <c r="O13" s="1692"/>
      <c r="P13" s="1691"/>
      <c r="Q13" s="1691"/>
      <c r="R13" s="1691"/>
      <c r="S13" s="1691"/>
      <c r="T13" s="1691"/>
      <c r="U13" s="1691"/>
    </row>
    <row r="14" spans="1:21">
      <c r="A14" s="1659" t="s">
        <v>2065</v>
      </c>
      <c r="B14" s="1696"/>
      <c r="C14" s="1842" t="s">
        <v>3212</v>
      </c>
      <c r="D14" s="1730" t="str">
        <f>IF(C14="不一致","是否符合证载地类范围","")</f>
        <v>是否符合证载地类范围</v>
      </c>
      <c r="E14" s="1696"/>
      <c r="F14" s="1787" t="s">
        <v>3213</v>
      </c>
      <c r="G14" s="1725"/>
      <c r="H14" s="1725"/>
      <c r="I14" s="1834"/>
      <c r="J14" s="1691"/>
      <c r="K14" s="1771"/>
      <c r="L14" s="1720"/>
      <c r="M14" s="1720"/>
      <c r="N14" s="1691"/>
      <c r="O14" s="1692"/>
      <c r="P14" s="1691"/>
      <c r="Q14" s="1691"/>
      <c r="R14" s="1691"/>
      <c r="S14" s="1691"/>
      <c r="T14" s="1691"/>
      <c r="U14" s="1691"/>
    </row>
    <row r="15" spans="1:21" hidden="1">
      <c r="A15" s="2666"/>
      <c r="B15" s="1661"/>
      <c r="C15" s="1661"/>
      <c r="D15" s="1763" t="s">
        <v>1953</v>
      </c>
      <c r="E15" s="1763" t="s">
        <v>1954</v>
      </c>
      <c r="F15" s="1763" t="s">
        <v>1955</v>
      </c>
      <c r="G15" s="1683" t="s">
        <v>1956</v>
      </c>
      <c r="H15" s="1683" t="s">
        <v>1957</v>
      </c>
      <c r="I15" s="1683" t="s">
        <v>1958</v>
      </c>
      <c r="J15" s="1691"/>
      <c r="K15" s="1771"/>
      <c r="L15" s="1720"/>
      <c r="M15" s="1720"/>
      <c r="N15" s="1691"/>
      <c r="O15" s="1692"/>
      <c r="P15" s="1691"/>
      <c r="Q15" s="1691"/>
      <c r="R15" s="1691"/>
      <c r="S15" s="1691"/>
      <c r="T15" s="1691"/>
      <c r="U15" s="1691"/>
    </row>
    <row r="16" spans="1:21" ht="42.75">
      <c r="A16" s="1677" t="s">
        <v>1951</v>
      </c>
      <c r="B16" s="1678" t="s">
        <v>3214</v>
      </c>
      <c r="C16" s="1696" t="s">
        <v>1952</v>
      </c>
      <c r="D16" s="2667" t="s">
        <v>1953</v>
      </c>
      <c r="E16" s="1719" t="s">
        <v>3215</v>
      </c>
      <c r="F16" s="1719"/>
      <c r="G16" s="1719" t="s">
        <v>35</v>
      </c>
      <c r="H16" s="1719"/>
      <c r="I16" s="1683" t="s">
        <v>1958</v>
      </c>
      <c r="J16" s="1691"/>
      <c r="K16" s="2476" t="str">
        <f>IF(D17="","",D16&amp;TEXT(D17,"yyyy年m月d日;;"))</f>
        <v>住宅2087年8月13日</v>
      </c>
      <c r="L16" s="1696" t="str">
        <f>IF(OR(K16="",M16=""),"","、")</f>
        <v>、</v>
      </c>
      <c r="M16" s="2476" t="str">
        <f>IF(E17="","",E16&amp;TEXT(E17,"yyyy年m月d日;;"))</f>
        <v>商业2057年8月13日</v>
      </c>
      <c r="N16" s="1696" t="str">
        <f>IF(OR(M16="",O16=""),"","、")</f>
        <v/>
      </c>
      <c r="O16" s="2476" t="str">
        <f>IF(F17="","",F16&amp;TEXT(F17,"yyyy年m月d日;;"))</f>
        <v/>
      </c>
      <c r="P16" s="1696" t="str">
        <f>IF(OR(O16="",Q16=""),"","、")</f>
        <v/>
      </c>
      <c r="Q16" s="2476" t="str">
        <f>IF(G17="","",G16&amp;TEXT(G17,"yyyy年m月d日;;"))</f>
        <v>地下车库2067年8月13日</v>
      </c>
      <c r="R16" s="1696" t="str">
        <f>IF(OR(Q16="",S16=""),"","、")</f>
        <v/>
      </c>
      <c r="S16" s="2476" t="str">
        <f>IF(H17="","",H16&amp;TEXT(H17,"yyyy年m月d日;;"))</f>
        <v/>
      </c>
      <c r="T16" s="1696" t="str">
        <f>IF(OR(S16="",U16=""),"","、")</f>
        <v/>
      </c>
      <c r="U16" s="2476" t="str">
        <f>IF(I17="","",I16&amp;TEXT(I17,"yyyy年m月d日;;"))</f>
        <v/>
      </c>
    </row>
    <row r="17" spans="1:21">
      <c r="A17" s="1760"/>
      <c r="B17" s="1679"/>
      <c r="C17" s="1680" t="s">
        <v>1959</v>
      </c>
      <c r="D17" s="1697">
        <v>68527</v>
      </c>
      <c r="E17" s="1697">
        <v>57570</v>
      </c>
      <c r="F17" s="1697"/>
      <c r="G17" s="1697">
        <v>61222</v>
      </c>
      <c r="H17" s="1697"/>
      <c r="I17" s="1697"/>
      <c r="J17" s="1691"/>
      <c r="K17" s="2475" t="str">
        <f>CONCATENATE(K16,L16,M16,N16,O16,P16,Q16,R16,S16,T16,,U16)</f>
        <v>住宅2087年8月13日、商业2057年8月13日地下车库2067年8月13日</v>
      </c>
      <c r="L17" s="1720"/>
      <c r="M17" s="1720"/>
      <c r="N17" s="1691"/>
      <c r="O17" s="1692"/>
      <c r="P17" s="1691"/>
      <c r="Q17" s="1691"/>
      <c r="R17" s="1691"/>
      <c r="S17" s="1691"/>
      <c r="T17" s="1691"/>
      <c r="U17" s="1691"/>
    </row>
    <row r="18" spans="1:21">
      <c r="A18" s="1760"/>
      <c r="B18" s="1679"/>
      <c r="C18" s="1680" t="s">
        <v>1960</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1961</v>
      </c>
      <c r="D19" s="1755">
        <f>IF(B16="出让",IF(D17="","",ROUNDDOWN(MIN((D17-$D$3)/365,D18),2)),D18)</f>
        <v>69.37</v>
      </c>
      <c r="E19" s="1682">
        <f>IF(B16="出让",IF(E17="","",ROUNDDOWN(MIN((E17-$D$3)/365,E18),2)),E18)</f>
        <v>39.35</v>
      </c>
      <c r="F19" s="1682" t="str">
        <f>IF(B16="出让",IF(F17="","",ROUNDDOWN(MIN((F17-$D$3)/365,F18),2)),F18)</f>
        <v/>
      </c>
      <c r="G19" s="1682">
        <f>IF(B16="出让",IF(G17="","",ROUNDDOWN(MIN((G17-$D$3)/365,G18),2)),G18)</f>
        <v>49.35</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562" t="s">
        <v>3216</v>
      </c>
      <c r="E20" s="3563"/>
      <c r="F20" s="3563"/>
      <c r="G20" s="3563"/>
      <c r="H20" s="3563"/>
      <c r="I20" s="3564"/>
      <c r="J20" s="1691"/>
      <c r="K20" s="1771"/>
      <c r="L20" s="1720"/>
      <c r="M20" s="1720"/>
      <c r="N20" s="1691"/>
      <c r="O20" s="1692"/>
      <c r="P20" s="1691"/>
      <c r="Q20" s="1691"/>
      <c r="R20" s="1691"/>
      <c r="S20" s="1691"/>
      <c r="T20" s="1691"/>
      <c r="U20" s="1691"/>
    </row>
    <row r="21" spans="1:21">
      <c r="A21" s="1760" t="s">
        <v>1962</v>
      </c>
      <c r="B21" s="1761" t="s">
        <v>1963</v>
      </c>
      <c r="C21" s="1756">
        <f>'数据-汇总表'!E3</f>
        <v>493630.89</v>
      </c>
      <c r="D21" s="1757" t="s">
        <v>1964</v>
      </c>
      <c r="E21" s="3552" t="s">
        <v>3217</v>
      </c>
      <c r="F21" s="3553"/>
      <c r="G21" s="3553"/>
      <c r="H21" s="3553"/>
      <c r="I21" s="3554"/>
      <c r="J21" s="1691"/>
      <c r="K21" s="1771"/>
      <c r="L21" s="1720"/>
      <c r="M21" s="1720"/>
      <c r="N21" s="1691"/>
      <c r="O21" s="1692"/>
      <c r="P21" s="1691"/>
      <c r="Q21" s="1691"/>
      <c r="R21" s="1691"/>
      <c r="S21" s="1691"/>
      <c r="T21" s="1691"/>
      <c r="U21" s="1691"/>
    </row>
    <row r="22" spans="1:21">
      <c r="A22" s="2658" t="s">
        <v>953</v>
      </c>
      <c r="B22" s="1659" t="s">
        <v>1965</v>
      </c>
      <c r="C22" s="1683">
        <f>'数据-汇总表'!D3</f>
        <v>153875</v>
      </c>
      <c r="D22" s="1684" t="s">
        <v>1964</v>
      </c>
      <c r="E22" s="3552" t="s">
        <v>3218</v>
      </c>
      <c r="F22" s="3553"/>
      <c r="G22" s="3553"/>
      <c r="H22" s="3553"/>
      <c r="I22" s="3554"/>
      <c r="J22" s="1691"/>
      <c r="K22" s="1771"/>
      <c r="L22" s="1720"/>
      <c r="M22" s="1720"/>
      <c r="N22" s="1691"/>
      <c r="O22" s="1692"/>
      <c r="P22" s="1691"/>
      <c r="Q22" s="1691"/>
      <c r="R22" s="1691"/>
      <c r="S22" s="1691"/>
      <c r="T22" s="1691"/>
      <c r="U22" s="1691"/>
    </row>
    <row r="23" spans="1:21" ht="43.5" thickBot="1">
      <c r="A23" s="1762" t="s">
        <v>1966</v>
      </c>
      <c r="B23" s="1698" t="s">
        <v>1967</v>
      </c>
      <c r="C23" s="1699" t="s">
        <v>3219</v>
      </c>
      <c r="D23" s="1700" t="s">
        <v>1968</v>
      </c>
      <c r="E23" s="1701" t="s">
        <v>953</v>
      </c>
      <c r="F23" s="1702" t="str">
        <f>IF(AND(C23="是",E23="否"),"是否提供他项权证或相关说明","")</f>
        <v/>
      </c>
      <c r="G23" s="1703" t="s">
        <v>953</v>
      </c>
      <c r="H23" s="1691"/>
      <c r="I23" s="1704"/>
      <c r="J23" s="1691"/>
      <c r="K23" s="1771"/>
      <c r="L23" s="1720"/>
      <c r="M23" s="1720"/>
      <c r="N23" s="1691"/>
      <c r="O23" s="1692"/>
      <c r="P23" s="1691"/>
      <c r="Q23" s="1691"/>
      <c r="R23" s="1691"/>
      <c r="S23" s="1691"/>
      <c r="T23" s="1691"/>
      <c r="U23" s="1691"/>
    </row>
    <row r="24" spans="1:21">
      <c r="A24" s="1747" t="s">
        <v>1969</v>
      </c>
      <c r="B24" s="3555" t="s">
        <v>1970</v>
      </c>
      <c r="C24" s="3556"/>
      <c r="D24" s="3557" t="s">
        <v>1971</v>
      </c>
      <c r="E24" s="3558"/>
      <c r="F24" s="1705" t="s">
        <v>1972</v>
      </c>
      <c r="G24" s="1691"/>
      <c r="H24" s="1691"/>
      <c r="I24" s="1704"/>
      <c r="J24" s="1691"/>
      <c r="K24" s="3543" t="s">
        <v>1973</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1974</v>
      </c>
      <c r="D25" s="1707"/>
      <c r="E25" s="1708" t="s">
        <v>953</v>
      </c>
      <c r="F25" s="1709"/>
      <c r="G25" s="1691"/>
      <c r="H25" s="1691"/>
      <c r="I25" s="1704"/>
      <c r="J25" s="1691"/>
      <c r="K25" s="3543"/>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1975</v>
      </c>
      <c r="C26" s="1706" t="s">
        <v>2329</v>
      </c>
      <c r="D26" s="1658"/>
      <c r="E26" s="1658"/>
      <c r="F26" s="1685"/>
      <c r="G26" s="1691"/>
      <c r="H26" s="1691"/>
      <c r="I26" s="1704"/>
      <c r="J26" s="1691"/>
      <c r="K26" s="3543"/>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1976</v>
      </c>
      <c r="B27" s="1750" t="s">
        <v>1977</v>
      </c>
      <c r="C27" s="1710"/>
      <c r="D27" s="2672" t="s">
        <v>1977</v>
      </c>
      <c r="E27" s="1711"/>
      <c r="F27" s="1685"/>
      <c r="G27" s="1691"/>
      <c r="H27" s="1691"/>
      <c r="I27" s="1704"/>
      <c r="J27" s="1691"/>
      <c r="K27" s="1771"/>
      <c r="L27" s="1720"/>
      <c r="M27" s="1720"/>
      <c r="N27" s="1691"/>
      <c r="O27" s="1692"/>
      <c r="P27" s="1691"/>
      <c r="Q27" s="1691"/>
      <c r="R27" s="1691"/>
      <c r="S27" s="1691"/>
      <c r="T27" s="1691"/>
      <c r="U27" s="1691"/>
    </row>
    <row r="28" spans="1:21">
      <c r="A28" s="1753"/>
      <c r="B28" s="1750" t="s">
        <v>1978</v>
      </c>
      <c r="C28" s="1712"/>
      <c r="D28" s="2673" t="s">
        <v>1978</v>
      </c>
      <c r="E28" s="1713"/>
      <c r="F28" s="1685"/>
      <c r="G28" s="1691"/>
      <c r="H28" s="1691"/>
      <c r="I28" s="1704"/>
      <c r="J28" s="1691"/>
      <c r="K28" s="1771"/>
      <c r="L28" s="1720"/>
      <c r="M28" s="1720"/>
      <c r="N28" s="1691"/>
      <c r="O28" s="1692"/>
      <c r="P28" s="1691"/>
      <c r="Q28" s="1691"/>
      <c r="R28" s="1691"/>
      <c r="S28" s="1691"/>
      <c r="T28" s="1691"/>
      <c r="U28" s="1691"/>
    </row>
    <row r="29" spans="1:21">
      <c r="A29" s="1753"/>
      <c r="B29" s="1750" t="s">
        <v>1979</v>
      </c>
      <c r="C29" s="1712"/>
      <c r="D29" s="2673" t="s">
        <v>1979</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1980</v>
      </c>
      <c r="C30" s="1714"/>
      <c r="D30" s="2674" t="s">
        <v>1980</v>
      </c>
      <c r="E30" s="1715"/>
      <c r="F30" s="1686"/>
      <c r="G30" s="1739"/>
      <c r="H30" s="1739"/>
      <c r="I30" s="1740"/>
      <c r="J30" s="1691"/>
      <c r="K30" s="1771"/>
      <c r="L30" s="1720"/>
      <c r="M30" s="1720"/>
      <c r="N30" s="1691"/>
      <c r="O30" s="1692"/>
      <c r="P30" s="1691"/>
      <c r="Q30" s="1691"/>
      <c r="R30" s="1691"/>
      <c r="S30" s="1691"/>
      <c r="T30" s="1691"/>
      <c r="U30" s="1691"/>
    </row>
    <row r="31" spans="1:21" ht="15" thickTop="1">
      <c r="A31" s="3570" t="s">
        <v>2004</v>
      </c>
      <c r="B31" s="1761" t="s">
        <v>2005</v>
      </c>
      <c r="C31" s="3568" t="s">
        <v>3220</v>
      </c>
      <c r="D31" s="3569"/>
      <c r="E31" s="1691"/>
      <c r="F31" s="1691"/>
      <c r="G31" s="1691"/>
      <c r="H31" s="1691"/>
      <c r="I31" s="1704"/>
      <c r="J31" s="1691"/>
      <c r="K31" s="2478"/>
      <c r="L31" s="1691"/>
      <c r="M31" s="1691"/>
      <c r="N31" s="1691"/>
      <c r="O31" s="1691"/>
      <c r="P31" s="1691"/>
      <c r="Q31" s="1691"/>
      <c r="R31" s="1691"/>
      <c r="S31" s="1691"/>
      <c r="T31" s="1691"/>
      <c r="U31" s="1691"/>
    </row>
    <row r="32" spans="1:21">
      <c r="A32" s="3570"/>
      <c r="B32" s="1659" t="s">
        <v>2006</v>
      </c>
      <c r="C32" s="1716" t="s">
        <v>3221</v>
      </c>
      <c r="D32" s="1717"/>
      <c r="E32" s="1691"/>
      <c r="F32" s="1691"/>
      <c r="G32" s="1691"/>
      <c r="H32" s="1691"/>
      <c r="I32" s="1704"/>
      <c r="J32" s="1691"/>
      <c r="K32" s="2478"/>
      <c r="L32" s="1691"/>
      <c r="M32" s="1691"/>
      <c r="N32" s="1691"/>
      <c r="O32" s="1691"/>
      <c r="P32" s="1691"/>
      <c r="Q32" s="1691"/>
      <c r="R32" s="1691"/>
      <c r="S32" s="1691"/>
      <c r="T32" s="1691"/>
      <c r="U32" s="1691"/>
    </row>
    <row r="33" spans="1:21">
      <c r="A33" s="3570"/>
      <c r="B33" s="1659" t="s">
        <v>2007</v>
      </c>
      <c r="C33" s="1718" t="s">
        <v>3219</v>
      </c>
      <c r="D33" s="1835"/>
      <c r="E33" s="1691"/>
      <c r="F33" s="1691"/>
      <c r="G33" s="1691"/>
      <c r="H33" s="1691"/>
      <c r="I33" s="1704"/>
      <c r="J33" s="1691"/>
      <c r="K33" s="2478"/>
      <c r="L33" s="1691"/>
      <c r="M33" s="1691"/>
      <c r="N33" s="1691"/>
      <c r="O33" s="1691"/>
      <c r="P33" s="1691"/>
      <c r="Q33" s="1691"/>
      <c r="R33" s="1691"/>
      <c r="S33" s="1691"/>
      <c r="T33" s="1691"/>
      <c r="U33" s="1691"/>
    </row>
    <row r="34" spans="1:21">
      <c r="A34" s="3571"/>
      <c r="B34" s="1659" t="s">
        <v>2008</v>
      </c>
      <c r="C34" s="3572"/>
      <c r="D34" s="3573"/>
      <c r="E34" s="1691"/>
      <c r="F34" s="1691"/>
      <c r="G34" s="1691"/>
      <c r="H34" s="1691"/>
      <c r="I34" s="1704"/>
      <c r="J34" s="1691"/>
      <c r="K34" s="2478"/>
      <c r="L34" s="1691"/>
      <c r="M34" s="1691"/>
      <c r="N34" s="1691"/>
      <c r="O34" s="1691"/>
      <c r="P34" s="1691"/>
      <c r="Q34" s="1691"/>
      <c r="R34" s="1691"/>
      <c r="S34" s="1691"/>
      <c r="T34" s="1691"/>
      <c r="U34" s="1691"/>
    </row>
    <row r="35" spans="1:21" ht="28.5">
      <c r="A35" s="3574" t="s">
        <v>848</v>
      </c>
      <c r="B35" s="1719" t="s">
        <v>3222</v>
      </c>
      <c r="C35" s="1773" t="str">
        <f>IF(B35="场地平整","——","具体情况：")</f>
        <v>具体情况：</v>
      </c>
      <c r="D35" s="3576" t="s">
        <v>3223</v>
      </c>
      <c r="E35" s="3577"/>
      <c r="F35" s="3577"/>
      <c r="G35" s="3577"/>
      <c r="H35" s="3577"/>
      <c r="I35" s="3578"/>
      <c r="J35" s="1691"/>
      <c r="K35" s="1772"/>
      <c r="L35" s="1720"/>
      <c r="M35" s="1720"/>
      <c r="N35" s="1691"/>
      <c r="O35" s="1692"/>
      <c r="P35" s="1691"/>
      <c r="Q35" s="1691"/>
      <c r="R35" s="1691"/>
      <c r="S35" s="1691"/>
      <c r="T35" s="1691"/>
      <c r="U35" s="1691"/>
    </row>
    <row r="36" spans="1:21">
      <c r="A36" s="3570"/>
      <c r="B36" s="3579" t="s">
        <v>2057</v>
      </c>
      <c r="C36" s="3580"/>
      <c r="D36" s="1789" t="s">
        <v>3224</v>
      </c>
      <c r="E36" s="3581"/>
      <c r="F36" s="3581"/>
      <c r="G36" s="1684" t="str">
        <f>IF(B35="场地未平整","估价结果处理","")</f>
        <v/>
      </c>
      <c r="H36" s="3582"/>
      <c r="I36" s="3582"/>
      <c r="J36" s="1691"/>
      <c r="K36" s="1772"/>
      <c r="L36" s="1720"/>
      <c r="M36" s="1720"/>
      <c r="N36" s="1691"/>
      <c r="O36" s="1692"/>
      <c r="P36" s="1691"/>
      <c r="Q36" s="1691"/>
      <c r="R36" s="1691"/>
      <c r="S36" s="1691"/>
      <c r="T36" s="1691"/>
      <c r="U36" s="1691"/>
    </row>
    <row r="37" spans="1:21" ht="28.5">
      <c r="A37" s="3570"/>
      <c r="B37" s="3559" t="s">
        <v>849</v>
      </c>
      <c r="C37" s="1721" t="s">
        <v>850</v>
      </c>
      <c r="D37" s="1722"/>
      <c r="E37" s="1723"/>
      <c r="F37" s="1691"/>
      <c r="G37" s="1691"/>
      <c r="H37" s="1691"/>
      <c r="I37" s="1704"/>
      <c r="J37" s="1691"/>
      <c r="K37" s="1772"/>
      <c r="L37" s="1691"/>
      <c r="M37" s="1691"/>
      <c r="N37" s="1691"/>
      <c r="O37" s="1691"/>
      <c r="P37" s="1691"/>
      <c r="Q37" s="1691"/>
      <c r="R37" s="1691"/>
      <c r="S37" s="1691"/>
      <c r="T37" s="1691"/>
      <c r="U37" s="1691"/>
    </row>
    <row r="38" spans="1:21">
      <c r="A38" s="3570"/>
      <c r="B38" s="3560"/>
      <c r="C38" s="1667" t="s">
        <v>851</v>
      </c>
      <c r="D38" s="1788">
        <f>ROUNDDOWN(MIN(('数据-取费表'!$B$2-D37)/365,D34),1)</f>
        <v>118.3</v>
      </c>
      <c r="E38" s="1724" t="s">
        <v>852</v>
      </c>
      <c r="F38" s="1691"/>
      <c r="G38" s="1691"/>
      <c r="H38" s="1691"/>
      <c r="I38" s="1704"/>
      <c r="J38" s="1691"/>
      <c r="K38" s="1772"/>
      <c r="L38" s="1691"/>
      <c r="M38" s="1691"/>
      <c r="N38" s="1691"/>
      <c r="O38" s="1691"/>
      <c r="P38" s="1691"/>
      <c r="Q38" s="1691"/>
      <c r="R38" s="1691"/>
      <c r="S38" s="1691"/>
      <c r="T38" s="1691"/>
      <c r="U38" s="1691"/>
    </row>
    <row r="39" spans="1:21">
      <c r="A39" s="3571"/>
      <c r="B39" s="356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1981</v>
      </c>
      <c r="B40" s="1687" t="s">
        <v>3225</v>
      </c>
      <c r="C40" s="1687" t="s">
        <v>3226</v>
      </c>
      <c r="D40" s="1687" t="s">
        <v>3227</v>
      </c>
      <c r="E40" s="1687" t="s">
        <v>3228</v>
      </c>
      <c r="F40" s="1687" t="s">
        <v>3229</v>
      </c>
      <c r="G40" s="1687" t="s">
        <v>3230</v>
      </c>
      <c r="H40" s="1687"/>
      <c r="I40" s="1704"/>
      <c r="J40" s="1691"/>
      <c r="K40" s="1727">
        <f>COUNTIF(B40:H40,"——")</f>
        <v>0</v>
      </c>
      <c r="L40" s="1696" t="s">
        <v>1982</v>
      </c>
      <c r="M40" s="1693" t="s">
        <v>1983</v>
      </c>
      <c r="N40" s="1693" t="s">
        <v>1984</v>
      </c>
      <c r="O40" s="1693" t="s">
        <v>1985</v>
      </c>
      <c r="P40" s="1693" t="s">
        <v>1986</v>
      </c>
      <c r="Q40" s="1693" t="s">
        <v>1987</v>
      </c>
      <c r="R40" s="1693" t="s">
        <v>1988</v>
      </c>
      <c r="S40" s="3542" t="s">
        <v>1989</v>
      </c>
      <c r="T40" s="1728" t="str">
        <f>NUMBERSTRING(7-K40,1)&amp;"通"</f>
        <v>七通</v>
      </c>
      <c r="U40" s="1691"/>
    </row>
    <row r="41" spans="1:21" ht="28.5">
      <c r="A41" s="1661"/>
      <c r="B41" s="3575" t="s">
        <v>1723</v>
      </c>
      <c r="C41" s="3575"/>
      <c r="D41" s="3575"/>
      <c r="E41" s="3575"/>
      <c r="F41" s="1729" t="str">
        <f>C10</f>
        <v>江西省赣州市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542"/>
      <c r="T41" s="1730" t="str">
        <f>IF(T40="一通",L41,IF(T40="二通",M41,IF(T40="三通",N41,IF(T40="四通",O41,IF(T40="五通",P41,IF(T40="六通",Q41,R41))))))</f>
        <v>通路、通电、通讯、通上水、通下水、燃气、</v>
      </c>
      <c r="U41" s="1691"/>
    </row>
    <row r="42" spans="1:21">
      <c r="A42" s="1732"/>
      <c r="B42" s="1763" t="s">
        <v>1899</v>
      </c>
      <c r="C42" s="1763" t="s">
        <v>1900</v>
      </c>
      <c r="D42" s="1763" t="s">
        <v>1901</v>
      </c>
      <c r="E42" s="1696" t="s">
        <v>1902</v>
      </c>
      <c r="F42" s="1733"/>
      <c r="G42" s="1691"/>
      <c r="H42" s="1691"/>
      <c r="I42" s="1704"/>
      <c r="J42" s="1691"/>
      <c r="K42" s="1771"/>
      <c r="L42" s="1720"/>
      <c r="M42" s="1720"/>
      <c r="N42" s="1691"/>
      <c r="O42" s="1692"/>
      <c r="P42" s="1691"/>
      <c r="Q42" s="1691"/>
      <c r="R42" s="1691"/>
      <c r="S42" s="1691"/>
      <c r="T42" s="1691"/>
      <c r="U42" s="1691"/>
    </row>
    <row r="43" spans="1:21">
      <c r="A43" s="1734" t="s">
        <v>1708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2895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H27" sqref="H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2336</v>
      </c>
      <c r="BA2" s="2357"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153875</v>
      </c>
      <c r="B3" s="22">
        <f>IF(C3="否",G5-AT5,G5)</f>
        <v>493630.89</v>
      </c>
      <c r="C3" s="23" t="s">
        <v>1680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493630.89</v>
      </c>
      <c r="H5" s="27">
        <f t="shared" ref="H5:AT5" si="0">SUM(H13:H641)</f>
        <v>479141.05</v>
      </c>
      <c r="I5" s="27">
        <f t="shared" si="0"/>
        <v>360128.49</v>
      </c>
      <c r="J5" s="27">
        <f t="shared" si="0"/>
        <v>0</v>
      </c>
      <c r="K5" s="27">
        <f t="shared" si="0"/>
        <v>2574.56</v>
      </c>
      <c r="L5" s="27">
        <f t="shared" si="0"/>
        <v>0</v>
      </c>
      <c r="M5" s="27">
        <f t="shared" si="0"/>
        <v>116438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14489.84</v>
      </c>
      <c r="AD5" s="27">
        <f t="shared" si="0"/>
        <v>3444.29</v>
      </c>
      <c r="AE5" s="27">
        <f t="shared" si="0"/>
        <v>0</v>
      </c>
      <c r="AF5" s="27">
        <f t="shared" si="0"/>
        <v>0</v>
      </c>
      <c r="AG5" s="27">
        <f t="shared" si="0"/>
        <v>0</v>
      </c>
      <c r="AH5" s="27">
        <f t="shared" si="0"/>
        <v>1250.83</v>
      </c>
      <c r="AI5" s="27">
        <f t="shared" si="0"/>
        <v>0</v>
      </c>
      <c r="AJ5" s="27">
        <f t="shared" si="0"/>
        <v>0</v>
      </c>
      <c r="AK5" s="27">
        <f t="shared" si="0"/>
        <v>0</v>
      </c>
      <c r="AL5" s="27">
        <f t="shared" si="0"/>
        <v>9794.7199999999993</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493630.89</v>
      </c>
      <c r="BA5" s="29">
        <f t="shared" si="1"/>
        <v>479141.05</v>
      </c>
      <c r="BB5" s="29">
        <f t="shared" si="1"/>
        <v>360128.49</v>
      </c>
      <c r="BC5" s="29">
        <f t="shared" si="1"/>
        <v>2574.56</v>
      </c>
      <c r="BD5" s="29">
        <f t="shared" si="1"/>
        <v>116438</v>
      </c>
      <c r="BE5" s="29">
        <f t="shared" si="1"/>
        <v>0</v>
      </c>
      <c r="BF5" s="29">
        <f t="shared" si="1"/>
        <v>0</v>
      </c>
      <c r="BG5" s="29">
        <f t="shared" si="1"/>
        <v>0</v>
      </c>
      <c r="BH5" s="29">
        <f t="shared" si="1"/>
        <v>0</v>
      </c>
      <c r="BI5" s="29">
        <f t="shared" si="1"/>
        <v>0</v>
      </c>
      <c r="BJ5" s="29">
        <f t="shared" si="1"/>
        <v>0</v>
      </c>
      <c r="BK5" s="29">
        <f t="shared" si="1"/>
        <v>0</v>
      </c>
      <c r="BL5" s="29">
        <f t="shared" si="1"/>
        <v>14489.84</v>
      </c>
      <c r="BM5" s="29">
        <f t="shared" si="1"/>
        <v>3444.29</v>
      </c>
      <c r="BN5" s="29">
        <f t="shared" si="1"/>
        <v>0</v>
      </c>
      <c r="BO5" s="29">
        <f t="shared" si="1"/>
        <v>1250.83</v>
      </c>
      <c r="BP5" s="29">
        <f t="shared" si="1"/>
        <v>0</v>
      </c>
      <c r="BQ5" s="29">
        <f t="shared" si="1"/>
        <v>9794.7199999999993</v>
      </c>
      <c r="BR5" s="29">
        <f t="shared" si="1"/>
        <v>0</v>
      </c>
      <c r="BS5" s="29">
        <f t="shared" si="1"/>
        <v>0</v>
      </c>
      <c r="BT5" s="30">
        <f t="shared" si="1"/>
        <v>0</v>
      </c>
    </row>
    <row r="6" spans="1:72" s="37" customFormat="1" ht="12.75">
      <c r="A6" s="26" t="s">
        <v>169</v>
      </c>
      <c r="B6" s="31"/>
      <c r="C6" s="31"/>
      <c r="D6" s="32"/>
      <c r="E6" s="27">
        <f>H6+AC6+AT6</f>
        <v>153875</v>
      </c>
      <c r="F6" s="27" t="s">
        <v>1</v>
      </c>
      <c r="G6" s="27" t="s">
        <v>2</v>
      </c>
      <c r="H6" s="33">
        <f>SUMIF(I$12:AB$12,"总值",I6:AB6)</f>
        <v>149358.21</v>
      </c>
      <c r="I6" s="27">
        <f t="shared" ref="I6:AB6" si="2">ROUND($A$3*I5/$B$3,2)</f>
        <v>112259.53</v>
      </c>
      <c r="J6" s="27">
        <f t="shared" si="2"/>
        <v>0</v>
      </c>
      <c r="K6" s="27">
        <f t="shared" si="2"/>
        <v>802.54</v>
      </c>
      <c r="L6" s="27">
        <f t="shared" si="2"/>
        <v>0</v>
      </c>
      <c r="M6" s="27">
        <f t="shared" si="2"/>
        <v>36296.14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4516.79</v>
      </c>
      <c r="AD6" s="27">
        <f t="shared" ref="AD6:AS6" si="3">ROUND($A$3*AD5/$B$3,2)</f>
        <v>1073.6600000000001</v>
      </c>
      <c r="AE6" s="27">
        <f t="shared" si="3"/>
        <v>0</v>
      </c>
      <c r="AF6" s="27">
        <f t="shared" si="3"/>
        <v>0</v>
      </c>
      <c r="AG6" s="27">
        <f t="shared" si="3"/>
        <v>0</v>
      </c>
      <c r="AH6" s="27">
        <f t="shared" si="3"/>
        <v>389.91</v>
      </c>
      <c r="AI6" s="27">
        <f t="shared" si="3"/>
        <v>0</v>
      </c>
      <c r="AJ6" s="27">
        <f t="shared" si="3"/>
        <v>0</v>
      </c>
      <c r="AK6" s="27">
        <f t="shared" si="3"/>
        <v>0</v>
      </c>
      <c r="AL6" s="27">
        <f t="shared" si="3"/>
        <v>3053.22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153875</v>
      </c>
      <c r="AZ6" s="27" t="s">
        <v>3</v>
      </c>
      <c r="BA6" s="27">
        <f>ROUND($AY$6*BA5/$AZ$5,2)</f>
        <v>149358.22</v>
      </c>
      <c r="BB6" s="27">
        <f>ROUND($AY$6*BB5/$AZ$5,2)</f>
        <v>112259.53</v>
      </c>
      <c r="BC6" s="27">
        <f t="shared" ref="BC6:BH6" si="4">ROUND($AY$6*BC5/$AZ$5,2)</f>
        <v>802.54</v>
      </c>
      <c r="BD6" s="27">
        <f t="shared" si="4"/>
        <v>36296.14</v>
      </c>
      <c r="BE6" s="27">
        <f t="shared" si="4"/>
        <v>0</v>
      </c>
      <c r="BF6" s="27">
        <f t="shared" si="4"/>
        <v>0</v>
      </c>
      <c r="BG6" s="27">
        <f t="shared" si="4"/>
        <v>0</v>
      </c>
      <c r="BH6" s="27">
        <f t="shared" si="4"/>
        <v>0</v>
      </c>
      <c r="BI6" s="27">
        <f t="shared" ref="BI6:BT6" si="5">ROUND($AY$6*BI5/$AZ$5,2)</f>
        <v>0</v>
      </c>
      <c r="BJ6" s="27">
        <f t="shared" si="5"/>
        <v>0</v>
      </c>
      <c r="BK6" s="27">
        <f t="shared" si="5"/>
        <v>0</v>
      </c>
      <c r="BL6" s="27">
        <f t="shared" si="5"/>
        <v>4516.78</v>
      </c>
      <c r="BM6" s="27">
        <f t="shared" si="5"/>
        <v>1073.6600000000001</v>
      </c>
      <c r="BN6" s="27">
        <f t="shared" si="5"/>
        <v>0</v>
      </c>
      <c r="BO6" s="27">
        <f t="shared" si="5"/>
        <v>389.91</v>
      </c>
      <c r="BP6" s="27">
        <f t="shared" si="5"/>
        <v>0</v>
      </c>
      <c r="BQ6" s="27">
        <f t="shared" si="5"/>
        <v>3053.22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9" t="s">
        <v>3231</v>
      </c>
      <c r="J9" s="51"/>
      <c r="K9" s="3039" t="s">
        <v>3231</v>
      </c>
      <c r="L9" s="51"/>
      <c r="M9" s="3039" t="s">
        <v>3234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9" t="s">
        <v>924</v>
      </c>
      <c r="J10" s="51"/>
      <c r="K10" s="3041" t="s">
        <v>3215</v>
      </c>
      <c r="L10" s="51"/>
      <c r="M10" s="3041" t="s">
        <v>3235</v>
      </c>
      <c r="N10" s="51"/>
      <c r="O10" s="66"/>
      <c r="P10" s="51"/>
      <c r="Q10" s="66"/>
      <c r="R10" s="51"/>
      <c r="S10" s="66"/>
      <c r="T10" s="51"/>
      <c r="U10" s="66"/>
      <c r="V10" s="51"/>
      <c r="W10" s="66"/>
      <c r="X10" s="51"/>
      <c r="Y10" s="66"/>
      <c r="Z10" s="51"/>
      <c r="AA10" s="66"/>
      <c r="AB10" s="51"/>
      <c r="AC10" s="55"/>
      <c r="AD10" s="2310" t="s">
        <v>2320</v>
      </c>
      <c r="AE10" s="2332"/>
      <c r="AF10" s="2310" t="s">
        <v>2320</v>
      </c>
      <c r="AG10" s="2332"/>
      <c r="AH10" s="2310" t="s">
        <v>2321</v>
      </c>
      <c r="AI10" s="2332"/>
      <c r="AJ10" s="26" t="s">
        <v>2334</v>
      </c>
      <c r="AK10" s="2329"/>
      <c r="AL10" s="2310" t="s">
        <v>2322</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0" t="s">
        <v>3232</v>
      </c>
      <c r="J11" s="71"/>
      <c r="K11" s="3040" t="s">
        <v>3233</v>
      </c>
      <c r="L11" s="71"/>
      <c r="M11" s="70" t="s">
        <v>3235</v>
      </c>
      <c r="N11" s="71"/>
      <c r="O11" s="70"/>
      <c r="P11" s="71"/>
      <c r="Q11" s="70"/>
      <c r="R11" s="71"/>
      <c r="S11" s="70"/>
      <c r="T11" s="71"/>
      <c r="U11" s="70"/>
      <c r="V11" s="71"/>
      <c r="W11" s="70"/>
      <c r="X11" s="71"/>
      <c r="Y11" s="70"/>
      <c r="Z11" s="71"/>
      <c r="AA11" s="70"/>
      <c r="AB11" s="71"/>
      <c r="AC11" s="55"/>
      <c r="AD11" s="2330" t="s">
        <v>2333</v>
      </c>
      <c r="AE11" s="1000"/>
      <c r="AF11" s="2330" t="s">
        <v>2333</v>
      </c>
      <c r="AG11" s="1000"/>
      <c r="AH11" s="2330" t="s">
        <v>2332</v>
      </c>
      <c r="AI11" s="2331"/>
      <c r="AJ11" s="2330" t="s">
        <v>2332</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独立商业</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c r="D13" s="3035" t="s">
        <v>1680</v>
      </c>
      <c r="E13" s="27">
        <f t="shared" ref="E13:E20" si="6">IF($C$3="是",ROUND($A$3*G13/$B$3,2),ROUND($A$3*(G13-AT13)/$B$3,2))</f>
        <v>153875</v>
      </c>
      <c r="F13" s="81"/>
      <c r="G13" s="82">
        <f t="shared" ref="G13:G20" si="7">H13+AC13+AT13</f>
        <v>493630.89</v>
      </c>
      <c r="H13" s="33">
        <f t="shared" ref="H13:H20" si="8">SUMIF(I$12:AB$12,"总值",I13:AB13)</f>
        <v>479141.05</v>
      </c>
      <c r="I13" s="3038">
        <v>360128.49</v>
      </c>
      <c r="J13" s="3038"/>
      <c r="K13" s="3038">
        <v>2574.56</v>
      </c>
      <c r="L13" s="3038"/>
      <c r="M13" s="3038">
        <v>116438</v>
      </c>
      <c r="N13" s="83"/>
      <c r="O13" s="83"/>
      <c r="P13" s="83"/>
      <c r="Q13" s="83"/>
      <c r="R13" s="83"/>
      <c r="S13" s="83"/>
      <c r="T13" s="83"/>
      <c r="U13" s="83"/>
      <c r="V13" s="83"/>
      <c r="W13" s="83"/>
      <c r="X13" s="83"/>
      <c r="Y13" s="83"/>
      <c r="Z13" s="83"/>
      <c r="AA13" s="83"/>
      <c r="AB13" s="83"/>
      <c r="AC13" s="27">
        <f t="shared" ref="AC13:AC20" si="9">SUMIF(AD$12:AS$12,"总值",AD13:AS13)</f>
        <v>14489.84</v>
      </c>
      <c r="AD13" s="3042">
        <v>3444.29</v>
      </c>
      <c r="AE13" s="3042"/>
      <c r="AF13" s="3042"/>
      <c r="AG13" s="3042"/>
      <c r="AH13" s="3042">
        <v>1250.83</v>
      </c>
      <c r="AI13" s="3042"/>
      <c r="AJ13" s="3042"/>
      <c r="AK13" s="3042"/>
      <c r="AL13" s="3042">
        <f>788.2+676.94+79+290+42+12+7906.58</f>
        <v>9794.7199999999993</v>
      </c>
      <c r="AM13" s="3042"/>
      <c r="AN13" s="3042"/>
      <c r="AO13" s="3042"/>
      <c r="AP13" s="3042"/>
      <c r="AQ13" s="3042"/>
      <c r="AR13" s="3042"/>
      <c r="AS13" s="3042"/>
      <c r="AT13" s="3043"/>
      <c r="AU13" s="3044"/>
      <c r="AV13" s="17">
        <f t="shared" ref="AV13:AX20" si="10">A13</f>
        <v>0</v>
      </c>
      <c r="AW13" s="17">
        <f t="shared" si="10"/>
        <v>0</v>
      </c>
      <c r="AX13" s="17">
        <f t="shared" si="10"/>
        <v>0</v>
      </c>
      <c r="AY13" s="994">
        <f t="shared" ref="AY13:AY20" si="11">ROUND($AY$6*AZ13/$AZ$5,2)</f>
        <v>153875</v>
      </c>
      <c r="AZ13" s="27">
        <f t="shared" ref="AZ13:AZ20" si="12">BA13+BL13</f>
        <v>493630.89</v>
      </c>
      <c r="BA13" s="27">
        <f t="shared" ref="BA13:BA20" si="13">SUM(BB13:BK13)</f>
        <v>479141.05</v>
      </c>
      <c r="BB13" s="27">
        <f t="shared" ref="BB13:BB20" si="14">IF($D13="是",I13-J13,0)</f>
        <v>360128.49</v>
      </c>
      <c r="BC13" s="27">
        <f t="shared" ref="BC13:BC20" si="15">IF($D13="是",K13-L13,0)</f>
        <v>2574.56</v>
      </c>
      <c r="BD13" s="27">
        <f t="shared" ref="BD13:BD20" si="16">IF($D13="是",M13-N13,0)</f>
        <v>116438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14489.84</v>
      </c>
      <c r="BM13" s="27">
        <f t="shared" ref="BM13:BM20" si="25">IF($D13="是",AD13-AE13,0)</f>
        <v>3444.29</v>
      </c>
      <c r="BN13" s="27">
        <f t="shared" ref="BN13:BN20" si="26">IF($D13="是",AF13-AG13,0)</f>
        <v>0</v>
      </c>
      <c r="BO13" s="27">
        <f t="shared" ref="BO13:BO20" si="27">IF($D13="是",AH13-AI13,0)</f>
        <v>1250.83</v>
      </c>
      <c r="BP13" s="27">
        <f t="shared" ref="BP13:BP20" si="28">IF($D13="是",AJ13-AK13,0)</f>
        <v>0</v>
      </c>
      <c r="BQ13" s="27">
        <f t="shared" ref="BQ13:BQ20" si="29">IF($D13="是",AL13-AM13,0)</f>
        <v>9794.7199999999993</v>
      </c>
      <c r="BR13" s="27">
        <f t="shared" ref="BR13:BR20" si="30">IF($D13="是",AN13-AO13,0)</f>
        <v>0</v>
      </c>
      <c r="BS13" s="27">
        <f t="shared" ref="BS13:BS20" si="31">IF($D13="是",AP13-AQ13,0)</f>
        <v>0</v>
      </c>
      <c r="BT13" s="36">
        <f t="shared" ref="BT13:BT20" si="32">IF($D13="是",AR13-AS13,0)</f>
        <v>0</v>
      </c>
    </row>
    <row r="14" spans="1:72" s="18" customFormat="1" ht="12.75">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7"/>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3" t="s">
        <v>0</v>
      </c>
      <c r="B1" s="3583" t="s">
        <v>4</v>
      </c>
      <c r="C1" s="3583" t="s">
        <v>5</v>
      </c>
      <c r="D1" s="3584" t="s">
        <v>40</v>
      </c>
      <c r="E1" s="3584" t="s">
        <v>41</v>
      </c>
      <c r="F1" s="3584"/>
      <c r="G1" s="3584"/>
      <c r="H1" s="3584"/>
      <c r="I1" s="3584"/>
      <c r="J1" s="3584"/>
      <c r="K1" s="3584"/>
      <c r="L1" s="3584"/>
      <c r="M1" s="3584"/>
    </row>
    <row r="2" spans="1:13" ht="27" customHeight="1">
      <c r="A2" s="3583"/>
      <c r="B2" s="3583"/>
      <c r="C2" s="3583"/>
      <c r="D2" s="3584"/>
      <c r="E2" s="3584" t="s">
        <v>24</v>
      </c>
      <c r="F2" s="3584" t="s">
        <v>25</v>
      </c>
      <c r="G2" s="3584"/>
      <c r="H2" s="3584"/>
      <c r="I2" s="3584"/>
      <c r="J2" s="3584" t="s">
        <v>26</v>
      </c>
      <c r="K2" s="3584"/>
      <c r="L2" s="3584"/>
      <c r="M2" s="3584"/>
    </row>
    <row r="3" spans="1:13" ht="28.5">
      <c r="A3" s="3583"/>
      <c r="B3" s="3583"/>
      <c r="C3" s="3583"/>
      <c r="D3" s="3584"/>
      <c r="E3" s="35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4" t="s">
        <v>42</v>
      </c>
      <c r="B9" s="3584"/>
      <c r="C9" s="35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9" sqref="I2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594" t="s">
        <v>203</v>
      </c>
      <c r="B2" s="3594"/>
      <c r="C2" s="3594"/>
      <c r="D2" s="1973" t="s">
        <v>204</v>
      </c>
      <c r="E2" s="106" t="s">
        <v>205</v>
      </c>
      <c r="F2" s="1982"/>
      <c r="G2" s="1196"/>
      <c r="H2" s="1197"/>
      <c r="I2" s="1198" t="s">
        <v>858</v>
      </c>
      <c r="J2" s="1982"/>
      <c r="K2" s="1982"/>
      <c r="L2" s="1982"/>
    </row>
    <row r="3" spans="1:16" ht="15.75" thickBot="1">
      <c r="A3" s="3595" t="s">
        <v>206</v>
      </c>
      <c r="B3" s="3595"/>
      <c r="C3" s="3595"/>
      <c r="D3" s="107">
        <f>'数据-基础表'!AY6</f>
        <v>153875</v>
      </c>
      <c r="E3" s="107">
        <f>'数据-基础表'!AZ5</f>
        <v>493630.89</v>
      </c>
      <c r="F3" s="1982"/>
      <c r="G3" s="279" t="s">
        <v>859</v>
      </c>
      <c r="H3" s="274" t="s">
        <v>860</v>
      </c>
      <c r="I3" s="1974">
        <f>ROUND('数据-基础表'!B3/'数据-基础表'!A3,2)</f>
        <v>3.21</v>
      </c>
      <c r="J3" s="1982"/>
      <c r="K3" s="1982"/>
      <c r="L3" s="1982"/>
    </row>
    <row r="4" spans="1:16" ht="15">
      <c r="A4" s="3596"/>
      <c r="B4" s="3597"/>
      <c r="C4" s="3598"/>
      <c r="D4" s="108" t="s">
        <v>204</v>
      </c>
      <c r="E4" s="109" t="s">
        <v>205</v>
      </c>
      <c r="F4" s="1982"/>
      <c r="G4" s="1199"/>
      <c r="H4" s="274" t="s">
        <v>861</v>
      </c>
      <c r="I4" s="1974">
        <f>ROUND(SUMIF('数据-基础表'!I9:AS9,"地上",'数据-基础表'!I5:AS5)/'数据-基础表'!A3,2)</f>
        <v>2.4500000000000002</v>
      </c>
      <c r="J4" s="1982"/>
      <c r="K4" s="1982"/>
      <c r="L4" s="1982"/>
    </row>
    <row r="5" spans="1:16">
      <c r="A5" s="110" t="s">
        <v>207</v>
      </c>
      <c r="B5" s="3599" t="s">
        <v>230</v>
      </c>
      <c r="C5" s="3599"/>
      <c r="D5" s="111">
        <f>ROUND($D$3*E5/$E$3,2)</f>
        <v>112259.53</v>
      </c>
      <c r="E5" s="112">
        <f>SUMIF('数据-基础表'!$11:$11,"住宅",'数据-基础表'!$5:$5)</f>
        <v>360128.49</v>
      </c>
      <c r="F5" s="1982"/>
      <c r="G5" s="279" t="s">
        <v>862</v>
      </c>
      <c r="H5" s="274" t="s">
        <v>860</v>
      </c>
      <c r="I5" s="1974">
        <f>ROUND(E31/D31,2)</f>
        <v>3.21</v>
      </c>
      <c r="J5" s="1982"/>
      <c r="K5" s="1982"/>
      <c r="L5" s="1982"/>
    </row>
    <row r="6" spans="1:16" ht="15" thickBot="1">
      <c r="A6" s="113"/>
      <c r="B6" s="3599" t="s">
        <v>208</v>
      </c>
      <c r="C6" s="3599"/>
      <c r="D6" s="111">
        <f>ROUND($D$3*E6/$E$3,2)</f>
        <v>41615.47</v>
      </c>
      <c r="E6" s="112">
        <f>E3-E5</f>
        <v>133502.40000000002</v>
      </c>
      <c r="F6" s="1982"/>
      <c r="G6" s="1199"/>
      <c r="H6" s="274" t="s">
        <v>861</v>
      </c>
      <c r="I6" s="1974">
        <f>ROUND(F31/D31,2)</f>
        <v>2.4500000000000002</v>
      </c>
      <c r="J6" s="1982"/>
      <c r="K6" s="1982"/>
      <c r="L6" s="1982"/>
    </row>
    <row r="7" spans="1:16" ht="15">
      <c r="A7" s="3591"/>
      <c r="B7" s="3592"/>
      <c r="C7" s="3593"/>
      <c r="D7" s="108" t="s">
        <v>204</v>
      </c>
      <c r="E7" s="114" t="s">
        <v>231</v>
      </c>
      <c r="F7" s="1982"/>
      <c r="G7" s="1154" t="s">
        <v>1647</v>
      </c>
      <c r="H7" s="1155"/>
      <c r="I7" s="1844">
        <v>2.4</v>
      </c>
      <c r="J7" s="1982"/>
      <c r="K7" s="1982"/>
      <c r="L7" s="1982"/>
    </row>
    <row r="8" spans="1:16">
      <c r="A8" s="110" t="s">
        <v>209</v>
      </c>
      <c r="B8" s="115" t="s">
        <v>210</v>
      </c>
      <c r="C8" s="111" t="s">
        <v>211</v>
      </c>
      <c r="D8" s="111">
        <f t="shared" ref="D8:D15" si="0">ROUND($D$3*E8/$E$3,2)</f>
        <v>113062.07</v>
      </c>
      <c r="E8" s="116">
        <f>SUMIF('数据-基础表'!BB10:BK10,"地上",'数据-基础表'!BB5:BK5)</f>
        <v>362703.05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7" t="s">
        <v>2330</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7" t="s">
        <v>2337</v>
      </c>
      <c r="D13" s="111">
        <f t="shared" si="0"/>
        <v>36296.14</v>
      </c>
      <c r="E13" s="116">
        <f>SUMPRODUCT(('数据-基础表'!BB10:BK10="地下")*('数据-基础表'!BB11:BK11="车库")*('数据-基础表'!BB5:BK5))</f>
        <v>116438</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149358.21000000002</v>
      </c>
      <c r="E16" s="120">
        <f>SUM(E8:E15)</f>
        <v>479141.05</v>
      </c>
      <c r="F16" s="1982"/>
      <c r="G16" s="1984"/>
      <c r="H16" s="966" t="s">
        <v>219</v>
      </c>
      <c r="I16" s="967"/>
      <c r="J16" s="1982"/>
      <c r="K16" s="3585" t="s">
        <v>2572</v>
      </c>
      <c r="L16" s="3586"/>
      <c r="M16" s="3586"/>
      <c r="N16" s="3586"/>
      <c r="O16" s="3586"/>
      <c r="P16" s="3587"/>
    </row>
    <row r="17" spans="1:19" ht="15">
      <c r="A17" s="121" t="s">
        <v>216</v>
      </c>
      <c r="B17" s="122" t="s">
        <v>217</v>
      </c>
      <c r="C17" s="2294" t="s">
        <v>2316</v>
      </c>
      <c r="D17" s="108" t="s">
        <v>204</v>
      </c>
      <c r="E17" s="124" t="s">
        <v>205</v>
      </c>
      <c r="F17" s="125"/>
      <c r="G17" s="1364"/>
      <c r="H17" s="968" t="s">
        <v>218</v>
      </c>
      <c r="I17" s="969" t="s">
        <v>2315</v>
      </c>
      <c r="J17" s="1982"/>
      <c r="K17" s="3588" t="s">
        <v>2573</v>
      </c>
      <c r="L17" s="3589"/>
      <c r="M17" s="3590"/>
      <c r="N17" s="3588" t="s">
        <v>2574</v>
      </c>
      <c r="O17" s="3589"/>
      <c r="P17" s="3590"/>
      <c r="R17" s="2295" t="s">
        <v>2314</v>
      </c>
      <c r="S17" s="144"/>
    </row>
    <row r="18" spans="1:19" ht="15">
      <c r="A18" s="117"/>
      <c r="B18" s="128"/>
      <c r="C18" s="129"/>
      <c r="D18" s="2663"/>
      <c r="E18" s="130" t="s">
        <v>220</v>
      </c>
      <c r="F18" s="131" t="s">
        <v>221</v>
      </c>
      <c r="G18" s="1365" t="s">
        <v>222</v>
      </c>
      <c r="H18" s="970" t="s">
        <v>223</v>
      </c>
      <c r="I18" s="971" t="s">
        <v>224</v>
      </c>
      <c r="J18" s="1982"/>
      <c r="K18" s="2625" t="s">
        <v>2575</v>
      </c>
      <c r="L18" s="2626" t="s">
        <v>2576</v>
      </c>
      <c r="M18" s="2627" t="s">
        <v>2577</v>
      </c>
      <c r="N18" s="2625" t="s">
        <v>2575</v>
      </c>
      <c r="O18" s="2626" t="s">
        <v>2576</v>
      </c>
      <c r="P18" s="2627" t="s">
        <v>2577</v>
      </c>
      <c r="R18" s="2296" t="s">
        <v>2312</v>
      </c>
      <c r="S18" s="2296" t="s">
        <v>2313</v>
      </c>
    </row>
    <row r="19" spans="1:19">
      <c r="A19" s="133"/>
      <c r="B19" s="115" t="s">
        <v>225</v>
      </c>
      <c r="C19" s="3045" t="s">
        <v>3236</v>
      </c>
      <c r="D19" s="111">
        <f t="shared" ref="D19:D26" si="1">ROUND($D$3*E19/$E$3,2)</f>
        <v>112259.53</v>
      </c>
      <c r="E19" s="134">
        <f t="shared" ref="E19:E26" si="2">SUM(F19:G19)</f>
        <v>360128.49</v>
      </c>
      <c r="F19" s="135">
        <f>'数据-基础表'!I13</f>
        <v>360128.49</v>
      </c>
      <c r="G19" s="1366"/>
      <c r="H19" s="972">
        <f>ROUND($D$3*I19/$E$3,2)</f>
        <v>3758.4</v>
      </c>
      <c r="I19" s="116">
        <f>IF($I$17="自定义",P19,M19)</f>
        <v>12056.96</v>
      </c>
      <c r="J19" s="1982"/>
      <c r="K19" s="2628">
        <f t="shared" ref="K19:K26" si="3">ROUND(E$28*E19/E$27,2)</f>
        <v>7361.84</v>
      </c>
      <c r="L19" s="274">
        <f t="shared" ref="L19:L26" si="4">ROUND(IF(COUNTIF(C19,"*住宅*")&gt;0,E$29*E19/E$32,0),2)</f>
        <v>4695.12</v>
      </c>
      <c r="M19" s="2629">
        <f>K19+L19</f>
        <v>12056.96</v>
      </c>
      <c r="N19" s="2630"/>
      <c r="O19" s="2631"/>
      <c r="P19" s="2632">
        <f>N19+O19</f>
        <v>0</v>
      </c>
      <c r="R19" s="274">
        <f t="shared" ref="R19:S26" si="5">D19+H19</f>
        <v>116017.93</v>
      </c>
      <c r="S19" s="2297">
        <f t="shared" si="5"/>
        <v>372185.45</v>
      </c>
    </row>
    <row r="20" spans="1:19">
      <c r="A20" s="138"/>
      <c r="B20" s="115" t="s">
        <v>226</v>
      </c>
      <c r="C20" s="3045" t="s">
        <v>3237</v>
      </c>
      <c r="D20" s="111">
        <f t="shared" si="1"/>
        <v>802.54</v>
      </c>
      <c r="E20" s="134">
        <f t="shared" si="2"/>
        <v>2574.56</v>
      </c>
      <c r="F20" s="135">
        <f>'数据-基础表'!K13</f>
        <v>2574.56</v>
      </c>
      <c r="G20" s="1366"/>
      <c r="H20" s="972">
        <f t="shared" ref="H20:H26" si="6">ROUND($D$3*I20/$E$3,2)</f>
        <v>16.41</v>
      </c>
      <c r="I20" s="116">
        <f t="shared" ref="I20:I26" si="7">IF($I$17="自定义",P20,M20)</f>
        <v>52.63</v>
      </c>
      <c r="J20" s="1982"/>
      <c r="K20" s="2628">
        <f t="shared" si="3"/>
        <v>52.63</v>
      </c>
      <c r="L20" s="274">
        <f t="shared" si="4"/>
        <v>0</v>
      </c>
      <c r="M20" s="2629">
        <f t="shared" ref="M20:M26" si="8">K20+L20</f>
        <v>52.63</v>
      </c>
      <c r="N20" s="2630"/>
      <c r="O20" s="2631"/>
      <c r="P20" s="2632">
        <f t="shared" ref="P20:P26" si="9">N20+O20</f>
        <v>0</v>
      </c>
      <c r="R20" s="274">
        <f t="shared" si="5"/>
        <v>818.94999999999993</v>
      </c>
      <c r="S20" s="2297">
        <f t="shared" si="5"/>
        <v>2627.19</v>
      </c>
    </row>
    <row r="21" spans="1:19">
      <c r="A21" s="138"/>
      <c r="B21" s="115" t="s">
        <v>226</v>
      </c>
      <c r="C21" s="3045" t="s">
        <v>3238</v>
      </c>
      <c r="D21" s="111">
        <f t="shared" si="1"/>
        <v>36296.14</v>
      </c>
      <c r="E21" s="134">
        <f t="shared" si="2"/>
        <v>116438</v>
      </c>
      <c r="F21" s="135"/>
      <c r="G21" s="1366">
        <f>'数据-基础表'!M13</f>
        <v>116438</v>
      </c>
      <c r="H21" s="972">
        <f t="shared" si="6"/>
        <v>741.97</v>
      </c>
      <c r="I21" s="116">
        <f t="shared" si="7"/>
        <v>2380.25</v>
      </c>
      <c r="J21" s="1982"/>
      <c r="K21" s="2628">
        <f t="shared" si="3"/>
        <v>2380.25</v>
      </c>
      <c r="L21" s="274">
        <f t="shared" si="4"/>
        <v>0</v>
      </c>
      <c r="M21" s="2629">
        <f t="shared" si="8"/>
        <v>2380.25</v>
      </c>
      <c r="N21" s="2630"/>
      <c r="O21" s="2631"/>
      <c r="P21" s="2632">
        <f t="shared" si="9"/>
        <v>0</v>
      </c>
      <c r="R21" s="274">
        <f t="shared" si="5"/>
        <v>37038.11</v>
      </c>
      <c r="S21" s="2297">
        <f t="shared" si="5"/>
        <v>118818.25</v>
      </c>
    </row>
    <row r="22" spans="1:19">
      <c r="A22" s="138"/>
      <c r="B22" s="115" t="s">
        <v>226</v>
      </c>
      <c r="C22" s="1363"/>
      <c r="D22" s="111">
        <f t="shared" si="1"/>
        <v>0</v>
      </c>
      <c r="E22" s="134">
        <f t="shared" si="2"/>
        <v>0</v>
      </c>
      <c r="F22" s="140"/>
      <c r="G22" s="1367"/>
      <c r="H22" s="972">
        <f t="shared" si="6"/>
        <v>0</v>
      </c>
      <c r="I22" s="116">
        <f t="shared" si="7"/>
        <v>0</v>
      </c>
      <c r="J22" s="1982"/>
      <c r="K22" s="2628">
        <f t="shared" si="3"/>
        <v>0</v>
      </c>
      <c r="L22" s="274">
        <f t="shared" si="4"/>
        <v>0</v>
      </c>
      <c r="M22" s="2629">
        <f t="shared" si="8"/>
        <v>0</v>
      </c>
      <c r="N22" s="2630"/>
      <c r="O22" s="2631"/>
      <c r="P22" s="2632">
        <f t="shared" si="9"/>
        <v>0</v>
      </c>
      <c r="R22" s="274">
        <f t="shared" si="5"/>
        <v>0</v>
      </c>
      <c r="S22" s="2297">
        <f t="shared" si="5"/>
        <v>0</v>
      </c>
    </row>
    <row r="23" spans="1:19">
      <c r="A23" s="138"/>
      <c r="B23" s="115" t="s">
        <v>226</v>
      </c>
      <c r="C23" s="139"/>
      <c r="D23" s="111">
        <f>ROUND($D$3*E23/$E$3,2)</f>
        <v>0</v>
      </c>
      <c r="E23" s="134">
        <f>SUM(F23:G23)</f>
        <v>0</v>
      </c>
      <c r="F23" s="140"/>
      <c r="G23" s="1367"/>
      <c r="H23" s="972">
        <f>ROUND($D$3*I23/$E$3,2)</f>
        <v>0</v>
      </c>
      <c r="I23" s="116">
        <f t="shared" si="7"/>
        <v>0</v>
      </c>
      <c r="J23" s="1982"/>
      <c r="K23" s="2628">
        <f t="shared" si="3"/>
        <v>0</v>
      </c>
      <c r="L23" s="274">
        <f t="shared" si="4"/>
        <v>0</v>
      </c>
      <c r="M23" s="2629">
        <f t="shared" si="8"/>
        <v>0</v>
      </c>
      <c r="N23" s="2630"/>
      <c r="O23" s="2631"/>
      <c r="P23" s="2632">
        <f t="shared" si="9"/>
        <v>0</v>
      </c>
      <c r="R23" s="274">
        <f t="shared" si="5"/>
        <v>0</v>
      </c>
      <c r="S23" s="2297">
        <f t="shared" si="5"/>
        <v>0</v>
      </c>
    </row>
    <row r="24" spans="1:19">
      <c r="A24" s="138"/>
      <c r="B24" s="115" t="s">
        <v>226</v>
      </c>
      <c r="C24" s="139"/>
      <c r="D24" s="111">
        <f>ROUND($D$3*E24/$E$3,2)</f>
        <v>0</v>
      </c>
      <c r="E24" s="134">
        <f>SUM(F24:G24)</f>
        <v>0</v>
      </c>
      <c r="F24" s="140"/>
      <c r="G24" s="1367"/>
      <c r="H24" s="972">
        <f>ROUND($D$3*I24/$E$3,2)</f>
        <v>0</v>
      </c>
      <c r="I24" s="116">
        <f t="shared" si="7"/>
        <v>0</v>
      </c>
      <c r="J24" s="1982"/>
      <c r="K24" s="2628">
        <f t="shared" si="3"/>
        <v>0</v>
      </c>
      <c r="L24" s="274">
        <f t="shared" si="4"/>
        <v>0</v>
      </c>
      <c r="M24" s="2629">
        <f t="shared" si="8"/>
        <v>0</v>
      </c>
      <c r="N24" s="2630"/>
      <c r="O24" s="2631"/>
      <c r="P24" s="2632">
        <f t="shared" si="9"/>
        <v>0</v>
      </c>
      <c r="R24" s="274">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2"/>
      <c r="K25" s="2628">
        <f t="shared" si="3"/>
        <v>0</v>
      </c>
      <c r="L25" s="274">
        <f t="shared" si="4"/>
        <v>0</v>
      </c>
      <c r="M25" s="2629">
        <f t="shared" si="8"/>
        <v>0</v>
      </c>
      <c r="N25" s="2630"/>
      <c r="O25" s="2631"/>
      <c r="P25" s="2632">
        <f t="shared" si="9"/>
        <v>0</v>
      </c>
      <c r="R25" s="274">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2"/>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215</v>
      </c>
      <c r="D27" s="134">
        <f>SUM(D19:D26)</f>
        <v>149358.21</v>
      </c>
      <c r="E27" s="143">
        <f>IF(SUM(E19:E26)='数据-基础表'!BA5,SUM(E19:E26),IF(F27="地上面积有误","面积有误","地下面积有误"))</f>
        <v>479141.05</v>
      </c>
      <c r="F27" s="134">
        <f>IF(SUM(F19:F26)=E8,SUM(F19:F26),"地上面积有误")</f>
        <v>362703.05</v>
      </c>
      <c r="G27" s="112">
        <f>SUM(G19:G26)</f>
        <v>116438</v>
      </c>
      <c r="H27" s="973">
        <f>SUM(H19:H26)</f>
        <v>4516.78</v>
      </c>
      <c r="I27" s="974">
        <f>SUM(I19:I26)</f>
        <v>14489.839999999998</v>
      </c>
      <c r="J27" s="1982"/>
      <c r="K27" s="2637">
        <f>SUM(K19:K26)</f>
        <v>9794.7200000000012</v>
      </c>
      <c r="L27" s="2638">
        <f>SUM(L19:L26)</f>
        <v>4695.12</v>
      </c>
      <c r="M27" s="2639">
        <f>SUM(M19:M26)</f>
        <v>14489.839999999998</v>
      </c>
      <c r="N27" s="2637">
        <f t="shared" ref="N27:O27" si="10">SUM(N19:N26)</f>
        <v>0</v>
      </c>
      <c r="O27" s="2638">
        <f t="shared" si="10"/>
        <v>0</v>
      </c>
      <c r="P27" s="2640">
        <f>SUM(P19:P26)</f>
        <v>0</v>
      </c>
      <c r="R27" s="2301" t="str">
        <f>IF(SUM(R19:R26)=$D$3,SUM(R19:R26),SUM(R19:R26)&amp;"误差"&amp;ROUND(SUM(R19:R26)-$D$3,2))</f>
        <v>153874.99误差-0.01</v>
      </c>
      <c r="S27" s="274">
        <f>IF(SUM(S19:S26)=$E$3,SUM(S19:S26),SUM(S19:S26)&amp;"误差"&amp;ROUND(SUM(S19:S26)-E3,2))</f>
        <v>493630.89</v>
      </c>
    </row>
    <row r="28" spans="1:19">
      <c r="A28" s="138"/>
      <c r="B28" s="115" t="s">
        <v>227</v>
      </c>
      <c r="C28" s="136" t="s">
        <v>228</v>
      </c>
      <c r="D28" s="111">
        <f>ROUND($D$3*E28/$E$3,2)</f>
        <v>3053.22</v>
      </c>
      <c r="E28" s="134">
        <f>SUM(F28:G28)</f>
        <v>9794.7199999999993</v>
      </c>
      <c r="F28" s="144">
        <f>'数据-基础表'!BQ5+'数据-基础表'!BS5</f>
        <v>9794.7199999999993</v>
      </c>
      <c r="G28" s="145">
        <f>'数据-基础表'!BR5+'数据-基础表'!BT5</f>
        <v>0</v>
      </c>
      <c r="H28" s="1982"/>
      <c r="I28" s="1982"/>
      <c r="J28" s="1982"/>
      <c r="K28" s="1982"/>
      <c r="L28" s="1982"/>
    </row>
    <row r="29" spans="1:19">
      <c r="A29" s="138"/>
      <c r="B29" s="115" t="s">
        <v>227</v>
      </c>
      <c r="C29" s="2309" t="s">
        <v>2323</v>
      </c>
      <c r="D29" s="111">
        <f>ROUND($D$3*E29/$E$3,2)</f>
        <v>1463.57</v>
      </c>
      <c r="E29" s="134">
        <f>SUM(F29:G29)</f>
        <v>4695.12</v>
      </c>
      <c r="F29" s="144">
        <f>'数据-基础表'!BM5+'数据-基础表'!BO5</f>
        <v>4695.12</v>
      </c>
      <c r="G29" s="146">
        <f>'数据-基础表'!BN5+'数据-基础表'!BP5</f>
        <v>0</v>
      </c>
      <c r="H29" s="1982"/>
      <c r="I29" s="1982"/>
      <c r="J29" s="1982"/>
      <c r="K29" s="1982"/>
      <c r="L29" s="1982"/>
    </row>
    <row r="30" spans="1:19">
      <c r="A30" s="138"/>
      <c r="B30" s="111"/>
      <c r="C30" s="147" t="s">
        <v>215</v>
      </c>
      <c r="D30" s="134">
        <f>SUM(D28:D29)</f>
        <v>4516.79</v>
      </c>
      <c r="E30" s="134">
        <f>SUM(E28:E29)</f>
        <v>14489.84</v>
      </c>
      <c r="F30" s="134">
        <f>SUM(F28:F29)</f>
        <v>14489.84</v>
      </c>
      <c r="G30" s="112">
        <f>SUM(G28:G29)</f>
        <v>0</v>
      </c>
      <c r="H30" s="1982"/>
      <c r="I30" s="1982"/>
      <c r="J30" s="1982"/>
      <c r="K30" s="1982"/>
      <c r="L30" s="1982"/>
    </row>
    <row r="31" spans="1:19" ht="32.25" customHeight="1" thickBot="1">
      <c r="A31" s="1368"/>
      <c r="B31" s="1369" t="s">
        <v>229</v>
      </c>
      <c r="C31" s="2326" t="s">
        <v>2325</v>
      </c>
      <c r="D31" s="1370">
        <f>D27+D30</f>
        <v>153875</v>
      </c>
      <c r="E31" s="1370">
        <f>E27+E30</f>
        <v>493630.89</v>
      </c>
      <c r="F31" s="1371">
        <f>F27+F30</f>
        <v>377192.89</v>
      </c>
      <c r="G31" s="1372">
        <f>G27+G30</f>
        <v>116438</v>
      </c>
      <c r="H31" s="1982"/>
      <c r="I31" s="1982"/>
      <c r="J31" s="1982"/>
      <c r="K31" s="1982"/>
      <c r="L31" s="1982"/>
    </row>
    <row r="32" spans="1:19">
      <c r="A32" s="1982"/>
      <c r="B32" s="2359" t="s">
        <v>2324</v>
      </c>
      <c r="C32" s="2668"/>
      <c r="D32" s="1199"/>
      <c r="E32" s="1199">
        <f>SUMIF(C19:C26,"*住宅*",E19:E26)</f>
        <v>360128.49</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T8" sqref="T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4">
        <f>项目基本情况!D3</f>
        <v>43206</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0"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2834</v>
      </c>
      <c r="O5" s="163" t="s">
        <v>246</v>
      </c>
      <c r="P5" s="165" t="s">
        <v>247</v>
      </c>
      <c r="Q5" s="166" t="s">
        <v>248</v>
      </c>
      <c r="R5" s="167" t="s">
        <v>249</v>
      </c>
      <c r="S5" s="2641" t="s">
        <v>2578</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2326</v>
      </c>
      <c r="AI5" s="171" t="s">
        <v>2295</v>
      </c>
      <c r="AJ5" s="171" t="s">
        <v>258</v>
      </c>
      <c r="AK5" s="159" t="s">
        <v>259</v>
      </c>
      <c r="AL5" s="159" t="s">
        <v>260</v>
      </c>
      <c r="AM5" s="172" t="s">
        <v>261</v>
      </c>
      <c r="AN5" s="2411" t="s">
        <v>2377</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68527</v>
      </c>
      <c r="F6" s="174">
        <f>SUMIF(项目基本情况!D$15:I$15,C6,项目基本情况!D$19:I$19)</f>
        <v>69.37</v>
      </c>
      <c r="G6" s="175">
        <f>IF(ISERROR(ROUND(POWER(1+H6,D6-F6)*(POWER(1+H6,F6)-1)/(POWER(1+H6,D6)-1),3)),0,ROUND(POWER(1+H6,D6-F6)*(POWER(1+H6,F6)-1)/(POWER(1+H6,D6)-1),3))</f>
        <v>0.999</v>
      </c>
      <c r="H6" s="3046">
        <v>4.4999999999999998E-2</v>
      </c>
      <c r="I6" s="3046">
        <v>0.05</v>
      </c>
      <c r="J6" s="176">
        <v>8.5000000000000006E-2</v>
      </c>
      <c r="K6" s="179">
        <f>SUMIF('数据-汇总表'!C$19:C$33,'数据-取费表'!A6,'数据-汇总表'!E$19:E$33)</f>
        <v>360128.49</v>
      </c>
      <c r="L6" s="3047">
        <v>2600</v>
      </c>
      <c r="M6" s="177">
        <f t="shared" ref="M6:M14" si="0">ROUND(K6*L6/10000,0)</f>
        <v>93633</v>
      </c>
      <c r="N6" s="3048">
        <v>0</v>
      </c>
      <c r="O6" s="177">
        <f>IF($N$5="成新度","——",ROUND(M6*N6,0))</f>
        <v>0</v>
      </c>
      <c r="P6" s="178">
        <f>IF($N$5="成新度","——",M6-O6)</f>
        <v>93633</v>
      </c>
      <c r="Q6" s="3049">
        <v>0.15</v>
      </c>
      <c r="R6" s="179">
        <f>SUMIF('数据-汇总表'!C$19:C$33,A6,'数据-汇总表'!R$19:R$33)</f>
        <v>116017.93</v>
      </c>
      <c r="S6" s="132">
        <f>IF('数据-汇总表'!$I$17="按面积比例",SUMIF('数据-汇总表'!C$19:C$33,A6,'数据-汇总表'!K$19:K$33),SUMIF('数据-汇总表'!C$19:C$33,A6,'数据-汇总表'!N$19:N$33))</f>
        <v>7361.84</v>
      </c>
      <c r="T6" s="2232">
        <f>IF($T$4="按面积比例",IF(ISERROR(ROUND($M$14*S6/S$16,0)),"0",ROUND($M$14*S6/S$16,0)),"需自行计算录入")</f>
        <v>1472</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3060"/>
      <c r="AN6" s="2412"/>
      <c r="AO6" s="1998"/>
      <c r="AP6" s="1202">
        <f>ROUND(1-1/(1+H6)^F6,3)</f>
        <v>0.95299999999999996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298" t="str">
        <f>'数据-汇总表'!C20</f>
        <v>商业</v>
      </c>
      <c r="B7" s="2333" t="str">
        <f t="shared" ref="B7:B13" si="1">IF(A7=0,"","经营性")</f>
        <v>经营性</v>
      </c>
      <c r="C7" s="173" t="s">
        <v>3215</v>
      </c>
      <c r="D7" s="2304">
        <f>SUMIF(项目基本情况!D$15:I$15,C7,项目基本情况!D$18:I$18)</f>
        <v>40</v>
      </c>
      <c r="E7" s="2305">
        <f>IF(B7="","",SUMIF(项目基本情况!D$15:I$15,C7,项目基本情况!D$17:I$17))</f>
        <v>57570</v>
      </c>
      <c r="F7" s="174">
        <f>SUMIF(项目基本情况!D$15:I$15,C7,项目基本情况!D$19:I$19)</f>
        <v>39.35</v>
      </c>
      <c r="G7" s="175">
        <f t="shared" ref="G7:G11" si="2">IF(ISERROR(ROUND(POWER(1+H7,D7-F7)*(POWER(1+H7,F7)-1)/(POWER(1+H7,D7)-1),3)),0,ROUND(POWER(1+H7,D7-F7)*(POWER(1+H7,F7)-1)/(POWER(1+H7,D7)-1),3))</f>
        <v>0.995</v>
      </c>
      <c r="H7" s="3046">
        <v>0.05</v>
      </c>
      <c r="I7" s="3046">
        <v>5.5E-2</v>
      </c>
      <c r="J7" s="176">
        <v>8.5000000000000006E-2</v>
      </c>
      <c r="K7" s="179">
        <f>SUMIF('数据-汇总表'!C$19:C$33,'数据-取费表'!A7,'数据-汇总表'!E$19:E$33)</f>
        <v>2574.56</v>
      </c>
      <c r="L7" s="3047">
        <v>2800</v>
      </c>
      <c r="M7" s="177">
        <f t="shared" si="0"/>
        <v>721</v>
      </c>
      <c r="N7" s="3048">
        <v>0</v>
      </c>
      <c r="O7" s="177">
        <f t="shared" ref="O7:O14" si="3">IF($N$5="成新度","——",ROUND(M7*N7,0))</f>
        <v>0</v>
      </c>
      <c r="P7" s="178">
        <f t="shared" ref="P7:P14" si="4">IF($N$5="成新度","——",M7-O7)</f>
        <v>721</v>
      </c>
      <c r="Q7" s="3049">
        <v>0.2</v>
      </c>
      <c r="R7" s="179">
        <f>SUMIF('数据-汇总表'!C$19:C$33,A7,'数据-汇总表'!R$19:R$33)</f>
        <v>818.94999999999993</v>
      </c>
      <c r="S7" s="132">
        <f>IF('数据-汇总表'!$I$17="按面积比例",SUMIF('数据-汇总表'!C$19:C$33,A7,'数据-汇总表'!K$19:K$33),SUMIF('数据-汇总表'!C$19:C$33,A7,'数据-汇总表'!N$19:N$33))</f>
        <v>52.63</v>
      </c>
      <c r="T7" s="2232">
        <f t="shared" ref="T7:T13" si="5">IF($T$4="按面积比例",IF(ISERROR(ROUND($M$14*S7/S$16,0)),"0",ROUND($M$14*S7/S$16,0)),"需自行计算录入")</f>
        <v>11</v>
      </c>
      <c r="U7" s="180"/>
      <c r="V7" s="181"/>
      <c r="W7" s="181"/>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c r="AL7" s="190"/>
      <c r="AM7" s="2410"/>
      <c r="AN7" s="2412"/>
      <c r="AO7" s="1998"/>
      <c r="AP7" s="1202">
        <f t="shared" ref="AP7:AP13" si="8">ROUND(1-1/(1+H7)^F7,3)</f>
        <v>0.85299999999999998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298" t="str">
        <f>'数据-汇总表'!C21</f>
        <v>地下车库</v>
      </c>
      <c r="B8" s="2333" t="str">
        <f t="shared" si="1"/>
        <v>经营性</v>
      </c>
      <c r="C8" s="173" t="s">
        <v>3235</v>
      </c>
      <c r="D8" s="2304">
        <f>SUMIF(项目基本情况!D$15:I$15,C8,项目基本情况!D$18:I$18)</f>
        <v>50</v>
      </c>
      <c r="E8" s="2305">
        <f>IF(B8="","",SUMIF(项目基本情况!D$15:I$15,C8,项目基本情况!D$17:I$17))</f>
        <v>61222</v>
      </c>
      <c r="F8" s="174">
        <f>SUMIF(项目基本情况!D$15:I$15,C8,项目基本情况!D$19:I$19)</f>
        <v>49.35</v>
      </c>
      <c r="G8" s="175">
        <f t="shared" si="2"/>
        <v>0.996</v>
      </c>
      <c r="H8" s="3046">
        <v>0.04</v>
      </c>
      <c r="I8" s="3046">
        <v>4.4999999999999998E-2</v>
      </c>
      <c r="J8" s="176">
        <v>8.5000000000000006E-2</v>
      </c>
      <c r="K8" s="179">
        <f>SUMIF('数据-汇总表'!C$19:C$33,'数据-取费表'!A8,'数据-汇总表'!E$19:E$33)</f>
        <v>116438</v>
      </c>
      <c r="L8" s="3047">
        <v>2200</v>
      </c>
      <c r="M8" s="177">
        <f>ROUND(K8*L8/10000,0)</f>
        <v>25616</v>
      </c>
      <c r="N8" s="3048">
        <v>0</v>
      </c>
      <c r="O8" s="177">
        <f t="shared" si="3"/>
        <v>0</v>
      </c>
      <c r="P8" s="178">
        <f t="shared" si="4"/>
        <v>25616</v>
      </c>
      <c r="Q8" s="3049">
        <v>0.03</v>
      </c>
      <c r="R8" s="179">
        <f>SUMIF('数据-汇总表'!C$19:C$33,A8,'数据-汇总表'!R$19:R$33)</f>
        <v>37038.11</v>
      </c>
      <c r="S8" s="132">
        <f>IF('数据-汇总表'!$I$17="按面积比例",SUMIF('数据-汇总表'!C$19:C$33,A8,'数据-汇总表'!K$19:K$33),SUMIF('数据-汇总表'!C$19:C$33,A8,'数据-汇总表'!N$19:N$33))</f>
        <v>2380.25</v>
      </c>
      <c r="T8" s="2232">
        <f t="shared" si="5"/>
        <v>476</v>
      </c>
      <c r="U8" s="180">
        <v>0.7</v>
      </c>
      <c r="V8" s="181">
        <v>1.4999999999999999E-2</v>
      </c>
      <c r="W8" s="181">
        <v>0.1</v>
      </c>
      <c r="X8" s="2317"/>
      <c r="Y8" s="182">
        <v>1</v>
      </c>
      <c r="Z8" s="183"/>
      <c r="AA8" s="176"/>
      <c r="AB8" s="176"/>
      <c r="AC8" s="2320"/>
      <c r="AD8" s="184"/>
      <c r="AE8" s="970">
        <f t="shared" ca="1" si="6"/>
        <v>46.85</v>
      </c>
      <c r="AF8" s="141"/>
      <c r="AG8" s="1211">
        <f t="shared" si="7"/>
        <v>0</v>
      </c>
      <c r="AH8" s="141"/>
      <c r="AI8" s="187">
        <v>365</v>
      </c>
      <c r="AJ8" s="188"/>
      <c r="AK8" s="189">
        <v>1.4999999999999999E-2</v>
      </c>
      <c r="AL8" s="190">
        <v>1.5E-3</v>
      </c>
      <c r="AM8" s="2410">
        <v>0.01</v>
      </c>
      <c r="AN8" s="2412" t="s">
        <v>3388</v>
      </c>
      <c r="AO8" s="1998"/>
      <c r="AP8" s="1202">
        <f t="shared" si="8"/>
        <v>0.85599999999999998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7"/>
      <c r="Y9" s="182"/>
      <c r="Z9" s="183"/>
      <c r="AA9" s="176"/>
      <c r="AB9" s="176"/>
      <c r="AC9" s="2320"/>
      <c r="AD9" s="184"/>
      <c r="AE9" s="970">
        <f t="shared" ca="1" si="6"/>
        <v>0</v>
      </c>
      <c r="AF9" s="141"/>
      <c r="AG9" s="1211">
        <f t="shared" si="7"/>
        <v>0</v>
      </c>
      <c r="AH9" s="141"/>
      <c r="AI9" s="187"/>
      <c r="AJ9" s="188"/>
      <c r="AK9" s="189"/>
      <c r="AL9" s="190"/>
      <c r="AM9" s="2410"/>
      <c r="AN9" s="2412"/>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410"/>
      <c r="AN10" s="2412"/>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5"/>
      <c r="AN11" s="2412"/>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5"/>
      <c r="AN12" s="2412"/>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299" t="s">
        <v>2317</v>
      </c>
      <c r="B14" s="2302" t="s">
        <v>1681</v>
      </c>
      <c r="C14" s="2303" t="s">
        <v>2317</v>
      </c>
      <c r="D14" s="2304"/>
      <c r="E14" s="2305"/>
      <c r="F14" s="174"/>
      <c r="G14" s="175"/>
      <c r="H14" s="2306"/>
      <c r="I14" s="2306"/>
      <c r="J14" s="2306"/>
      <c r="K14" s="179">
        <f>SUMIF('数据-汇总表'!C$19:C$33,'数据-取费表'!A14,'数据-汇总表'!E$19:E$33)</f>
        <v>9794.7199999999993</v>
      </c>
      <c r="L14" s="193">
        <v>2000</v>
      </c>
      <c r="M14" s="177">
        <f t="shared" si="0"/>
        <v>1959</v>
      </c>
      <c r="N14" s="194">
        <v>0</v>
      </c>
      <c r="O14" s="177">
        <f t="shared" si="3"/>
        <v>0</v>
      </c>
      <c r="P14" s="178">
        <f t="shared" si="4"/>
        <v>1959</v>
      </c>
      <c r="Q14" s="2314"/>
      <c r="R14" s="179"/>
      <c r="S14" s="132"/>
      <c r="T14" s="2313"/>
      <c r="U14" s="972"/>
      <c r="V14" s="2316"/>
      <c r="W14" s="2316"/>
      <c r="X14" s="2317"/>
      <c r="Y14" s="2318"/>
      <c r="Z14" s="136"/>
      <c r="AA14" s="2319"/>
      <c r="AB14" s="2319"/>
      <c r="AC14" s="2320"/>
      <c r="AD14" s="2317"/>
      <c r="AE14" s="970"/>
      <c r="AF14" s="2292"/>
      <c r="AG14" s="1211"/>
      <c r="AH14" s="2292"/>
      <c r="AI14" s="1570"/>
      <c r="AJ14" s="1570"/>
      <c r="AK14" s="2321"/>
      <c r="AL14" s="2322"/>
      <c r="AM14" s="2323"/>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08" t="s">
        <v>2319</v>
      </c>
      <c r="B15" s="2302" t="s">
        <v>1681</v>
      </c>
      <c r="C15" s="2303" t="s">
        <v>2318</v>
      </c>
      <c r="D15" s="2304"/>
      <c r="E15" s="2305"/>
      <c r="F15" s="174"/>
      <c r="G15" s="175"/>
      <c r="H15" s="2306"/>
      <c r="I15" s="2306"/>
      <c r="J15" s="2306"/>
      <c r="K15" s="179">
        <f>SUMIF('数据-汇总表'!C$19:C$33,'数据-取费表'!A15,'数据-汇总表'!E$19:E$33)</f>
        <v>4695.12</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70"/>
      <c r="AJ15" s="1570"/>
      <c r="AK15" s="2321"/>
      <c r="AL15" s="2322"/>
      <c r="AM15" s="2323"/>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493630.88999999996</v>
      </c>
      <c r="L16" s="206">
        <f>ROUND(M16*10000/SUM(K6:K14),0)</f>
        <v>2494</v>
      </c>
      <c r="M16" s="206">
        <f>SUM(M6:M14)</f>
        <v>121929</v>
      </c>
      <c r="N16" s="207">
        <f>ROUND(SUMPRODUCT(M6:M14,N6:N14)/M16,3)</f>
        <v>0</v>
      </c>
      <c r="O16" s="206">
        <f>SUM(O6:O14)</f>
        <v>0</v>
      </c>
      <c r="P16" s="206">
        <f>SUM(P6:P14)</f>
        <v>121929</v>
      </c>
      <c r="Q16" s="208">
        <f>ROUND(SUMPRODUCT(Q6:Q13,K6:K13)/SUMPRODUCT((Q6:Q13&gt;0)*(K6:K13)),2)</f>
        <v>0.12</v>
      </c>
      <c r="R16" s="2307">
        <f>SUM(R6:R13)</f>
        <v>153874.99</v>
      </c>
      <c r="S16" s="209">
        <f>SUM(S6:S13)</f>
        <v>9794.7200000000012</v>
      </c>
      <c r="T16" s="210">
        <f>IF(SUMIF(T6:T13,"&lt;9E307")=M14,SUMIF(T6:T13,"&lt;9E307"),"有误，请检查")</f>
        <v>1959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0.92900000000000005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0" t="s">
        <v>2339</v>
      </c>
      <c r="D19" s="1991"/>
      <c r="E19" s="1990"/>
      <c r="F19" s="1990"/>
      <c r="G19" s="1990"/>
      <c r="H19" s="1990"/>
      <c r="I19" s="1990"/>
      <c r="J19" s="1990"/>
      <c r="K19" s="3600" t="s">
        <v>3447</v>
      </c>
      <c r="L19" s="3601" t="s">
        <v>3448</v>
      </c>
      <c r="M19" s="3602"/>
      <c r="N19" s="3603"/>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60" t="s">
        <v>2338</v>
      </c>
      <c r="D20" s="1991"/>
      <c r="E20" s="1990"/>
      <c r="F20" s="1990"/>
      <c r="G20" s="1990"/>
      <c r="H20" s="1990"/>
      <c r="I20" s="1990"/>
      <c r="J20" s="1990"/>
      <c r="K20" s="3600"/>
      <c r="L20" s="3496" t="s">
        <v>3449</v>
      </c>
      <c r="M20" s="3497" t="s">
        <v>3450</v>
      </c>
      <c r="N20" s="3498" t="s">
        <v>3250</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3499" t="s">
        <v>3451</v>
      </c>
      <c r="L21" s="3500">
        <v>1206</v>
      </c>
      <c r="M21" s="3501">
        <v>1338</v>
      </c>
      <c r="N21" s="3502">
        <v>1244</v>
      </c>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2341</v>
      </c>
      <c r="B27" s="3489">
        <v>50</v>
      </c>
      <c r="C27" s="2363"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2342</v>
      </c>
      <c r="B28" s="3490">
        <v>50</v>
      </c>
      <c r="C28" s="2362"/>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2340</v>
      </c>
      <c r="B29" s="231"/>
      <c r="C29" s="1551"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2"/>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274</v>
      </c>
      <c r="B31" s="229">
        <f>B30-B32</f>
        <v>200</v>
      </c>
      <c r="C31" s="2363"/>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6">
        <v>0</v>
      </c>
      <c r="C32" s="2362"/>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0.03</v>
      </c>
      <c r="C33" s="2361"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3507">
        <v>0.1</v>
      </c>
      <c r="C34" s="2361" t="s">
        <v>2897</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1"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1" t="s">
        <v>2899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1"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1"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2461</v>
      </c>
      <c r="B39" s="799">
        <f ca="1">存贷款利率!C4</f>
        <v>1.4999999999999999E-2</v>
      </c>
      <c r="C39" s="2361"/>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2462</v>
      </c>
      <c r="B40" s="2501">
        <f ca="1">存贷款利率!E2</f>
        <v>4.7500000000000001E-2</v>
      </c>
      <c r="C40" s="2361"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7">
        <f>B42+B43</f>
        <v>5.5000000000000007E-2</v>
      </c>
      <c r="C41" s="2363"/>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3"/>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1"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3"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3"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5"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6"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6"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2"/>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2"/>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4</v>
      </c>
      <c r="C52" s="2362"/>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1328</v>
      </c>
      <c r="C53" s="3097" t="s">
        <v>2907</v>
      </c>
      <c r="D53" s="3098"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2909</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2910</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2911</v>
      </c>
      <c r="B56" s="186">
        <v>4</v>
      </c>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2912</v>
      </c>
      <c r="B57" s="186"/>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2913</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2914</v>
      </c>
      <c r="B59" s="186"/>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36',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04" t="s">
        <v>1665</v>
      </c>
      <c r="B1" s="3605"/>
      <c r="C1" s="3605"/>
      <c r="D1" s="3605"/>
      <c r="E1" s="3605"/>
      <c r="F1" s="3605"/>
      <c r="G1" s="3605"/>
      <c r="H1" s="2000"/>
      <c r="I1" s="2001"/>
      <c r="J1" s="2002"/>
      <c r="K1" s="2000"/>
      <c r="L1" s="2001"/>
      <c r="M1" s="2002"/>
      <c r="N1" s="2000"/>
      <c r="O1" s="2001"/>
      <c r="P1" s="2002"/>
      <c r="Q1" s="2003"/>
      <c r="R1" s="2004"/>
    </row>
    <row r="2" spans="1:18" ht="14.25" thickBot="1">
      <c r="A2" s="1219"/>
      <c r="B2" s="1220"/>
      <c r="C2" s="1221" t="s">
        <v>1666</v>
      </c>
      <c r="D2" s="1222"/>
      <c r="E2" s="1223"/>
      <c r="F2" s="1224"/>
      <c r="G2" s="1221" t="s">
        <v>1667</v>
      </c>
      <c r="H2" s="2006"/>
      <c r="I2" s="2006"/>
      <c r="J2" s="2006"/>
      <c r="K2" s="2006"/>
      <c r="L2" s="2006"/>
      <c r="M2" s="2006"/>
      <c r="N2" s="2006"/>
      <c r="O2" s="2006"/>
      <c r="P2" s="2006"/>
      <c r="Q2" s="2006"/>
      <c r="R2" s="2006"/>
    </row>
    <row r="3" spans="1:18" ht="54">
      <c r="A3" s="1225" t="s">
        <v>1668</v>
      </c>
      <c r="B3" s="1226" t="s">
        <v>1655</v>
      </c>
      <c r="C3" s="3102" t="s">
        <v>2925</v>
      </c>
      <c r="D3" s="2007"/>
      <c r="E3" s="1227" t="s">
        <v>1668</v>
      </c>
      <c r="F3" s="1228" t="s">
        <v>1656</v>
      </c>
      <c r="G3" s="3106" t="s">
        <v>2924</v>
      </c>
      <c r="H3" s="2006"/>
      <c r="I3" s="2006"/>
      <c r="J3" s="2006"/>
      <c r="K3" s="2006"/>
      <c r="L3" s="2006"/>
      <c r="M3" s="2006"/>
      <c r="N3" s="2006"/>
      <c r="O3" s="2006"/>
      <c r="P3" s="2006"/>
      <c r="Q3" s="2006"/>
      <c r="R3" s="2006"/>
    </row>
    <row r="4" spans="1:18" ht="41.25">
      <c r="A4" s="1227"/>
      <c r="B4" s="1229" t="s">
        <v>1669</v>
      </c>
      <c r="C4" s="3103" t="s">
        <v>2926</v>
      </c>
      <c r="D4" s="2007"/>
      <c r="E4" s="1230"/>
      <c r="F4" s="1231" t="s">
        <v>1670</v>
      </c>
      <c r="G4" s="3104" t="s">
        <v>2921</v>
      </c>
      <c r="H4" s="2006"/>
      <c r="I4" s="2006"/>
      <c r="J4" s="2006"/>
      <c r="K4" s="2006"/>
      <c r="L4" s="2006"/>
      <c r="M4" s="2006"/>
      <c r="N4" s="2006"/>
      <c r="O4" s="2006"/>
      <c r="P4" s="2006"/>
      <c r="Q4" s="2006"/>
      <c r="R4" s="2006"/>
    </row>
    <row r="5" spans="1:18" ht="41.25">
      <c r="A5" s="1227"/>
      <c r="B5" s="1229" t="s">
        <v>1671</v>
      </c>
      <c r="C5" s="3103" t="s">
        <v>2927</v>
      </c>
      <c r="D5" s="2007"/>
      <c r="E5" s="1230"/>
      <c r="F5" s="1229" t="s">
        <v>2552</v>
      </c>
      <c r="G5" s="3104" t="s">
        <v>2922</v>
      </c>
      <c r="H5" s="2006"/>
      <c r="I5" s="2006"/>
      <c r="J5" s="2006"/>
      <c r="K5" s="2006"/>
      <c r="L5" s="2006"/>
      <c r="M5" s="2006"/>
      <c r="N5" s="2006"/>
      <c r="O5" s="2006"/>
      <c r="P5" s="2006"/>
      <c r="Q5" s="2006"/>
      <c r="R5" s="2006"/>
    </row>
    <row r="6" spans="1:18" ht="54">
      <c r="A6" s="1227"/>
      <c r="B6" s="1229" t="s">
        <v>1657</v>
      </c>
      <c r="C6" s="3104" t="s">
        <v>2921</v>
      </c>
      <c r="D6" s="2007"/>
      <c r="E6" s="1230"/>
      <c r="F6" s="1229" t="s">
        <v>2553</v>
      </c>
      <c r="G6" s="3104" t="s">
        <v>2919</v>
      </c>
      <c r="H6" s="2006"/>
      <c r="I6" s="2006"/>
      <c r="J6" s="2006"/>
      <c r="K6" s="2006"/>
      <c r="L6" s="2006"/>
      <c r="M6" s="2006"/>
      <c r="N6" s="2006"/>
      <c r="O6" s="2006"/>
      <c r="P6" s="2006"/>
      <c r="Q6" s="2006"/>
      <c r="R6" s="2006"/>
    </row>
    <row r="7" spans="1:18" ht="41.25" thickBot="1">
      <c r="A7" s="1227"/>
      <c r="B7" s="1229" t="s">
        <v>2552</v>
      </c>
      <c r="C7" s="3104" t="s">
        <v>2922</v>
      </c>
      <c r="D7" s="2008"/>
      <c r="E7" s="1232"/>
      <c r="F7" s="1233" t="s">
        <v>1672</v>
      </c>
      <c r="G7" s="3107" t="s">
        <v>2923</v>
      </c>
      <c r="H7" s="2006"/>
      <c r="I7" s="2006"/>
      <c r="J7" s="2006"/>
      <c r="K7" s="2006"/>
      <c r="L7" s="2006"/>
      <c r="M7" s="2006"/>
      <c r="N7" s="2006"/>
      <c r="O7" s="2006"/>
      <c r="P7" s="2006"/>
      <c r="Q7" s="2006"/>
      <c r="R7" s="2006"/>
    </row>
    <row r="8" spans="1:18" ht="27">
      <c r="A8" s="1227"/>
      <c r="B8" s="1229" t="s">
        <v>2553</v>
      </c>
      <c r="C8" s="3104" t="s">
        <v>2919</v>
      </c>
      <c r="D8" s="2008"/>
      <c r="E8" s="2008"/>
      <c r="F8" s="1552"/>
      <c r="G8" s="1552"/>
      <c r="H8" s="2006"/>
      <c r="I8" s="2006"/>
      <c r="J8" s="2006"/>
      <c r="K8" s="2006"/>
      <c r="L8" s="2006"/>
      <c r="M8" s="2006"/>
      <c r="N8" s="2006"/>
      <c r="O8" s="2006"/>
      <c r="P8" s="2006"/>
      <c r="Q8" s="2006"/>
      <c r="R8" s="2006"/>
    </row>
    <row r="9" spans="1:18" ht="40.5">
      <c r="A9" s="1227"/>
      <c r="B9" s="1229" t="s">
        <v>1658</v>
      </c>
      <c r="C9" s="3103" t="s">
        <v>2920</v>
      </c>
      <c r="D9" s="2007"/>
      <c r="E9" s="2008"/>
      <c r="F9" s="1552"/>
      <c r="G9" s="1552"/>
      <c r="H9" s="2006"/>
      <c r="I9" s="2006"/>
      <c r="J9" s="2006"/>
      <c r="K9" s="2006"/>
      <c r="L9" s="2006"/>
      <c r="M9" s="2006"/>
      <c r="N9" s="2006"/>
      <c r="O9" s="2006"/>
      <c r="P9" s="2006"/>
      <c r="Q9" s="2006"/>
      <c r="R9" s="2006"/>
    </row>
    <row r="10" spans="1:18" s="2014" customFormat="1" ht="15" thickBot="1">
      <c r="A10" s="1234"/>
      <c r="B10" s="1235" t="s">
        <v>1673</v>
      </c>
      <c r="C10" s="3105"/>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1674</v>
      </c>
      <c r="B13" s="2598"/>
      <c r="C13" s="2598"/>
      <c r="D13" s="1222"/>
      <c r="E13" s="2598"/>
      <c r="F13" s="2598"/>
      <c r="G13" s="2598"/>
    </row>
    <row r="14" spans="1:18" ht="14.25" thickBot="1">
      <c r="A14" s="1236"/>
      <c r="B14" s="1237"/>
      <c r="C14" s="1238" t="s">
        <v>1666</v>
      </c>
      <c r="D14" s="2007"/>
      <c r="E14" s="1239"/>
      <c r="F14" s="1239"/>
      <c r="G14" s="1221" t="s">
        <v>1667</v>
      </c>
    </row>
    <row r="15" spans="1:18" ht="54">
      <c r="A15" s="2608" t="s">
        <v>1659</v>
      </c>
      <c r="B15" s="1240" t="s">
        <v>1655</v>
      </c>
      <c r="C15" s="1241" t="str">
        <f>C3</f>
        <v>估价对象周边居住用地比例、居住小区规模和社区发展完善程度，综合评价居住社区成熟度一般</v>
      </c>
      <c r="D15" s="2007"/>
      <c r="E15" s="2605" t="s">
        <v>1660</v>
      </c>
      <c r="F15" s="1240" t="s">
        <v>1675</v>
      </c>
      <c r="G15" s="1242" t="str">
        <f>G3</f>
        <v>估价对象位于XX开发区，园区建设成熟度XX，产业集聚程度XX</v>
      </c>
    </row>
    <row r="16" spans="1:18" ht="40.5">
      <c r="A16" s="2609"/>
      <c r="B16" s="1243" t="s">
        <v>1669</v>
      </c>
      <c r="C16" s="1244" t="str">
        <f>C4</f>
        <v>估价对象位于XX商圈，周边商业氛围成熟，人流量大，商业繁华度好</v>
      </c>
      <c r="D16" s="2007"/>
      <c r="E16" s="2606"/>
      <c r="F16" s="1245" t="s">
        <v>1670</v>
      </c>
      <c r="G16" s="1003" t="str">
        <f>G4</f>
        <v>估价对象周边道路状况、公共交通通达情况、停车便捷程度，综合评价交通便捷度较好</v>
      </c>
    </row>
    <row r="17" spans="1:7" ht="40.5">
      <c r="A17" s="2609"/>
      <c r="B17" s="1243" t="s">
        <v>1671</v>
      </c>
      <c r="C17" s="1244" t="str">
        <f>C5</f>
        <v>估价对象位于XX商圈，周边办公楼项目较多，入驻率高，办公集聚程度较好</v>
      </c>
      <c r="D17" s="2008"/>
      <c r="E17" s="2606"/>
      <c r="F17" s="1245" t="s">
        <v>1676</v>
      </c>
      <c r="G17" s="2815"/>
    </row>
    <row r="18" spans="1:7" ht="54">
      <c r="A18" s="2609"/>
      <c r="B18" s="1245" t="s">
        <v>1657</v>
      </c>
      <c r="C18" s="1003" t="str">
        <f>C6</f>
        <v>估价对象周边道路状况、公共交通通达情况、停车便捷程度，综合评价交通便捷度较好</v>
      </c>
      <c r="D18" s="2008"/>
      <c r="E18" s="2606"/>
      <c r="F18" s="1245" t="s">
        <v>1672</v>
      </c>
      <c r="G18" s="1003" t="str">
        <f>G7</f>
        <v>该园区内是否有污染型企业，绿化情况，卫生条件，整体环境状况判断</v>
      </c>
    </row>
    <row r="19" spans="1:7" ht="27">
      <c r="A19" s="2609"/>
      <c r="B19" s="1245" t="s">
        <v>1661</v>
      </c>
      <c r="C19" s="2815"/>
      <c r="D19" s="2007"/>
      <c r="E19" s="2606"/>
      <c r="F19" s="1229" t="s">
        <v>2552</v>
      </c>
      <c r="G19" s="1003" t="str">
        <f>G5</f>
        <v>估价对象所在区域公共配套设施齐备情况</v>
      </c>
    </row>
    <row r="20" spans="1:7" ht="40.5">
      <c r="A20" s="2609"/>
      <c r="B20" s="1245" t="s">
        <v>1662</v>
      </c>
      <c r="C20" s="1244" t="str">
        <f>C9</f>
        <v>区域自然环境：；人文环境；综合评价环境状况一般</v>
      </c>
      <c r="D20" s="2008"/>
      <c r="E20" s="2606"/>
      <c r="F20" s="1229" t="s">
        <v>2553</v>
      </c>
      <c r="G20" s="1003" t="str">
        <f>G6</f>
        <v>估价对象所在区域基础设施水平</v>
      </c>
    </row>
    <row r="21" spans="1:7" ht="27">
      <c r="A21" s="2609"/>
      <c r="B21" s="1229" t="s">
        <v>2552</v>
      </c>
      <c r="C21" s="1003" t="str">
        <f>C7</f>
        <v>估价对象所在区域公共配套设施齐备情况</v>
      </c>
      <c r="D21" s="2007"/>
      <c r="E21" s="2606"/>
      <c r="F21" s="1245" t="s">
        <v>1663</v>
      </c>
      <c r="G21" s="3108"/>
    </row>
    <row r="22" spans="1:7" ht="27">
      <c r="A22" s="2609"/>
      <c r="B22" s="1229" t="s">
        <v>2553</v>
      </c>
      <c r="C22" s="1003" t="str">
        <f>C8</f>
        <v>估价对象所在区域基础设施水平</v>
      </c>
      <c r="D22" s="2007"/>
      <c r="E22" s="2606"/>
      <c r="F22" s="1245" t="s">
        <v>1673</v>
      </c>
      <c r="G22" s="2815"/>
    </row>
    <row r="23" spans="1:7" ht="15" thickBot="1">
      <c r="A23" s="2609"/>
      <c r="B23" s="1245" t="s">
        <v>1663</v>
      </c>
      <c r="C23" s="3108"/>
      <c r="E23" s="2607"/>
      <c r="F23" s="1246" t="s">
        <v>1677</v>
      </c>
      <c r="G23" s="3109"/>
    </row>
    <row r="24" spans="1:7" ht="14.25" thickBot="1">
      <c r="A24" s="2610"/>
      <c r="B24" s="1246" t="s">
        <v>1664</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3066" t="s">
        <v>2850</v>
      </c>
      <c r="B1" s="3066">
        <f>SUM(B14:B23)</f>
        <v>493630.89</v>
      </c>
      <c r="C1" s="3067"/>
      <c r="D1" s="3067"/>
      <c r="E1" s="3067"/>
      <c r="F1" s="3067"/>
    </row>
    <row r="2" spans="1:9" ht="16.5">
      <c r="A2" s="3066" t="s">
        <v>2851</v>
      </c>
      <c r="B2" s="3066">
        <f>SUM(C14:C23)</f>
        <v>153875</v>
      </c>
      <c r="C2" s="3067"/>
      <c r="D2" s="3067"/>
      <c r="E2" s="3067"/>
      <c r="F2" s="3067"/>
    </row>
    <row r="3" spans="1:9" ht="16.5">
      <c r="A3" s="3066" t="s">
        <v>2852</v>
      </c>
      <c r="B3" s="3068">
        <f>项目基本情况!D3</f>
        <v>43206</v>
      </c>
      <c r="C3" s="3067"/>
      <c r="D3" s="3067"/>
      <c r="E3" s="3067"/>
      <c r="F3" s="3067"/>
    </row>
    <row r="4" spans="1:9" ht="33">
      <c r="A4" s="3066" t="s">
        <v>2853</v>
      </c>
      <c r="B4" s="3066" t="s">
        <v>2854</v>
      </c>
      <c r="C4" s="3066" t="s">
        <v>2855</v>
      </c>
      <c r="D4" s="3066" t="s">
        <v>2856</v>
      </c>
      <c r="E4" s="3067"/>
      <c r="F4" s="3067"/>
    </row>
    <row r="5" spans="1:9" ht="16.5">
      <c r="A5" s="3066" t="s">
        <v>2857</v>
      </c>
      <c r="B5" s="3066">
        <f ca="1">SUM(D14:D23)</f>
        <v>154493</v>
      </c>
      <c r="C5" s="3066">
        <f ca="1">ROUND(B5*10000/$B$1,0)</f>
        <v>3130</v>
      </c>
      <c r="D5" s="3066">
        <f ca="1">ROUND(B5*10000/$B$2,0)</f>
        <v>10040</v>
      </c>
      <c r="E5" s="3067"/>
      <c r="F5" s="3067"/>
    </row>
    <row r="6" spans="1:9" ht="16.5">
      <c r="A6" s="3066" t="s">
        <v>2858</v>
      </c>
      <c r="B6" s="3066">
        <f ca="1">SUM(G14:G23)</f>
        <v>154493</v>
      </c>
      <c r="C6" s="3066">
        <f t="shared" ref="C6:C8" ca="1" si="0">ROUND(B6*10000/$B$1,0)</f>
        <v>3130</v>
      </c>
      <c r="D6" s="3066">
        <f t="shared" ref="D6:D8" ca="1" si="1">ROUND(B6*10000/$B$2,0)</f>
        <v>10040</v>
      </c>
      <c r="E6" s="3067"/>
      <c r="F6" s="3067"/>
    </row>
    <row r="7" spans="1:9" ht="16.5">
      <c r="A7" s="3066" t="s">
        <v>2859</v>
      </c>
      <c r="B7" s="3066">
        <f>SUM(H14:H23)</f>
        <v>0</v>
      </c>
      <c r="C7" s="3066">
        <f t="shared" si="0"/>
        <v>0</v>
      </c>
      <c r="D7" s="3066">
        <f t="shared" si="1"/>
        <v>0</v>
      </c>
      <c r="E7" s="3067"/>
      <c r="F7" s="3067"/>
    </row>
    <row r="8" spans="1:9" ht="16.5">
      <c r="A8" s="3066" t="s">
        <v>2860</v>
      </c>
      <c r="B8" s="3066">
        <f>SUM(I14:I23)</f>
        <v>0</v>
      </c>
      <c r="C8" s="3066">
        <f t="shared" si="0"/>
        <v>0</v>
      </c>
      <c r="D8" s="3066">
        <f t="shared" si="1"/>
        <v>0</v>
      </c>
      <c r="E8" s="3067"/>
      <c r="F8" s="3067"/>
    </row>
    <row r="9" spans="1:9" ht="16.5">
      <c r="A9" s="3066" t="s">
        <v>2861</v>
      </c>
      <c r="B9" s="3069"/>
      <c r="C9" s="3067"/>
      <c r="D9" s="3067"/>
      <c r="E9" s="3067"/>
      <c r="F9" s="3067"/>
    </row>
    <row r="10" spans="1:9" ht="16.5">
      <c r="A10" s="3066" t="s">
        <v>2862</v>
      </c>
      <c r="B10" s="3069"/>
      <c r="C10" s="3067"/>
      <c r="D10" s="3067"/>
      <c r="E10" s="3067"/>
      <c r="F10" s="3067"/>
    </row>
    <row r="11" spans="1:9" ht="16.5">
      <c r="A11" s="3066" t="s">
        <v>2879</v>
      </c>
      <c r="B11" s="3069"/>
      <c r="C11" s="3067"/>
      <c r="D11" s="3067"/>
      <c r="E11" s="3067"/>
      <c r="F11" s="3067"/>
    </row>
    <row r="12" spans="1:9" ht="16.5">
      <c r="A12" s="3067"/>
      <c r="B12" s="3067"/>
      <c r="C12" s="3067"/>
      <c r="D12" s="3067"/>
      <c r="E12" s="3067"/>
      <c r="F12" s="3067"/>
    </row>
    <row r="13" spans="1:9" ht="33">
      <c r="A13" s="3072" t="s">
        <v>2878</v>
      </c>
      <c r="B13" s="3070" t="s">
        <v>2850</v>
      </c>
      <c r="C13" s="3070" t="s">
        <v>2851</v>
      </c>
      <c r="D13" s="3070" t="s">
        <v>2863</v>
      </c>
      <c r="E13" s="3066" t="s">
        <v>2877</v>
      </c>
      <c r="F13" s="3066" t="s">
        <v>2856</v>
      </c>
      <c r="G13" s="3070" t="s">
        <v>2864</v>
      </c>
      <c r="H13" s="3070" t="s">
        <v>2865</v>
      </c>
      <c r="I13" s="3070" t="s">
        <v>2866</v>
      </c>
    </row>
    <row r="14" spans="1:9" ht="16.5">
      <c r="A14" s="3073" t="s">
        <v>2876</v>
      </c>
      <c r="B14" s="3070">
        <f>结果表!L38</f>
        <v>493630.89</v>
      </c>
      <c r="C14" s="3070">
        <f>结果表!K38</f>
        <v>153875</v>
      </c>
      <c r="D14" s="3070">
        <f ca="1">结果表!C42</f>
        <v>154493</v>
      </c>
      <c r="E14" s="3070">
        <f ca="1">ROUND(D14*10000/B14,0)</f>
        <v>3130</v>
      </c>
      <c r="F14" s="3070">
        <f ca="1">ROUND(D14*10000/C14,0)</f>
        <v>10040</v>
      </c>
      <c r="G14" s="3070">
        <f ca="1">结果表!C44</f>
        <v>154493</v>
      </c>
      <c r="H14" s="3070" t="str">
        <f>结果表!C45</f>
        <v>——</v>
      </c>
      <c r="I14" s="3070" t="str">
        <f>结果表!C46</f>
        <v>——</v>
      </c>
    </row>
    <row r="15" spans="1:9" ht="16.5">
      <c r="A15" s="3073" t="s">
        <v>2867</v>
      </c>
      <c r="B15" s="3074"/>
      <c r="C15" s="3074"/>
      <c r="D15" s="3074"/>
      <c r="E15" s="3070" t="e">
        <f t="shared" ref="E15:E23" si="2">ROUND(D15*10000/B15,0)</f>
        <v>#DIV/0!</v>
      </c>
      <c r="F15" s="3070" t="e">
        <f t="shared" ref="F15:F23" si="3">ROUND(D15*10000/C15,0)</f>
        <v>#DIV/0!</v>
      </c>
      <c r="G15" s="3071"/>
      <c r="H15" s="3071"/>
      <c r="I15" s="3074"/>
    </row>
    <row r="16" spans="1:9" ht="16.5">
      <c r="A16" s="3073" t="s">
        <v>2868</v>
      </c>
      <c r="B16" s="3074"/>
      <c r="C16" s="3074"/>
      <c r="D16" s="3074"/>
      <c r="E16" s="3070" t="e">
        <f t="shared" si="2"/>
        <v>#DIV/0!</v>
      </c>
      <c r="F16" s="3070" t="e">
        <f t="shared" si="3"/>
        <v>#DIV/0!</v>
      </c>
      <c r="G16" s="3071"/>
      <c r="H16" s="3071"/>
      <c r="I16" s="3074"/>
    </row>
    <row r="17" spans="1:9" ht="16.5">
      <c r="A17" s="3073" t="s">
        <v>2869</v>
      </c>
      <c r="B17" s="3074"/>
      <c r="C17" s="3074"/>
      <c r="D17" s="3074"/>
      <c r="E17" s="3070" t="e">
        <f t="shared" si="2"/>
        <v>#DIV/0!</v>
      </c>
      <c r="F17" s="3070" t="e">
        <f t="shared" si="3"/>
        <v>#DIV/0!</v>
      </c>
      <c r="G17" s="3071"/>
      <c r="H17" s="3071"/>
      <c r="I17" s="3074"/>
    </row>
    <row r="18" spans="1:9" ht="16.5">
      <c r="A18" s="3073" t="s">
        <v>2870</v>
      </c>
      <c r="B18" s="3074"/>
      <c r="C18" s="3074"/>
      <c r="D18" s="3074"/>
      <c r="E18" s="3070" t="e">
        <f t="shared" si="2"/>
        <v>#DIV/0!</v>
      </c>
      <c r="F18" s="3070" t="e">
        <f t="shared" si="3"/>
        <v>#DIV/0!</v>
      </c>
      <c r="G18" s="3074"/>
      <c r="H18" s="3074"/>
      <c r="I18" s="3074"/>
    </row>
    <row r="19" spans="1:9" ht="16.5">
      <c r="A19" s="3073" t="s">
        <v>2871</v>
      </c>
      <c r="B19" s="3074"/>
      <c r="C19" s="3074"/>
      <c r="D19" s="3074"/>
      <c r="E19" s="3070" t="e">
        <f t="shared" si="2"/>
        <v>#DIV/0!</v>
      </c>
      <c r="F19" s="3070" t="e">
        <f t="shared" si="3"/>
        <v>#DIV/0!</v>
      </c>
      <c r="G19" s="3074"/>
      <c r="H19" s="3074"/>
      <c r="I19" s="3074"/>
    </row>
    <row r="20" spans="1:9" ht="16.5">
      <c r="A20" s="3073" t="s">
        <v>2872</v>
      </c>
      <c r="B20" s="3074"/>
      <c r="C20" s="3074"/>
      <c r="D20" s="3074"/>
      <c r="E20" s="3070" t="e">
        <f t="shared" si="2"/>
        <v>#DIV/0!</v>
      </c>
      <c r="F20" s="3070" t="e">
        <f t="shared" si="3"/>
        <v>#DIV/0!</v>
      </c>
      <c r="G20" s="3074"/>
      <c r="H20" s="3074"/>
      <c r="I20" s="3074"/>
    </row>
    <row r="21" spans="1:9" ht="16.5">
      <c r="A21" s="3073" t="s">
        <v>2873</v>
      </c>
      <c r="B21" s="3074"/>
      <c r="C21" s="3074"/>
      <c r="D21" s="3074"/>
      <c r="E21" s="3070" t="e">
        <f t="shared" si="2"/>
        <v>#DIV/0!</v>
      </c>
      <c r="F21" s="3070" t="e">
        <f t="shared" si="3"/>
        <v>#DIV/0!</v>
      </c>
      <c r="G21" s="3074"/>
      <c r="H21" s="3074"/>
      <c r="I21" s="3074"/>
    </row>
    <row r="22" spans="1:9" ht="16.5">
      <c r="A22" s="3073" t="s">
        <v>2874</v>
      </c>
      <c r="B22" s="3074"/>
      <c r="C22" s="3074"/>
      <c r="D22" s="3074"/>
      <c r="E22" s="3070" t="e">
        <f t="shared" si="2"/>
        <v>#DIV/0!</v>
      </c>
      <c r="F22" s="3070" t="e">
        <f t="shared" si="3"/>
        <v>#DIV/0!</v>
      </c>
      <c r="G22" s="3074"/>
      <c r="H22" s="3074"/>
      <c r="I22" s="3074"/>
    </row>
    <row r="23" spans="1:9" ht="16.5">
      <c r="A23" s="3073" t="s">
        <v>2875</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C33" sqref="C33:C3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2058</v>
      </c>
      <c r="B1" s="1775"/>
      <c r="C1" s="1803" t="s">
        <v>2059</v>
      </c>
      <c r="D1" s="1804" t="s">
        <v>3439</v>
      </c>
      <c r="E1" s="1803" t="s">
        <v>2060</v>
      </c>
      <c r="F1" s="1805" t="s">
        <v>3440</v>
      </c>
      <c r="G1" s="310"/>
      <c r="H1" s="310"/>
      <c r="I1" s="310"/>
      <c r="J1" s="2027"/>
      <c r="K1" s="2027"/>
      <c r="L1" s="2027"/>
      <c r="M1" s="2027"/>
      <c r="N1" s="2027"/>
      <c r="O1" s="2027"/>
      <c r="P1" s="2027"/>
      <c r="Q1" s="2027"/>
      <c r="R1" s="2027"/>
      <c r="S1" s="2027"/>
      <c r="T1" s="2027"/>
      <c r="U1" s="2027"/>
      <c r="V1" s="2027"/>
    </row>
    <row r="2" spans="1:22" ht="21.75" customHeight="1" thickBot="1">
      <c r="A2" s="3651" t="str">
        <f>项目基本情况!K2</f>
        <v>江西省赣州市赣南大道南侧（原灯饰市场）地块出让国有建设用地使用权</v>
      </c>
      <c r="B2" s="3652"/>
      <c r="C2" s="3653"/>
      <c r="D2" s="3653"/>
      <c r="E2" s="3653"/>
      <c r="F2" s="3653"/>
      <c r="G2" s="3652"/>
      <c r="H2" s="3652"/>
      <c r="I2" s="3654"/>
      <c r="J2" s="2028"/>
      <c r="K2" s="2027"/>
      <c r="L2" s="2027"/>
      <c r="M2" s="2027"/>
      <c r="N2" s="2027"/>
      <c r="O2" s="2027"/>
      <c r="P2" s="2027"/>
      <c r="Q2" s="2027"/>
      <c r="R2" s="2027"/>
      <c r="S2" s="2027"/>
      <c r="T2" s="2027"/>
      <c r="U2" s="2027"/>
      <c r="V2" s="2027"/>
    </row>
    <row r="3" spans="1:22" ht="14.25">
      <c r="A3" s="3662" t="s">
        <v>298</v>
      </c>
      <c r="B3" s="3663"/>
      <c r="C3" s="3663"/>
      <c r="D3" s="3663"/>
      <c r="E3" s="3663"/>
      <c r="F3" s="3663"/>
      <c r="G3" s="3663"/>
      <c r="H3" s="3663"/>
      <c r="I3" s="3663"/>
      <c r="J3" s="2028"/>
      <c r="K3" s="2027"/>
      <c r="L3" s="2027"/>
      <c r="M3" s="2027"/>
      <c r="N3" s="2027"/>
      <c r="O3" s="2027"/>
      <c r="P3" s="2027"/>
      <c r="Q3" s="2027"/>
      <c r="R3" s="2027"/>
      <c r="S3" s="2027"/>
      <c r="T3" s="2027"/>
      <c r="U3" s="2027"/>
      <c r="V3" s="2027"/>
    </row>
    <row r="4" spans="1:22" ht="14.25">
      <c r="A4" s="257" t="s">
        <v>299</v>
      </c>
      <c r="B4" s="258" t="s">
        <v>300</v>
      </c>
      <c r="C4" s="259" t="s">
        <v>3437</v>
      </c>
      <c r="D4" s="259" t="s">
        <v>3438</v>
      </c>
      <c r="E4" s="3626" t="s">
        <v>301</v>
      </c>
      <c r="F4" s="3668"/>
      <c r="G4" s="3668"/>
      <c r="H4" s="3668"/>
      <c r="I4" s="3627"/>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655" t="s">
        <v>302</v>
      </c>
      <c r="B5" s="3656">
        <v>25</v>
      </c>
      <c r="C5" s="3664"/>
      <c r="D5" s="3667"/>
      <c r="E5" s="260" t="s">
        <v>303</v>
      </c>
      <c r="F5" s="261"/>
      <c r="G5" s="261"/>
      <c r="H5" s="261"/>
      <c r="I5" s="262"/>
      <c r="J5" s="2028"/>
      <c r="K5" s="2027"/>
      <c r="L5" s="2027"/>
      <c r="M5" s="2027"/>
      <c r="N5" s="2027"/>
      <c r="O5" s="2027"/>
      <c r="P5" s="2027"/>
      <c r="Q5" s="2027"/>
      <c r="R5" s="2027"/>
      <c r="S5" s="2027"/>
      <c r="T5" s="2027"/>
      <c r="U5" s="2027"/>
      <c r="V5" s="2027"/>
    </row>
    <row r="6" spans="1:22" ht="14.25">
      <c r="A6" s="3655"/>
      <c r="B6" s="3656"/>
      <c r="C6" s="3665"/>
      <c r="D6" s="3667"/>
      <c r="E6" s="260" t="s">
        <v>304</v>
      </c>
      <c r="F6" s="261"/>
      <c r="G6" s="261"/>
      <c r="H6" s="261"/>
      <c r="I6" s="262"/>
      <c r="J6" s="2028"/>
      <c r="K6" s="2027"/>
      <c r="L6" s="2027"/>
      <c r="M6" s="2027"/>
      <c r="N6" s="2027"/>
      <c r="O6" s="2027"/>
      <c r="P6" s="2027"/>
      <c r="Q6" s="2027"/>
      <c r="R6" s="2027"/>
      <c r="S6" s="2027"/>
      <c r="T6" s="2027"/>
      <c r="U6" s="2027"/>
      <c r="V6" s="2027"/>
    </row>
    <row r="7" spans="1:22" ht="14.25">
      <c r="A7" s="3655"/>
      <c r="B7" s="3656"/>
      <c r="C7" s="3666"/>
      <c r="D7" s="3667"/>
      <c r="E7" s="260" t="s">
        <v>305</v>
      </c>
      <c r="F7" s="261"/>
      <c r="G7" s="261"/>
      <c r="H7" s="261"/>
      <c r="I7" s="262"/>
      <c r="J7" s="2028"/>
      <c r="K7" s="2027"/>
      <c r="L7" s="2027"/>
      <c r="M7" s="2027"/>
      <c r="N7" s="2027"/>
      <c r="O7" s="2027"/>
      <c r="P7" s="2027"/>
      <c r="Q7" s="2027"/>
      <c r="R7" s="2027"/>
      <c r="S7" s="2027"/>
      <c r="T7" s="2027"/>
      <c r="U7" s="2027"/>
      <c r="V7" s="2027"/>
    </row>
    <row r="8" spans="1:22" ht="14.25">
      <c r="A8" s="3655" t="s">
        <v>306</v>
      </c>
      <c r="B8" s="3656">
        <v>15</v>
      </c>
      <c r="C8" s="3664"/>
      <c r="D8" s="3667"/>
      <c r="E8" s="260" t="s">
        <v>307</v>
      </c>
      <c r="F8" s="261"/>
      <c r="G8" s="261"/>
      <c r="H8" s="261"/>
      <c r="I8" s="262"/>
      <c r="J8" s="2028"/>
      <c r="K8" s="2027"/>
      <c r="L8" s="2027"/>
      <c r="M8" s="2027"/>
      <c r="N8" s="2027"/>
      <c r="O8" s="2027"/>
      <c r="P8" s="2027"/>
      <c r="Q8" s="2027"/>
      <c r="R8" s="2027"/>
      <c r="S8" s="2027"/>
      <c r="T8" s="2027"/>
      <c r="U8" s="2027"/>
      <c r="V8" s="2027"/>
    </row>
    <row r="9" spans="1:22" ht="14.25">
      <c r="A9" s="3655"/>
      <c r="B9" s="3656"/>
      <c r="C9" s="3666"/>
      <c r="D9" s="3667"/>
      <c r="E9" s="260" t="s">
        <v>308</v>
      </c>
      <c r="F9" s="261"/>
      <c r="G9" s="261"/>
      <c r="H9" s="261"/>
      <c r="I9" s="262"/>
      <c r="J9" s="2028"/>
      <c r="K9" s="2027"/>
      <c r="L9" s="2027"/>
      <c r="M9" s="2027"/>
      <c r="N9" s="2027"/>
      <c r="O9" s="2027"/>
      <c r="P9" s="2027"/>
      <c r="Q9" s="2027"/>
      <c r="R9" s="2027"/>
      <c r="S9" s="2027"/>
      <c r="T9" s="2027"/>
      <c r="U9" s="2027"/>
      <c r="V9" s="2027"/>
    </row>
    <row r="10" spans="1:22" ht="14.25">
      <c r="A10" s="3655" t="s">
        <v>309</v>
      </c>
      <c r="B10" s="3656">
        <v>15</v>
      </c>
      <c r="C10" s="3664"/>
      <c r="D10" s="3667"/>
      <c r="E10" s="260" t="s">
        <v>310</v>
      </c>
      <c r="F10" s="261"/>
      <c r="G10" s="261"/>
      <c r="H10" s="261"/>
      <c r="I10" s="262"/>
      <c r="J10" s="2028"/>
      <c r="K10" s="2027"/>
      <c r="L10" s="2027"/>
      <c r="M10" s="2027"/>
      <c r="N10" s="2027"/>
      <c r="O10" s="2027"/>
      <c r="P10" s="2027"/>
      <c r="Q10" s="2027"/>
      <c r="R10" s="2027"/>
      <c r="S10" s="2027"/>
      <c r="T10" s="2027"/>
      <c r="U10" s="2027"/>
      <c r="V10" s="2027"/>
    </row>
    <row r="11" spans="1:22" ht="14.25">
      <c r="A11" s="3655"/>
      <c r="B11" s="3656"/>
      <c r="C11" s="3666"/>
      <c r="D11" s="3667"/>
      <c r="E11" s="260" t="s">
        <v>311</v>
      </c>
      <c r="F11" s="261"/>
      <c r="G11" s="261"/>
      <c r="H11" s="261"/>
      <c r="I11" s="262"/>
      <c r="J11" s="2028"/>
      <c r="K11" s="2027"/>
      <c r="L11" s="2027"/>
      <c r="M11" s="2027"/>
      <c r="N11" s="2027"/>
      <c r="O11" s="2027"/>
      <c r="P11" s="2027"/>
      <c r="Q11" s="2027"/>
      <c r="R11" s="2027"/>
      <c r="S11" s="2027"/>
      <c r="T11" s="2027"/>
      <c r="U11" s="2027"/>
      <c r="V11" s="2027"/>
    </row>
    <row r="12" spans="1:22" ht="14.25">
      <c r="A12" s="3655" t="s">
        <v>312</v>
      </c>
      <c r="B12" s="3656">
        <v>15</v>
      </c>
      <c r="C12" s="3664"/>
      <c r="D12" s="3667"/>
      <c r="E12" s="260" t="s">
        <v>313</v>
      </c>
      <c r="F12" s="261"/>
      <c r="G12" s="261"/>
      <c r="H12" s="261"/>
      <c r="I12" s="262"/>
      <c r="J12" s="2028"/>
      <c r="K12" s="2027"/>
      <c r="L12" s="2027"/>
      <c r="M12" s="2027"/>
      <c r="N12" s="2027"/>
      <c r="O12" s="2027"/>
      <c r="P12" s="2027"/>
      <c r="Q12" s="2027"/>
      <c r="R12" s="2027"/>
      <c r="S12" s="2027"/>
      <c r="T12" s="2027"/>
      <c r="U12" s="2027"/>
      <c r="V12" s="2027"/>
    </row>
    <row r="13" spans="1:22" ht="14.25">
      <c r="A13" s="3655"/>
      <c r="B13" s="3656"/>
      <c r="C13" s="3666"/>
      <c r="D13" s="3667"/>
      <c r="E13" s="260" t="s">
        <v>314</v>
      </c>
      <c r="F13" s="261"/>
      <c r="G13" s="261"/>
      <c r="H13" s="261"/>
      <c r="I13" s="262"/>
      <c r="J13" s="2028"/>
      <c r="K13" s="2027"/>
      <c r="L13" s="2027"/>
      <c r="M13" s="2027"/>
      <c r="N13" s="2027"/>
      <c r="O13" s="2027"/>
      <c r="P13" s="2027"/>
      <c r="Q13" s="2027"/>
      <c r="R13" s="2027"/>
      <c r="S13" s="2027"/>
      <c r="T13" s="2027"/>
      <c r="U13" s="2027"/>
      <c r="V13" s="2027"/>
    </row>
    <row r="14" spans="1:22" ht="14.25">
      <c r="A14" s="3655" t="s">
        <v>315</v>
      </c>
      <c r="B14" s="3656">
        <v>30</v>
      </c>
      <c r="C14" s="3664">
        <v>5</v>
      </c>
      <c r="D14" s="3667">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655"/>
      <c r="B15" s="3656"/>
      <c r="C15" s="3665"/>
      <c r="D15" s="3667"/>
      <c r="E15" s="260" t="s">
        <v>317</v>
      </c>
      <c r="F15" s="261"/>
      <c r="G15" s="261"/>
      <c r="H15" s="261"/>
      <c r="I15" s="262"/>
      <c r="J15" s="2028"/>
      <c r="K15" s="2027"/>
      <c r="L15" s="2027"/>
      <c r="M15" s="2027"/>
      <c r="N15" s="2027"/>
      <c r="O15" s="2027"/>
      <c r="P15" s="2027"/>
      <c r="Q15" s="2027"/>
      <c r="R15" s="2027"/>
      <c r="S15" s="2027"/>
      <c r="T15" s="2027"/>
      <c r="U15" s="2027"/>
      <c r="V15" s="2027"/>
    </row>
    <row r="16" spans="1:22" ht="14.25">
      <c r="A16" s="3655"/>
      <c r="B16" s="3656"/>
      <c r="C16" s="3666"/>
      <c r="D16" s="3667"/>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155064</v>
      </c>
      <c r="D19" s="270">
        <f ca="1">SUMIF(INDIRECT("'"&amp;D4&amp;"'"&amp;"!A:A"),结果表!B19,INDIRECT("'"&amp;D4&amp;"'"&amp;"!B:B"))</f>
        <v>153921</v>
      </c>
      <c r="E19" s="267" t="s">
        <v>323</v>
      </c>
      <c r="F19" s="268" t="s">
        <v>322</v>
      </c>
      <c r="G19" s="271">
        <f ca="1">ROUND(C19*$C$18+D19*$D$18,0)</f>
        <v>154493</v>
      </c>
      <c r="H19" s="272" t="s">
        <v>324</v>
      </c>
      <c r="I19" s="310"/>
      <c r="J19" s="2027"/>
      <c r="K19" s="2027">
        <f ca="1">G19*10000/'数据-汇总表'!F31</f>
        <v>4095.8619341949948</v>
      </c>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3141</v>
      </c>
      <c r="D20" s="276">
        <f ca="1">SUMIF(INDIRECT("'"&amp;D4&amp;"'"&amp;"!A:A"),结果表!B20,INDIRECT("'"&amp;D4&amp;"'"&amp;"!B:B"))</f>
        <v>3118</v>
      </c>
      <c r="E20" s="273"/>
      <c r="F20" s="274" t="s">
        <v>325</v>
      </c>
      <c r="G20" s="277">
        <f ca="1">ROUND(C20*$C$18+D20*$D$18,0)</f>
        <v>3130</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10077</v>
      </c>
      <c r="D21" s="151">
        <f ca="1">SUMIF(INDIRECT("'"&amp;D4&amp;"'"&amp;"!A:A"),结果表!B21,INDIRECT("'"&amp;D4&amp;"'"&amp;"!B:B"))</f>
        <v>10003</v>
      </c>
      <c r="E21" s="273"/>
      <c r="F21" s="279" t="s">
        <v>327</v>
      </c>
      <c r="G21" s="281">
        <f ca="1">ROUND(C21*$C$18+D21*$D$18,0)</f>
        <v>10040</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7.425887305825718E-3</v>
      </c>
      <c r="E22" s="283"/>
      <c r="F22" s="284"/>
      <c r="G22" s="285">
        <f ca="1">ROUND(G19/('数据-汇总表'!D3/666.67),0)</f>
        <v>669</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628"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670"/>
      <c r="B25" s="1319" t="s">
        <v>331</v>
      </c>
      <c r="C25" s="289">
        <f>IF(B30=0,0,C30)</f>
        <v>0</v>
      </c>
      <c r="D25" s="290"/>
      <c r="E25" s="310"/>
      <c r="F25" s="310"/>
      <c r="G25" s="310"/>
      <c r="H25" s="310"/>
      <c r="I25" s="310"/>
      <c r="J25" s="2027"/>
      <c r="K25" s="1253" t="str">
        <f ca="1">项目基本情况!B16&amp;"国有建设用地使用权价格："&amp;O38&amp;"万元"</f>
        <v>出让国有建设用地使用权价格：154493万元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大写金额：人民币壹拾伍亿肆仟肆佰玖拾叁万元整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单位面积地价：10040元/平方米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楼面地价：3130元/平方米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抵押价格：154493万元</v>
      </c>
      <c r="L29" s="1250"/>
      <c r="M29" s="1250"/>
      <c r="N29" s="1250"/>
      <c r="O29" s="1249"/>
      <c r="P29" s="2027"/>
      <c r="V29" s="2027"/>
    </row>
    <row r="30" spans="1:26" ht="18.75" thickBot="1">
      <c r="A30" s="3157" t="s">
        <v>336</v>
      </c>
      <c r="B30" s="308"/>
      <c r="C30" s="308"/>
      <c r="D30" s="309"/>
      <c r="E30" s="3158" t="s">
        <v>2975</v>
      </c>
      <c r="F30" s="310"/>
      <c r="G30" s="310"/>
      <c r="H30" s="310"/>
      <c r="I30" s="310"/>
      <c r="J30" s="2027"/>
      <c r="K30" s="1256" t="str">
        <f ca="1">IF(K29="——","——","大写金额：人民币"&amp;NUMBERSTRING(INT(O39*10000),2)&amp;"元整")</f>
        <v>大写金额：人民币壹拾伍亿肆仟肆佰玖拾叁万元整</v>
      </c>
      <c r="L30" s="1250"/>
      <c r="M30" s="1250"/>
      <c r="N30" s="1250"/>
      <c r="O30" s="1249"/>
      <c r="P30" s="2027"/>
      <c r="V30" s="2027"/>
    </row>
    <row r="31" spans="1:26" ht="24" customHeight="1" thickBot="1">
      <c r="A31" s="310"/>
      <c r="B31" s="310"/>
      <c r="C31" s="310"/>
      <c r="D31" s="310"/>
      <c r="E31" s="310"/>
      <c r="F31" s="310"/>
      <c r="G31" s="310"/>
      <c r="H31" s="310"/>
      <c r="I31" s="310"/>
      <c r="J31" s="2027"/>
      <c r="K31" s="2489" t="str">
        <f>IF(项目基本情况!E8="抵押价格","——","抵押担保权已注销时的抵押价格："&amp;O40&amp;"万元")</f>
        <v>——</v>
      </c>
      <c r="L31" s="2485"/>
      <c r="M31" s="2485"/>
      <c r="N31" s="2485"/>
      <c r="O31" s="2486"/>
      <c r="P31" s="2027"/>
      <c r="V31" s="2027"/>
    </row>
    <row r="32" spans="1:26" ht="18.75" thickBot="1">
      <c r="A32" s="267" t="s">
        <v>337</v>
      </c>
      <c r="B32" s="1380" t="s">
        <v>1690</v>
      </c>
      <c r="C32" s="1381">
        <f ca="1">G19-C24</f>
        <v>154493</v>
      </c>
      <c r="D32" s="1382" t="s">
        <v>1691</v>
      </c>
      <c r="E32" s="310"/>
      <c r="F32" s="310"/>
      <c r="G32" s="310"/>
      <c r="H32" s="310"/>
      <c r="I32" s="310"/>
      <c r="J32" s="2027"/>
      <c r="K32" s="2484" t="str">
        <f>IF(K31="——","——","大写金额：人民币"&amp;NUMBERSTRING(INT(O40*10000),2)&amp;"元整")</f>
        <v>——</v>
      </c>
      <c r="L32" s="2487"/>
      <c r="M32" s="2487"/>
      <c r="N32" s="2487"/>
      <c r="O32" s="2488"/>
      <c r="P32" s="2027"/>
      <c r="V32" s="2027"/>
    </row>
    <row r="33" spans="1:26" ht="18.75" thickBot="1">
      <c r="A33" s="297" t="s">
        <v>340</v>
      </c>
      <c r="B33" s="1383" t="s">
        <v>1692</v>
      </c>
      <c r="C33" s="263">
        <f ca="1">ROUND(C32*10000/'数据-汇总表'!E3,0)</f>
        <v>3130</v>
      </c>
      <c r="D33" s="1384" t="s">
        <v>1693</v>
      </c>
      <c r="E33" s="3628"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75" thickBot="1">
      <c r="A34" s="299"/>
      <c r="B34" s="1385" t="s">
        <v>1694</v>
      </c>
      <c r="C34" s="263">
        <f ca="1">ROUND(C32*10000/'数据-汇总表'!D3,0)</f>
        <v>10040</v>
      </c>
      <c r="D34" s="1386" t="s">
        <v>1693</v>
      </c>
      <c r="E34" s="3629"/>
      <c r="F34" s="127" t="s">
        <v>341</v>
      </c>
      <c r="G34" s="298"/>
      <c r="H34" s="105"/>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75" thickBot="1">
      <c r="A35" s="283"/>
      <c r="B35" s="1387"/>
      <c r="C35" s="1388">
        <f ca="1">ROUND(C32/('数据-汇总表'!D3/666.67),0)</f>
        <v>669</v>
      </c>
      <c r="D35" s="1389" t="s">
        <v>1695</v>
      </c>
      <c r="E35" s="3630"/>
      <c r="F35" s="300" t="s">
        <v>342</v>
      </c>
      <c r="G35" s="980"/>
      <c r="H35" s="979" t="s">
        <v>343</v>
      </c>
      <c r="I35" s="310"/>
      <c r="J35" s="2027"/>
      <c r="K35" s="3634" t="s">
        <v>350</v>
      </c>
      <c r="L35" s="3634" t="s">
        <v>351</v>
      </c>
      <c r="M35" s="1262" t="s">
        <v>352</v>
      </c>
      <c r="N35" s="3634" t="s">
        <v>353</v>
      </c>
      <c r="O35" s="3634" t="s">
        <v>354</v>
      </c>
      <c r="P35" s="2027"/>
      <c r="V35" s="2027"/>
    </row>
    <row r="36" spans="1:26" ht="16.5" customHeight="1">
      <c r="A36" s="302" t="s">
        <v>344</v>
      </c>
      <c r="B36" s="303" t="s">
        <v>333</v>
      </c>
      <c r="C36" s="304" t="s">
        <v>345</v>
      </c>
      <c r="D36" s="304" t="s">
        <v>346</v>
      </c>
      <c r="E36" s="305" t="s">
        <v>347</v>
      </c>
      <c r="F36" s="310"/>
      <c r="G36" s="310"/>
      <c r="H36" s="310"/>
      <c r="I36" s="310"/>
      <c r="J36" s="2029"/>
      <c r="K36" s="3635"/>
      <c r="L36" s="3635"/>
      <c r="M36" s="1264" t="s">
        <v>355</v>
      </c>
      <c r="N36" s="3635"/>
      <c r="O36" s="3635"/>
      <c r="P36" s="2027"/>
      <c r="V36" s="2027"/>
    </row>
    <row r="37" spans="1:26" ht="16.5" customHeight="1" thickBot="1">
      <c r="A37" s="1258" t="s">
        <v>348</v>
      </c>
      <c r="B37" s="306"/>
      <c r="C37" s="293"/>
      <c r="D37" s="293"/>
      <c r="E37" s="294"/>
      <c r="F37" s="310"/>
      <c r="G37" s="310"/>
      <c r="H37" s="310"/>
      <c r="I37" s="310"/>
      <c r="J37" s="2029"/>
      <c r="K37" s="3636"/>
      <c r="L37" s="3636"/>
      <c r="M37" s="1265"/>
      <c r="N37" s="3636"/>
      <c r="O37" s="3636"/>
      <c r="P37" s="2027"/>
      <c r="V37" s="2027"/>
    </row>
    <row r="38" spans="1:26" ht="16.5" customHeight="1" thickBot="1">
      <c r="A38" s="1258" t="s">
        <v>349</v>
      </c>
      <c r="B38" s="306"/>
      <c r="C38" s="293"/>
      <c r="D38" s="293"/>
      <c r="E38" s="294"/>
      <c r="F38" s="310"/>
      <c r="G38" s="310"/>
      <c r="H38" s="310"/>
      <c r="I38" s="310"/>
      <c r="J38" s="2029"/>
      <c r="K38" s="1266">
        <f>'数据-汇总表'!D3</f>
        <v>153875</v>
      </c>
      <c r="L38" s="1267">
        <f>'数据-汇总表'!E3</f>
        <v>493630.89</v>
      </c>
      <c r="M38" s="1267">
        <f ca="1">C34</f>
        <v>10040</v>
      </c>
      <c r="N38" s="1267">
        <f ca="1">C33</f>
        <v>3130</v>
      </c>
      <c r="O38" s="1268">
        <f ca="1">C32</f>
        <v>154493</v>
      </c>
      <c r="P38" s="2027"/>
      <c r="V38" s="2027"/>
    </row>
    <row r="39" spans="1:26" ht="16.5" customHeight="1" thickBot="1">
      <c r="A39" s="1263"/>
      <c r="B39" s="307"/>
      <c r="C39" s="308"/>
      <c r="D39" s="308"/>
      <c r="E39" s="309"/>
      <c r="F39" s="310"/>
      <c r="G39" s="310"/>
      <c r="H39" s="310"/>
      <c r="I39" s="310"/>
      <c r="J39" s="2029"/>
      <c r="K39" s="3611" t="str">
        <f>MID(A44,3,LEN(A44)-2)</f>
        <v>抵押价格</v>
      </c>
      <c r="L39" s="3612"/>
      <c r="M39" s="3612"/>
      <c r="N39" s="3613"/>
      <c r="O39" s="1391">
        <f ca="1">C44</f>
        <v>154493</v>
      </c>
      <c r="P39" s="2027"/>
      <c r="V39" s="2027"/>
    </row>
    <row r="40" spans="1:26" ht="19.5" thickBot="1">
      <c r="A40" s="104" t="s">
        <v>874</v>
      </c>
      <c r="B40" s="310"/>
      <c r="C40" s="310"/>
      <c r="D40" s="310"/>
      <c r="E40" s="310"/>
      <c r="F40" s="310"/>
      <c r="G40" s="310"/>
      <c r="H40" s="310"/>
      <c r="I40" s="310"/>
      <c r="J40" s="2029"/>
      <c r="K40" s="3611" t="str">
        <f t="shared" ref="K40:K41" si="0">MID(A45,3,LEN(A45)-2)</f>
        <v/>
      </c>
      <c r="L40" s="3612"/>
      <c r="M40" s="3612"/>
      <c r="N40" s="3613"/>
      <c r="O40" s="1391" t="str">
        <f>C45</f>
        <v>——</v>
      </c>
      <c r="P40" s="2027"/>
      <c r="V40" s="2027"/>
    </row>
    <row r="41" spans="1:26" ht="16.5" thickBot="1">
      <c r="A41" s="311" t="s">
        <v>356</v>
      </c>
      <c r="B41" s="312"/>
      <c r="C41" s="313" t="s">
        <v>357</v>
      </c>
      <c r="D41" s="314" t="s">
        <v>358</v>
      </c>
      <c r="E41" s="314" t="s">
        <v>359</v>
      </c>
      <c r="F41" s="315" t="s">
        <v>360</v>
      </c>
      <c r="G41" s="310"/>
      <c r="H41" s="310"/>
      <c r="I41" s="310"/>
      <c r="J41" s="2029"/>
      <c r="K41" s="3611" t="str">
        <f t="shared" si="0"/>
        <v/>
      </c>
      <c r="L41" s="3612"/>
      <c r="M41" s="3612"/>
      <c r="N41" s="3613"/>
      <c r="O41" s="1391" t="str">
        <f>C46</f>
        <v>——</v>
      </c>
      <c r="P41" s="2027"/>
      <c r="V41" s="2027"/>
    </row>
    <row r="42" spans="1:26" ht="29.25">
      <c r="A42" s="3671" t="s">
        <v>2070</v>
      </c>
      <c r="B42" s="3672"/>
      <c r="C42" s="263">
        <f ca="1">C32</f>
        <v>154493</v>
      </c>
      <c r="D42" s="316">
        <f ca="1">C33</f>
        <v>3130</v>
      </c>
      <c r="E42" s="316">
        <f ca="1">C34</f>
        <v>10040</v>
      </c>
      <c r="F42" s="317">
        <f ca="1">C35</f>
        <v>669</v>
      </c>
      <c r="G42" s="310"/>
      <c r="H42" s="310"/>
      <c r="I42" s="318"/>
      <c r="J42" s="2029"/>
      <c r="K42" s="1269" t="s">
        <v>361</v>
      </c>
      <c r="L42" s="2046" t="s">
        <v>362</v>
      </c>
      <c r="M42" s="1270" t="s">
        <v>363</v>
      </c>
      <c r="N42" s="2047" t="s">
        <v>364</v>
      </c>
      <c r="O42" s="2048" t="s">
        <v>365</v>
      </c>
      <c r="P42" s="2027"/>
      <c r="V42" s="2027"/>
    </row>
    <row r="43" spans="1:26" ht="30">
      <c r="A43" s="3681" t="s">
        <v>2736</v>
      </c>
      <c r="B43" s="3682"/>
      <c r="C43" s="263">
        <f>IF(H33="正常操作",G33+G34+G35,G34+G35)</f>
        <v>0</v>
      </c>
      <c r="D43" s="316" t="s">
        <v>43</v>
      </c>
      <c r="E43" s="316" t="s">
        <v>44</v>
      </c>
      <c r="F43" s="317" t="s">
        <v>44</v>
      </c>
      <c r="G43" s="2888" t="s">
        <v>953</v>
      </c>
      <c r="H43" s="310"/>
      <c r="I43" s="318"/>
      <c r="J43" s="2029"/>
      <c r="K43" s="1271" t="str">
        <f>C4</f>
        <v>剩余法-待开发</v>
      </c>
      <c r="L43" s="1272">
        <f ca="1">IF(L42="估价结果/万元",C19,C20)</f>
        <v>155064</v>
      </c>
      <c r="M43" s="1273">
        <f>C18</f>
        <v>0.5</v>
      </c>
      <c r="N43" s="1274">
        <f ca="1">IF(N42="测算结果/万元",G19,G20)</f>
        <v>154493</v>
      </c>
      <c r="O43" s="1275">
        <f ca="1">IF(O42="最终结果/万元",C32,C33)</f>
        <v>154493</v>
      </c>
      <c r="P43" s="2027"/>
      <c r="V43" s="2027"/>
    </row>
    <row r="44" spans="1:26" ht="30.75" thickBot="1">
      <c r="A44" s="3671" t="str">
        <f>IF(OR(项目基本情况!E8="抵押价格",项目基本情况!E8="已注销及未注销"),"3.抵押价格","——")</f>
        <v>3.抵押价格</v>
      </c>
      <c r="B44" s="3672"/>
      <c r="C44" s="263">
        <f ca="1">IF(A44="——","——",C42-C43)</f>
        <v>154493</v>
      </c>
      <c r="D44" s="316">
        <f ca="1">ROUND(C44*10000/'数据-汇总表'!E3,0)</f>
        <v>3130</v>
      </c>
      <c r="E44" s="316">
        <f ca="1">ROUND(C44*10000/'数据-汇总表'!D3,0)</f>
        <v>10040</v>
      </c>
      <c r="F44" s="317">
        <f ca="1">ROUND(C44/('数据-汇总表'!D3/666.67),0)</f>
        <v>669</v>
      </c>
      <c r="G44" s="310"/>
      <c r="H44" s="310"/>
      <c r="I44" s="318"/>
      <c r="J44" s="2029"/>
      <c r="K44" s="1276" t="str">
        <f>D4</f>
        <v>比较法-住宅、综合</v>
      </c>
      <c r="L44" s="1277">
        <f ca="1">IF(L42="估价结果/万元",D19,D20)</f>
        <v>153921</v>
      </c>
      <c r="M44" s="1278">
        <f>D18</f>
        <v>0.5</v>
      </c>
      <c r="N44" s="1279"/>
      <c r="O44" s="1280"/>
      <c r="P44" s="2027"/>
      <c r="V44" s="2027"/>
    </row>
    <row r="45" spans="1:26" ht="15">
      <c r="A45" s="3676" t="str">
        <f>IF(项目基本情况!E8="已注销及未注销","4.抵押担保权已注销时的抵押价格",IF(项目基本情况!E8="已注销","3.抵押担保权已注销时的抵押价格","——"))</f>
        <v>——</v>
      </c>
      <c r="B45" s="367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673" t="str">
        <f>IF(项目基本情况!E9="抵押净值",IF(A45="——","4.抵押净值","5.抵押净值"),"——")</f>
        <v>——</v>
      </c>
      <c r="B46" s="367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639" t="s">
        <v>374</v>
      </c>
      <c r="B63" s="3640"/>
      <c r="C63" s="3641"/>
      <c r="D63" s="340">
        <f ca="1">ROUND(C42*F63,0)</f>
        <v>92696</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678" t="s">
        <v>378</v>
      </c>
      <c r="B64" s="3679"/>
      <c r="C64" s="3679"/>
      <c r="D64" s="3679"/>
      <c r="E64" s="3679"/>
      <c r="F64" s="3679"/>
      <c r="G64" s="3680"/>
      <c r="H64" s="1286"/>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7"/>
      <c r="J65" s="1989"/>
      <c r="K65" s="1287"/>
      <c r="L65" s="1288"/>
      <c r="M65" s="1288"/>
      <c r="N65" s="1320" t="s">
        <v>379</v>
      </c>
      <c r="O65" s="1321"/>
      <c r="P65" s="1322"/>
      <c r="Q65" s="2027"/>
      <c r="R65" s="2027"/>
      <c r="S65" s="2027"/>
      <c r="T65" s="2027"/>
      <c r="U65" s="2027"/>
      <c r="V65" s="2027"/>
    </row>
    <row r="66" spans="1:22" ht="25.5">
      <c r="A66" s="3675" t="s">
        <v>386</v>
      </c>
      <c r="B66" s="3646"/>
      <c r="C66" s="3646"/>
      <c r="D66" s="260">
        <f ca="1">IF(H66="情况1",0,IF(H66="情况2",D70,IF(H66="情况3",D71,IF(H66="情况4",D72))))</f>
        <v>4856</v>
      </c>
      <c r="E66" s="991" t="str">
        <f>IF(H66="情况4","(销售额-原购置价)×税（费）率","销售额×税（费）率")</f>
        <v>销售额×税（费）率</v>
      </c>
      <c r="F66" s="349">
        <f>IF(H66="情况1","免征",'数据-取费表'!B41)</f>
        <v>5.5000000000000007E-2</v>
      </c>
      <c r="G66" s="350" t="s">
        <v>387</v>
      </c>
      <c r="H66" s="191" t="s">
        <v>388</v>
      </c>
      <c r="I66" s="1286"/>
      <c r="J66" s="2033"/>
      <c r="K66" s="1289">
        <v>1</v>
      </c>
      <c r="L66" s="3615" t="s">
        <v>385</v>
      </c>
      <c r="M66" s="3616"/>
      <c r="N66" s="2479"/>
      <c r="O66" s="2480"/>
      <c r="P66" s="2481"/>
      <c r="Q66" s="2027"/>
      <c r="R66" s="2027"/>
      <c r="S66" s="2027"/>
      <c r="T66" s="2027"/>
      <c r="U66" s="2027"/>
      <c r="V66" s="2027"/>
    </row>
    <row r="67" spans="1:22" ht="25.5" customHeight="1">
      <c r="A67" s="351" t="s">
        <v>390</v>
      </c>
      <c r="B67" s="3658" t="s">
        <v>391</v>
      </c>
      <c r="C67" s="3658"/>
      <c r="D67" s="352">
        <v>0</v>
      </c>
      <c r="E67" s="41" t="s">
        <v>392</v>
      </c>
      <c r="F67" s="62" t="s">
        <v>21</v>
      </c>
      <c r="G67" s="3642"/>
      <c r="H67" s="310"/>
      <c r="I67" s="1290"/>
      <c r="J67" s="2034"/>
      <c r="K67" s="1975">
        <v>2</v>
      </c>
      <c r="L67" s="3614" t="s">
        <v>389</v>
      </c>
      <c r="M67" s="3614"/>
      <c r="N67" s="1323">
        <f>'数据-取费表'!B2</f>
        <v>43206</v>
      </c>
      <c r="O67" s="1323"/>
      <c r="P67" s="1323"/>
      <c r="Q67" s="2027"/>
      <c r="R67" s="2027"/>
      <c r="S67" s="2027"/>
      <c r="T67" s="2027"/>
      <c r="U67" s="2027"/>
      <c r="V67" s="2027"/>
    </row>
    <row r="68" spans="1:22" ht="25.5" customHeight="1">
      <c r="A68" s="353"/>
      <c r="B68" s="3658" t="s">
        <v>394</v>
      </c>
      <c r="C68" s="3658"/>
      <c r="D68" s="354"/>
      <c r="E68" s="77"/>
      <c r="F68" s="355"/>
      <c r="G68" s="3643"/>
      <c r="H68" s="310"/>
      <c r="I68" s="1290"/>
      <c r="J68" s="2034"/>
      <c r="K68" s="1975">
        <v>3</v>
      </c>
      <c r="L68" s="3614" t="s">
        <v>393</v>
      </c>
      <c r="M68" s="3614"/>
      <c r="N68" s="1291">
        <f ca="1">C42</f>
        <v>154493</v>
      </c>
      <c r="O68" s="1291"/>
      <c r="P68" s="1291"/>
      <c r="Q68" s="2027"/>
      <c r="R68" s="2027"/>
      <c r="S68" s="2027"/>
      <c r="T68" s="2027"/>
      <c r="U68" s="2027"/>
      <c r="V68" s="2027"/>
    </row>
    <row r="69" spans="1:22" ht="12" customHeight="1">
      <c r="A69" s="356"/>
      <c r="B69" s="3658" t="s">
        <v>395</v>
      </c>
      <c r="C69" s="3658"/>
      <c r="D69" s="357"/>
      <c r="E69" s="73"/>
      <c r="F69" s="355"/>
      <c r="G69" s="3644"/>
      <c r="H69" s="310"/>
      <c r="I69" s="1290"/>
      <c r="J69" s="2034"/>
      <c r="K69" s="1292">
        <v>4</v>
      </c>
      <c r="L69" s="3620" t="s">
        <v>2889</v>
      </c>
      <c r="M69" s="3621"/>
      <c r="N69" s="1293">
        <f ca="1">C44</f>
        <v>154493</v>
      </c>
      <c r="O69" s="1293"/>
      <c r="P69" s="1293"/>
      <c r="Q69" s="2027"/>
      <c r="R69" s="2027"/>
      <c r="S69" s="2027"/>
      <c r="T69" s="2027"/>
      <c r="U69" s="2027"/>
      <c r="V69" s="2027"/>
    </row>
    <row r="70" spans="1:22" ht="24" customHeight="1">
      <c r="A70" s="358" t="s">
        <v>396</v>
      </c>
      <c r="B70" s="3658" t="s">
        <v>397</v>
      </c>
      <c r="C70" s="3658"/>
      <c r="D70" s="357">
        <f ca="1">ROUND(D63*'数据-取费表'!B41/(1+'数据-取费表'!C42),0)</f>
        <v>4856</v>
      </c>
      <c r="E70" s="17" t="s">
        <v>398</v>
      </c>
      <c r="F70" s="359">
        <f>'数据-取费表'!B41</f>
        <v>5.5000000000000007E-2</v>
      </c>
      <c r="G70" s="360"/>
      <c r="H70" s="310"/>
      <c r="I70" s="1290"/>
      <c r="J70" s="2034"/>
      <c r="K70" s="3083"/>
      <c r="L70" s="3084"/>
      <c r="M70" s="3084"/>
      <c r="N70" s="3085" t="s">
        <v>2894</v>
      </c>
      <c r="O70" s="3084"/>
      <c r="P70" s="3086"/>
      <c r="Q70" s="2027"/>
      <c r="R70" s="2027"/>
      <c r="S70" s="2027"/>
      <c r="T70" s="2027"/>
      <c r="U70" s="2027"/>
      <c r="V70" s="2027"/>
    </row>
    <row r="71" spans="1:22" ht="12" customHeight="1">
      <c r="A71" s="358" t="s">
        <v>404</v>
      </c>
      <c r="B71" s="3657" t="s">
        <v>405</v>
      </c>
      <c r="C71" s="3669"/>
      <c r="D71" s="357">
        <f ca="1">ROUND(D63*'数据-取费表'!B41/(1+'数据-取费表'!C42),0)</f>
        <v>4856</v>
      </c>
      <c r="E71" s="17" t="s">
        <v>398</v>
      </c>
      <c r="F71" s="359">
        <f>'数据-取费表'!B41</f>
        <v>5.5000000000000007E-2</v>
      </c>
      <c r="G71" s="360"/>
      <c r="H71" s="310"/>
      <c r="I71" s="1290"/>
      <c r="J71" s="2034"/>
      <c r="K71" s="3082" t="s">
        <v>399</v>
      </c>
      <c r="L71" s="3622" t="s">
        <v>400</v>
      </c>
      <c r="M71" s="3622"/>
      <c r="N71" s="3082" t="s">
        <v>401</v>
      </c>
      <c r="O71" s="3082" t="s">
        <v>402</v>
      </c>
      <c r="P71" s="3082" t="s">
        <v>403</v>
      </c>
      <c r="Q71" s="2027"/>
      <c r="R71" s="2027"/>
      <c r="S71" s="2027"/>
      <c r="T71" s="2027"/>
      <c r="U71" s="2027"/>
      <c r="V71" s="2027"/>
    </row>
    <row r="72" spans="1:22" ht="12" customHeight="1">
      <c r="A72" s="358" t="s">
        <v>407</v>
      </c>
      <c r="B72" s="3657" t="s">
        <v>408</v>
      </c>
      <c r="C72" s="3669"/>
      <c r="D72" s="357">
        <f ca="1">C86</f>
        <v>4746</v>
      </c>
      <c r="E72" s="73" t="s">
        <v>409</v>
      </c>
      <c r="F72" s="359">
        <f>'数据-取费表'!B41</f>
        <v>5.5000000000000007E-2</v>
      </c>
      <c r="G72" s="360"/>
      <c r="H72" s="1296"/>
      <c r="I72" s="1290"/>
      <c r="J72" s="2034"/>
      <c r="K72" s="1975">
        <v>1</v>
      </c>
      <c r="L72" s="3619" t="s">
        <v>406</v>
      </c>
      <c r="M72" s="3619"/>
      <c r="N72" s="1294">
        <f ca="1">D66</f>
        <v>4856</v>
      </c>
      <c r="O72" s="1858" t="str">
        <f>E66</f>
        <v>销售额×税（费）率</v>
      </c>
      <c r="P72" s="1295">
        <f>F66</f>
        <v>5.5000000000000007E-2</v>
      </c>
      <c r="Q72" s="2027"/>
      <c r="R72" s="2027"/>
      <c r="S72" s="2027"/>
      <c r="T72" s="2027"/>
      <c r="U72" s="2027"/>
      <c r="V72" s="2027"/>
    </row>
    <row r="73" spans="1:22" ht="24" customHeight="1">
      <c r="A73" s="3645" t="s">
        <v>411</v>
      </c>
      <c r="B73" s="3646"/>
      <c r="C73" s="3646"/>
      <c r="D73" s="361">
        <f>IF(H73="个人住宅",0,ROUND(D63*I73,0))</f>
        <v>0</v>
      </c>
      <c r="E73" s="17" t="s">
        <v>412</v>
      </c>
      <c r="F73" s="359" t="str">
        <f>IF(H73="正常",I73,"免征")</f>
        <v>免征</v>
      </c>
      <c r="G73" s="360"/>
      <c r="H73" s="191" t="s">
        <v>2460</v>
      </c>
      <c r="I73" s="359">
        <f>'数据-取费表'!B49</f>
        <v>5.0000000000000001E-4</v>
      </c>
      <c r="J73" s="2034"/>
      <c r="K73" s="1975">
        <v>2</v>
      </c>
      <c r="L73" s="3619" t="s">
        <v>410</v>
      </c>
      <c r="M73" s="3619"/>
      <c r="N73" s="1294">
        <f t="shared" ref="N73:P74" si="1">D73</f>
        <v>0</v>
      </c>
      <c r="O73" s="1858" t="str">
        <f t="shared" si="1"/>
        <v>销售额×税（费）率</v>
      </c>
      <c r="P73" s="1295" t="str">
        <f t="shared" si="1"/>
        <v>免征</v>
      </c>
      <c r="Q73" s="2027"/>
      <c r="R73" s="2027"/>
      <c r="S73" s="2027"/>
      <c r="T73" s="2027"/>
      <c r="U73" s="2027"/>
      <c r="V73" s="2027"/>
    </row>
    <row r="74" spans="1:22" ht="24.75">
      <c r="A74" s="3645" t="s">
        <v>415</v>
      </c>
      <c r="B74" s="3646"/>
      <c r="C74" s="3646"/>
      <c r="D74" s="361">
        <f ca="1">IF(H74="个人住宅",D75,D76)</f>
        <v>51895</v>
      </c>
      <c r="E74" s="17" t="s">
        <v>416</v>
      </c>
      <c r="F74" s="359" t="str">
        <f>IF(H74="正常",F76,"免征")</f>
        <v>——</v>
      </c>
      <c r="G74" s="981" t="s">
        <v>417</v>
      </c>
      <c r="H74" s="362" t="s">
        <v>413</v>
      </c>
      <c r="I74" s="42"/>
      <c r="J74" s="2034"/>
      <c r="K74" s="1975">
        <v>3</v>
      </c>
      <c r="L74" s="3619" t="s">
        <v>414</v>
      </c>
      <c r="M74" s="3619"/>
      <c r="N74" s="1294">
        <f t="shared" ca="1" si="1"/>
        <v>51895</v>
      </c>
      <c r="O74" s="1858" t="str">
        <f t="shared" si="1"/>
        <v>增值额×税（费）率</v>
      </c>
      <c r="P74" s="1297" t="str">
        <f t="shared" si="1"/>
        <v>——</v>
      </c>
      <c r="Q74" s="2027"/>
      <c r="R74" s="2027"/>
      <c r="S74" s="2027"/>
      <c r="T74" s="2027"/>
      <c r="U74" s="2027"/>
      <c r="V74" s="2027"/>
    </row>
    <row r="75" spans="1:22" ht="24">
      <c r="A75" s="358" t="s">
        <v>418</v>
      </c>
      <c r="B75" s="3626" t="s">
        <v>419</v>
      </c>
      <c r="C75" s="3627"/>
      <c r="D75" s="363">
        <v>0</v>
      </c>
      <c r="E75" s="41" t="s">
        <v>420</v>
      </c>
      <c r="F75" s="364"/>
      <c r="G75" s="360"/>
      <c r="H75" s="42"/>
      <c r="I75" s="42"/>
      <c r="J75" s="2034"/>
      <c r="K75" s="3075">
        <f>IF(H77="非个人房产","",4)</f>
        <v>4</v>
      </c>
      <c r="L75" s="3619" t="str">
        <f>IF(H77="非个人房产","——","个人所得税")</f>
        <v>个人所得税</v>
      </c>
      <c r="M75" s="3619"/>
      <c r="N75" s="1298">
        <f ca="1">D77</f>
        <v>927</v>
      </c>
      <c r="O75" s="1871" t="str">
        <f>E77</f>
        <v>销售额×税（费）率</v>
      </c>
      <c r="P75" s="1299">
        <f>F77</f>
        <v>0.01</v>
      </c>
      <c r="Q75" s="2027"/>
      <c r="R75" s="2027"/>
      <c r="S75" s="2027"/>
      <c r="T75" s="2027"/>
      <c r="U75" s="2027"/>
      <c r="V75" s="2027"/>
    </row>
    <row r="76" spans="1:22" ht="24.75">
      <c r="A76" s="358" t="s">
        <v>396</v>
      </c>
      <c r="B76" s="3626" t="s">
        <v>422</v>
      </c>
      <c r="C76" s="3668"/>
      <c r="D76" s="361">
        <f ca="1">IF(H76="转让取得",C99,C115)</f>
        <v>51895</v>
      </c>
      <c r="E76" s="17" t="s">
        <v>423</v>
      </c>
      <c r="F76" s="53" t="s">
        <v>21</v>
      </c>
      <c r="G76" s="360"/>
      <c r="H76" s="362" t="s">
        <v>424</v>
      </c>
      <c r="I76" s="42"/>
      <c r="J76" s="2034"/>
      <c r="K76" s="3075" t="str">
        <f>IF(项目基本情况!K6="上海银行",IF(K75="",4,K75+1),"")</f>
        <v/>
      </c>
      <c r="L76" s="3607" t="str">
        <f>IF(项目基本情况!K6="上海银行","其他处置费用","")</f>
        <v/>
      </c>
      <c r="M76" s="3608"/>
      <c r="N76" s="1294" t="str">
        <f>IF(项目基本情况!K6="上海银行",N89,"")</f>
        <v/>
      </c>
      <c r="O76" s="3609" t="str">
        <f>IF(项目基本情况!K6="上海银行","包含处置中涉及的律师、诉讼、拍卖、评估等费用","")</f>
        <v/>
      </c>
      <c r="P76" s="3610"/>
      <c r="Q76" s="2027"/>
      <c r="R76" s="2027"/>
      <c r="S76" s="2027"/>
      <c r="T76" s="2027"/>
      <c r="U76" s="2027"/>
      <c r="V76" s="2027"/>
    </row>
    <row r="77" spans="1:22" ht="26.25" thickBot="1">
      <c r="A77" s="3637" t="s">
        <v>426</v>
      </c>
      <c r="B77" s="3638"/>
      <c r="C77" s="3638"/>
      <c r="D77" s="365">
        <f ca="1">IF(H77="非个人房产","——",IF(H77="个人住宅",0,ROUND(D63*I77,0)))</f>
        <v>927</v>
      </c>
      <c r="E77" s="366" t="str">
        <f>IF(H77="非个人房产","——","销售额×税（费）率")</f>
        <v>销售额×税（费）率</v>
      </c>
      <c r="F77" s="367">
        <f>IF(H77="非个人房产","——",IF(H77="个人住宅","免征",I77))</f>
        <v>0.01</v>
      </c>
      <c r="G77" s="982" t="s">
        <v>417</v>
      </c>
      <c r="H77" s="362" t="s">
        <v>2890</v>
      </c>
      <c r="I77" s="368">
        <v>0.01</v>
      </c>
      <c r="J77" s="2034"/>
      <c r="K77" s="3633">
        <f>IF(AND(K75="",K76=""),4,IF(项目基本情况!K6="上海银行",K76+1,K75+1))</f>
        <v>5</v>
      </c>
      <c r="L77" s="3619" t="s">
        <v>2891</v>
      </c>
      <c r="M77" s="3081" t="s">
        <v>421</v>
      </c>
      <c r="N77" s="1300"/>
      <c r="O77" s="1301">
        <f ca="1">SUMIF(N72:N76,"&lt;9e307")</f>
        <v>57678</v>
      </c>
      <c r="P77" s="1302"/>
      <c r="Q77" s="3079">
        <f ca="1">O77/N69</f>
        <v>0.3733373033082405</v>
      </c>
      <c r="R77" s="2027"/>
      <c r="S77" s="2027"/>
      <c r="T77" s="2027"/>
      <c r="U77" s="2027"/>
      <c r="V77" s="2027"/>
    </row>
    <row r="78" spans="1:22" ht="12" customHeight="1">
      <c r="A78" s="1303"/>
      <c r="B78" s="310"/>
      <c r="C78" s="310"/>
      <c r="D78" s="310"/>
      <c r="E78" s="42"/>
      <c r="F78" s="42"/>
      <c r="G78" s="42"/>
      <c r="H78" s="1001"/>
      <c r="I78" s="310"/>
      <c r="J78" s="2034"/>
      <c r="K78" s="3633"/>
      <c r="L78" s="3619"/>
      <c r="M78" s="3081" t="s">
        <v>425</v>
      </c>
      <c r="N78" s="1300"/>
      <c r="O78" s="1301" t="str">
        <f ca="1">NUMBERSTRING(INT(O77*10000),2)&amp;"元整"</f>
        <v>伍亿柒仟陆佰柒拾捌万元整</v>
      </c>
      <c r="P78" s="1302"/>
      <c r="Q78" s="2027"/>
      <c r="R78" s="2027"/>
      <c r="S78" s="2027"/>
      <c r="T78" s="2027"/>
      <c r="U78" s="2027"/>
      <c r="V78" s="2027"/>
    </row>
    <row r="79" spans="1:22" ht="13.5" thickBot="1">
      <c r="A79" s="3623" t="s">
        <v>427</v>
      </c>
      <c r="B79" s="3623"/>
      <c r="C79" s="3623"/>
      <c r="D79" s="3623"/>
      <c r="E79" s="3623"/>
      <c r="F79" s="42"/>
      <c r="G79" s="42"/>
      <c r="H79" s="1001"/>
      <c r="I79" s="310"/>
      <c r="J79" s="2034"/>
      <c r="K79" s="3617">
        <f>K77+1</f>
        <v>6</v>
      </c>
      <c r="L79" s="3619" t="s">
        <v>2892</v>
      </c>
      <c r="M79" s="3081" t="s">
        <v>421</v>
      </c>
      <c r="N79" s="1300"/>
      <c r="O79" s="1301">
        <f ca="1">N69-O77</f>
        <v>96815</v>
      </c>
      <c r="P79" s="1302"/>
      <c r="Q79" s="2027"/>
      <c r="R79" s="2027"/>
      <c r="S79" s="2027"/>
      <c r="T79" s="2027"/>
      <c r="U79" s="2027"/>
      <c r="V79" s="2027"/>
    </row>
    <row r="80" spans="1:22" ht="25.5">
      <c r="A80" s="3624" t="s">
        <v>428</v>
      </c>
      <c r="B80" s="3625"/>
      <c r="C80" s="992"/>
      <c r="D80" s="992" t="s">
        <v>429</v>
      </c>
      <c r="E80" s="369" t="s">
        <v>430</v>
      </c>
      <c r="F80" s="42"/>
      <c r="G80" s="42"/>
      <c r="H80" s="1001"/>
      <c r="I80" s="310"/>
      <c r="J80" s="2027"/>
      <c r="K80" s="3618"/>
      <c r="L80" s="3619"/>
      <c r="M80" s="3081" t="s">
        <v>425</v>
      </c>
      <c r="N80" s="1300"/>
      <c r="O80" s="1301" t="str">
        <f ca="1">NUMBERSTRING(INT(O79*10000),2)&amp;"元整"</f>
        <v>玖亿陆仟捌佰壹拾伍万元整</v>
      </c>
      <c r="P80" s="1302"/>
      <c r="Q80" s="2027"/>
      <c r="R80" s="2027"/>
      <c r="S80" s="2027"/>
      <c r="T80" s="2027"/>
      <c r="U80" s="2027"/>
      <c r="V80" s="2027"/>
    </row>
    <row r="81" spans="1:26" ht="13.5" thickBot="1">
      <c r="A81" s="380" t="s">
        <v>1825</v>
      </c>
      <c r="B81" s="370" t="s">
        <v>431</v>
      </c>
      <c r="C81" s="371">
        <f ca="1">ROUND((C82+C83)/(1+'数据-取费表'!C42),0)</f>
        <v>88282</v>
      </c>
      <c r="D81" s="372"/>
      <c r="E81" s="373"/>
      <c r="F81" s="42"/>
      <c r="G81" s="42"/>
      <c r="H81" s="1001"/>
      <c r="I81" s="310"/>
      <c r="J81" s="2027"/>
      <c r="K81" s="3075">
        <f>K79+1</f>
        <v>7</v>
      </c>
      <c r="L81" s="3631" t="s">
        <v>2893</v>
      </c>
      <c r="M81" s="3632"/>
      <c r="N81" s="1304"/>
      <c r="O81" s="1305">
        <f ca="1">ROUND(O79*10000/'数据-汇总表'!E3,0)</f>
        <v>1961</v>
      </c>
      <c r="P81" s="1306"/>
      <c r="Q81" s="2027"/>
      <c r="R81" s="2027"/>
      <c r="S81" s="2027"/>
      <c r="T81" s="2027"/>
      <c r="U81" s="2027"/>
      <c r="V81" s="2027"/>
    </row>
    <row r="82" spans="1:26" ht="13.5" thickTop="1">
      <c r="A82" s="374" t="s">
        <v>1826</v>
      </c>
      <c r="B82" s="375" t="s">
        <v>432</v>
      </c>
      <c r="C82" s="376">
        <f ca="1">D63</f>
        <v>92696</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1827</v>
      </c>
      <c r="B83" s="375" t="s">
        <v>433</v>
      </c>
      <c r="C83" s="379">
        <v>0</v>
      </c>
      <c r="D83" s="377"/>
      <c r="E83" s="378"/>
      <c r="F83" s="42"/>
      <c r="G83" s="42"/>
      <c r="H83" s="1001"/>
      <c r="I83" s="310"/>
      <c r="J83" s="2027"/>
      <c r="K83" s="3606" t="s">
        <v>2880</v>
      </c>
      <c r="L83" s="3087" t="s">
        <v>2881</v>
      </c>
      <c r="M83" s="3077">
        <f ca="1">IF(N69&gt;10000,N69*0.5%,IF(AND(N69&gt;1000,N69&lt;=10000),N69*1%,IF(AND(N69&gt;100,N69&lt;=1000),N69*3%,IF(AND(N69&gt;10,N69&lt;=100),N69*5%,N69*8%))))</f>
        <v>772.46500000000003</v>
      </c>
      <c r="N83" s="53">
        <f ca="1">ROUND(M83,1)</f>
        <v>772.5</v>
      </c>
      <c r="O83" s="3080"/>
      <c r="P83" s="2027"/>
      <c r="Q83" s="2027"/>
      <c r="R83" s="2027"/>
      <c r="S83" s="2027"/>
      <c r="T83" s="2027"/>
      <c r="U83" s="2027"/>
      <c r="V83" s="2027"/>
    </row>
    <row r="84" spans="1:26" ht="12.75">
      <c r="A84" s="380" t="s">
        <v>1828</v>
      </c>
      <c r="B84" s="381" t="s">
        <v>434</v>
      </c>
      <c r="C84" s="382">
        <v>2000</v>
      </c>
      <c r="D84" s="383" t="s">
        <v>19</v>
      </c>
      <c r="E84" s="3122" t="s">
        <v>2946</v>
      </c>
      <c r="F84" s="42"/>
      <c r="G84" s="42"/>
      <c r="H84" s="1001"/>
      <c r="I84" s="310"/>
      <c r="J84" s="2027"/>
      <c r="K84" s="3606"/>
      <c r="L84" s="3087" t="s">
        <v>2882</v>
      </c>
      <c r="M84" s="3077">
        <f ca="1">IF(N69&gt;2000,N69*0.5%,IF(AND(N69&gt;1000,N69&lt;=2000),N69*0.6%,IF(AND(N69&gt;500,N69&lt;=1000),N69*0.7%,IF(AND(N69&gt;200,N69&lt;=500),N69*0.8%,IF(AND(N69&gt;100,N69&lt;=200),N69*0.9%,IF(AND(N69&gt;50,N69&lt;=100),N69*1%,IF(AND(N69&gt;20,N69&lt;=50),N69*1.5%,IF(AND(N69&gt;10,N69&lt;=20),N69*2%,IF(AND(N69&gt;1,N69&lt;=10),N69*2.5%)))))))))</f>
        <v>772.46500000000003</v>
      </c>
      <c r="N84" s="53">
        <f t="shared" ref="N84:N85" ca="1" si="2">ROUND(M84,1)</f>
        <v>772.5</v>
      </c>
      <c r="O84" s="2027" t="s">
        <v>2883</v>
      </c>
      <c r="P84" s="2027"/>
      <c r="Q84" s="2027"/>
      <c r="R84" s="2027"/>
      <c r="S84" s="2027"/>
      <c r="T84" s="2027"/>
      <c r="U84" s="2027"/>
      <c r="V84" s="2027"/>
    </row>
    <row r="85" spans="1:26" ht="12.75">
      <c r="A85" s="380" t="s">
        <v>1829</v>
      </c>
      <c r="B85" s="381" t="s">
        <v>435</v>
      </c>
      <c r="C85" s="384">
        <f ca="1">C81-C84</f>
        <v>86282</v>
      </c>
      <c r="D85" s="377" t="s">
        <v>19</v>
      </c>
      <c r="E85" s="378"/>
      <c r="F85" s="42"/>
      <c r="G85" s="42"/>
      <c r="H85" s="1001"/>
      <c r="I85" s="310"/>
      <c r="J85" s="2027"/>
      <c r="K85" s="3606"/>
      <c r="L85" s="3087" t="s">
        <v>2884</v>
      </c>
      <c r="M85" s="3077">
        <f ca="1">IF(N69&gt;1000,N69*0.1%,IF(AND(N69&gt;500,N69&lt;=1000),N69*0.5%,IF(AND(N69&gt;50,N69&lt;=500),N69*1%,IF(AND(N69&gt;1,N69&lt;=50),N69*1.5%))))</f>
        <v>154.49299999999999</v>
      </c>
      <c r="N85" s="53">
        <f t="shared" ca="1" si="2"/>
        <v>154.5</v>
      </c>
      <c r="O85" s="2027" t="s">
        <v>2883</v>
      </c>
      <c r="P85" s="2027"/>
      <c r="Q85" s="2027"/>
      <c r="R85" s="2027"/>
      <c r="S85" s="2027"/>
      <c r="T85" s="2027"/>
      <c r="U85" s="2027"/>
      <c r="V85" s="2027"/>
    </row>
    <row r="86" spans="1:26" ht="13.5" thickBot="1">
      <c r="A86" s="385" t="s">
        <v>1830</v>
      </c>
      <c r="B86" s="386" t="s">
        <v>436</v>
      </c>
      <c r="C86" s="387">
        <f ca="1">IF(C85&lt;=0,0,ROUND(C85*D86,0))</f>
        <v>4746</v>
      </c>
      <c r="D86" s="388">
        <f>'数据-取费表'!B41</f>
        <v>5.5000000000000007E-2</v>
      </c>
      <c r="E86" s="389"/>
      <c r="F86" s="42"/>
      <c r="G86" s="42"/>
      <c r="H86" s="1001"/>
      <c r="I86" s="310"/>
      <c r="J86" s="2027"/>
      <c r="K86" s="3606"/>
      <c r="L86" s="3087" t="s">
        <v>2885</v>
      </c>
      <c r="M86" s="3077">
        <f ca="1">N69*0.5%</f>
        <v>772.46500000000003</v>
      </c>
      <c r="N86" s="53">
        <f ca="1">IF(M86&gt;0.5,0.5,ROUND(M86,0))</f>
        <v>0.5</v>
      </c>
      <c r="O86" s="2027" t="s">
        <v>2886</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606"/>
      <c r="L87" s="3087" t="s">
        <v>2887</v>
      </c>
      <c r="M87" s="3077">
        <f ca="1">IF(N69&gt;=10000,(8.25+(N69-10000)*0.01%),IF(AND(N69&gt;=8000,N69&lt;10000),(7.85+(N69-8000)*0.02%),IF(AND(N69&gt;=5000,N69&lt;8000),(6.65+(N69-5000)*0.04%),IF(AND(N69&gt;=2000,N69&lt;5000),(4.25+(PN69-2000)*0.08%),IF(AND(N69&gt;=1000,N69&lt;2000),(2.75+(N69-1000)*0.15%),IF(AND(N69&gt;=100,N69&lt;1000),(0.5+(N69-100)*0.25%),IF(AND(N69&gt;0,N69&lt;100),N69*0.5%)))))))</f>
        <v>22.699300000000001</v>
      </c>
      <c r="N87" s="53">
        <f ca="1">ROUND(M87*0.9,1)</f>
        <v>20.399999999999999</v>
      </c>
      <c r="O87" s="3080"/>
      <c r="P87" s="310"/>
      <c r="Q87" s="2027"/>
      <c r="R87" s="2027"/>
      <c r="S87" s="2027"/>
      <c r="T87" s="2027"/>
      <c r="U87" s="2027"/>
      <c r="V87" s="2027"/>
      <c r="W87" s="291"/>
      <c r="X87" s="291"/>
      <c r="Y87" s="291"/>
      <c r="Z87" s="291"/>
    </row>
    <row r="88" spans="1:26" s="1312" customFormat="1" ht="15" thickBot="1">
      <c r="A88" s="3660" t="s">
        <v>437</v>
      </c>
      <c r="B88" s="3661"/>
      <c r="C88" s="3661"/>
      <c r="D88" s="3661"/>
      <c r="E88" s="3661"/>
      <c r="F88" s="3661"/>
      <c r="G88" s="3661"/>
      <c r="H88" s="3661"/>
      <c r="I88" s="1313"/>
      <c r="J88" s="2035"/>
      <c r="K88" s="3606"/>
      <c r="L88" s="3087" t="s">
        <v>2888</v>
      </c>
      <c r="M88" s="3077">
        <f ca="1">IF(N69&gt;10000,N69*0.5%,IF(AND(N69&gt;5000,N69&lt;=10000),N69*1%,IF(AND(N69&gt;1000,N69&lt;=5000),N69*2%,IF(AND(N69&gt;200,N69&lt;=1000),N69*3%,N69*5%))))</f>
        <v>772.46500000000003</v>
      </c>
      <c r="N88" s="53">
        <f ca="1">ROUND(M88,1)</f>
        <v>772.5</v>
      </c>
      <c r="O88" s="3080"/>
      <c r="P88" s="11"/>
      <c r="Q88" s="2032"/>
      <c r="R88" s="2032"/>
      <c r="S88" s="2032"/>
      <c r="T88" s="2032"/>
      <c r="U88" s="2032"/>
      <c r="V88" s="2032"/>
      <c r="W88" s="2036"/>
      <c r="X88" s="2036"/>
      <c r="Y88" s="2036"/>
      <c r="Z88" s="2036"/>
    </row>
    <row r="89" spans="1:26" s="1312" customFormat="1" ht="14.25">
      <c r="A89" s="3624" t="s">
        <v>428</v>
      </c>
      <c r="B89" s="3625"/>
      <c r="C89" s="992"/>
      <c r="D89" s="992" t="s">
        <v>429</v>
      </c>
      <c r="E89" s="390" t="s">
        <v>438</v>
      </c>
      <c r="F89" s="391"/>
      <c r="G89" s="391"/>
      <c r="H89" s="392"/>
      <c r="I89" s="1314"/>
      <c r="J89" s="2037"/>
      <c r="K89" s="3606"/>
      <c r="L89" s="3087" t="s">
        <v>27</v>
      </c>
      <c r="M89" s="3078"/>
      <c r="N89" s="53">
        <f ca="1">ROUND(SUM(N83:N88),0)</f>
        <v>2493</v>
      </c>
      <c r="O89" s="3088">
        <f ca="1">N89/N69</f>
        <v>1.613665344060896E-2</v>
      </c>
      <c r="P89" s="2032"/>
      <c r="Q89" s="2032"/>
      <c r="R89" s="2032"/>
      <c r="S89" s="2032"/>
      <c r="T89" s="2032"/>
      <c r="U89" s="2032"/>
      <c r="V89" s="2032"/>
      <c r="W89" s="2036"/>
      <c r="X89" s="2036"/>
      <c r="Y89" s="2036"/>
      <c r="Z89" s="2036"/>
    </row>
    <row r="90" spans="1:26" s="1312" customFormat="1" ht="14.25">
      <c r="A90" s="380" t="s">
        <v>1825</v>
      </c>
      <c r="B90" s="381" t="s">
        <v>439</v>
      </c>
      <c r="C90" s="384">
        <f ca="1">ROUND(D63/(1+'数据-取费表'!C42),0)</f>
        <v>88282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1831</v>
      </c>
      <c r="B91" s="347" t="s">
        <v>440</v>
      </c>
      <c r="C91" s="384">
        <f ca="1">C92+C96</f>
        <v>3002</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1832</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1833</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1834</v>
      </c>
      <c r="B94" s="399" t="s">
        <v>446</v>
      </c>
      <c r="C94" s="377">
        <f>IF(F93="购房发票",ROUND(C93*H93*5%,0),0)</f>
        <v>500</v>
      </c>
      <c r="D94" s="400">
        <v>0.05</v>
      </c>
      <c r="E94" s="3657" t="s">
        <v>447</v>
      </c>
      <c r="F94" s="3658"/>
      <c r="G94" s="3658"/>
      <c r="H94" s="365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2433</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1836</v>
      </c>
      <c r="B96" s="375" t="s">
        <v>450</v>
      </c>
      <c r="C96" s="404">
        <f ca="1">ROUND(D63*D96/(1+'数据-取费表'!C42),0)</f>
        <v>441</v>
      </c>
      <c r="D96" s="405">
        <f>'数据-取费表'!B43</f>
        <v>5.000000000000001E-3</v>
      </c>
      <c r="E96" s="3647" t="s">
        <v>2432</v>
      </c>
      <c r="F96" s="3648"/>
      <c r="G96" s="3648"/>
      <c r="H96" s="364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1837</v>
      </c>
      <c r="B97" s="381" t="s">
        <v>451</v>
      </c>
      <c r="C97" s="384">
        <f ca="1">C90-C91</f>
        <v>85280</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1838</v>
      </c>
      <c r="B98" s="381" t="s">
        <v>452</v>
      </c>
      <c r="C98" s="406">
        <f ca="1">IF(C97&lt;=0,0,C97/C91)</f>
        <v>28.407728181212526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1839</v>
      </c>
      <c r="B99" s="386" t="s">
        <v>453</v>
      </c>
      <c r="C99" s="407">
        <f ca="1">ROUND(IF(C97&lt;=0,0,IF(C98&gt;=200%,C97*60%-C91*35%,IF(C98&gt;=100%,C97*50%-C91*15%,IF(C98&gt;=50%,C97*40%-C91*5%,IF(C98&lt;50%,C97*30%,0))))),0)</f>
        <v>50117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660" t="s">
        <v>454</v>
      </c>
      <c r="B101" s="3661"/>
      <c r="C101" s="3661"/>
      <c r="D101" s="3661"/>
      <c r="E101" s="3661"/>
      <c r="F101" s="3661"/>
      <c r="G101" s="3661"/>
      <c r="H101" s="3661"/>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624" t="s">
        <v>428</v>
      </c>
      <c r="B102" s="362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1825</v>
      </c>
      <c r="B103" s="381" t="s">
        <v>439</v>
      </c>
      <c r="C103" s="384">
        <f ca="1">ROUND(D63/(1+'数据-取费表'!C42),0)</f>
        <v>88282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1831</v>
      </c>
      <c r="B104" s="347" t="s">
        <v>440</v>
      </c>
      <c r="C104" s="384">
        <f ca="1">IF(H106="仅含出让金",C105+C108+C109+C110+C111+C112,C105+C109+C110+C111+C112)</f>
        <v>1131</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1832</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1833</v>
      </c>
      <c r="B106" s="375" t="s">
        <v>456</v>
      </c>
      <c r="C106" s="415">
        <v>555</v>
      </c>
      <c r="D106" s="405"/>
      <c r="E106" s="416" t="s">
        <v>457</v>
      </c>
      <c r="F106" s="984"/>
      <c r="G106" s="417" t="s">
        <v>458</v>
      </c>
      <c r="H106" s="418" t="s">
        <v>2443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1834</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1836</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1840</v>
      </c>
      <c r="B109" s="375" t="s">
        <v>461</v>
      </c>
      <c r="C109" s="404">
        <f>IF(H109="——",IF(F1="现房",'剩余法-现房'!C18,'剩余法-待开发'!C18),I109)</f>
        <v>55</v>
      </c>
      <c r="D109" s="405"/>
      <c r="E109" s="3650" t="s">
        <v>462</v>
      </c>
      <c r="F109" s="3648"/>
      <c r="G109" s="3648"/>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1841</v>
      </c>
      <c r="B110" s="375" t="s">
        <v>463</v>
      </c>
      <c r="C110" s="404">
        <f>ROUND((C105+C108+C109)*D110,0)</f>
        <v>63</v>
      </c>
      <c r="D110" s="405">
        <v>0.1</v>
      </c>
      <c r="E110" s="3650" t="s">
        <v>464</v>
      </c>
      <c r="F110" s="3648"/>
      <c r="G110" s="3648"/>
      <c r="H110" s="3649"/>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1842</v>
      </c>
      <c r="B111" s="375" t="s">
        <v>450</v>
      </c>
      <c r="C111" s="404">
        <f ca="1">ROUND(D63*D111/(1+'数据-取费表'!C42),0)</f>
        <v>441</v>
      </c>
      <c r="D111" s="405">
        <f>'数据-取费表'!B43</f>
        <v>5.000000000000001E-3</v>
      </c>
      <c r="E111" s="3647" t="s">
        <v>2432</v>
      </c>
      <c r="F111" s="3648"/>
      <c r="G111" s="3648"/>
      <c r="H111" s="3649"/>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1843</v>
      </c>
      <c r="B112" s="375" t="s">
        <v>465</v>
      </c>
      <c r="C112" s="404">
        <f>ROUND(C108*D112,0)</f>
        <v>0</v>
      </c>
      <c r="D112" s="405">
        <v>0.2</v>
      </c>
      <c r="E112" s="3650" t="s">
        <v>2457</v>
      </c>
      <c r="F112" s="3648"/>
      <c r="G112" s="3648"/>
      <c r="H112" s="3649"/>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1837</v>
      </c>
      <c r="B113" s="381" t="s">
        <v>451</v>
      </c>
      <c r="C113" s="384">
        <f ca="1">ROUND(C103-C104,0)</f>
        <v>87151</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1838</v>
      </c>
      <c r="B114" s="381" t="s">
        <v>452</v>
      </c>
      <c r="C114" s="406">
        <f ca="1">IF(C113&lt;=0,0,C113/C104)</f>
        <v>77.056587091069844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1839</v>
      </c>
      <c r="B115" s="386" t="s">
        <v>453</v>
      </c>
      <c r="C115" s="407">
        <f ca="1">ROUND(IF(C113&lt;=0,0,IF(C114&gt;=200%,C113*60%-C104*35%,IF(C114&gt;=100%,C113*50%-C104*15%,IF(C114&gt;=50%,C113*40%-C104*5%,IF(C114&lt;50%,C113*30%,0))))),0)</f>
        <v>51895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153921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1686</v>
      </c>
      <c r="B3" s="509">
        <f>ROUND(B2*10000/'数据-汇总表'!E3,0)</f>
        <v>3118</v>
      </c>
      <c r="C3" s="2060"/>
      <c r="D3" s="2591"/>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521</v>
      </c>
      <c r="B4" s="426">
        <f>IF(B48="单位面积地价",C50,ROUND(B2*10000/'数据-汇总表'!D3,0))</f>
        <v>10003</v>
      </c>
      <c r="C4" s="2060"/>
      <c r="D4" s="2591"/>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667</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05" t="s">
        <v>523</v>
      </c>
      <c r="D6" s="3706"/>
      <c r="E6" s="3705" t="s">
        <v>524</v>
      </c>
      <c r="F6" s="3706"/>
      <c r="G6" s="3705" t="s">
        <v>525</v>
      </c>
      <c r="H6" s="3706"/>
      <c r="I6" s="3705" t="s">
        <v>526</v>
      </c>
      <c r="J6" s="3706"/>
      <c r="K6" s="513" t="s">
        <v>527</v>
      </c>
      <c r="L6" s="2132"/>
      <c r="M6" s="2131"/>
      <c r="N6" s="2131"/>
      <c r="O6" s="2133"/>
      <c r="P6" s="3707" t="s">
        <v>528</v>
      </c>
      <c r="Q6" s="3708"/>
      <c r="R6" s="3693" t="s">
        <v>524</v>
      </c>
      <c r="S6" s="3694"/>
      <c r="T6" s="3693" t="s">
        <v>525</v>
      </c>
      <c r="U6" s="3694"/>
      <c r="V6" s="3713" t="s">
        <v>526</v>
      </c>
      <c r="W6" s="3713"/>
      <c r="X6" s="1566"/>
      <c r="Y6" s="3693" t="s">
        <v>528</v>
      </c>
      <c r="Z6" s="3694"/>
      <c r="AA6" s="3688" t="s">
        <v>524</v>
      </c>
      <c r="AB6" s="3689" t="s">
        <v>525</v>
      </c>
      <c r="AC6" s="3688" t="s">
        <v>526</v>
      </c>
    </row>
    <row r="7" spans="1:30" ht="33.75" customHeight="1">
      <c r="A7" s="514"/>
      <c r="B7" s="515"/>
      <c r="C7" s="3716" t="s">
        <v>2933</v>
      </c>
      <c r="D7" s="3717"/>
      <c r="E7" s="3716" t="str">
        <f>Sheet1!A2</f>
        <v>蓉江新区和南水西片区C-28-04地块(挹翠路西侧)</v>
      </c>
      <c r="F7" s="3717"/>
      <c r="G7" s="3716" t="str">
        <f>Sheet1!A4</f>
        <v>南水新区E-08、E-09地块</v>
      </c>
      <c r="H7" s="3717"/>
      <c r="I7" s="3716" t="str">
        <f>Sheet1!A7</f>
        <v>南水新区A-10地块</v>
      </c>
      <c r="J7" s="3717"/>
      <c r="K7" s="513"/>
      <c r="L7" s="2132"/>
      <c r="M7" s="2131"/>
      <c r="N7" s="2131"/>
      <c r="O7" s="2133"/>
      <c r="P7" s="3709"/>
      <c r="Q7" s="3710"/>
      <c r="R7" s="3695"/>
      <c r="S7" s="3696"/>
      <c r="T7" s="3695"/>
      <c r="U7" s="3696"/>
      <c r="V7" s="3713"/>
      <c r="W7" s="3713"/>
      <c r="X7" s="1566"/>
      <c r="Y7" s="3695"/>
      <c r="Z7" s="3696"/>
      <c r="AA7" s="3689"/>
      <c r="AB7" s="3689"/>
      <c r="AC7" s="3689"/>
    </row>
    <row r="8" spans="1:30" ht="21" thickBot="1">
      <c r="A8" s="514"/>
      <c r="B8" s="515"/>
      <c r="C8" s="3718" t="s">
        <v>2937</v>
      </c>
      <c r="D8" s="3719"/>
      <c r="E8" s="3718" t="s">
        <v>2937</v>
      </c>
      <c r="F8" s="3719"/>
      <c r="G8" s="3714" t="s">
        <v>2937</v>
      </c>
      <c r="H8" s="3715"/>
      <c r="I8" s="3714" t="s">
        <v>2937</v>
      </c>
      <c r="J8" s="3715"/>
      <c r="K8" s="513" t="s">
        <v>529</v>
      </c>
      <c r="L8" s="2132"/>
      <c r="M8" s="2131"/>
      <c r="N8" s="2131"/>
      <c r="O8" s="2133"/>
      <c r="P8" s="3711"/>
      <c r="Q8" s="3712"/>
      <c r="R8" s="3695"/>
      <c r="S8" s="3696"/>
      <c r="T8" s="3697"/>
      <c r="U8" s="3698"/>
      <c r="V8" s="3713"/>
      <c r="W8" s="3713"/>
      <c r="X8" s="1566"/>
      <c r="Y8" s="3697"/>
      <c r="Z8" s="3698"/>
      <c r="AA8" s="3690"/>
      <c r="AB8" s="3690"/>
      <c r="AC8" s="3690"/>
    </row>
    <row r="9" spans="1:30" s="1218" customFormat="1" ht="21" thickBot="1">
      <c r="A9" s="2933"/>
      <c r="B9" s="2940" t="s">
        <v>530</v>
      </c>
      <c r="C9" s="2932">
        <f>'数据-取费表'!B2</f>
        <v>43206</v>
      </c>
      <c r="D9" s="519">
        <v>100</v>
      </c>
      <c r="E9" s="520" t="str">
        <f>Sheet1!F2</f>
        <v>2017-12-20</v>
      </c>
      <c r="F9" s="521">
        <f>SUMIF(72:72,YEAR(E9)&amp;"-"&amp;INT((MONTH(E9)+2)/3),73:73)</f>
        <v>98</v>
      </c>
      <c r="G9" s="522" t="str">
        <f>Sheet1!F4</f>
        <v>2017-06-28</v>
      </c>
      <c r="H9" s="519">
        <f>SUMIF(72:72,YEAR(G9)&amp;"-"&amp;INT((MONTH(G9)+2)/3),73:73)</f>
        <v>96</v>
      </c>
      <c r="I9" s="522" t="str">
        <f>Sheet1!F7</f>
        <v>2017-05-05</v>
      </c>
      <c r="J9" s="519">
        <f>SUMIF(72:72,YEAR(I9)&amp;"-"&amp;INT((MONTH(I9)+2)/3),73:73)</f>
        <v>96</v>
      </c>
      <c r="K9" s="523"/>
      <c r="L9" s="2134"/>
      <c r="M9" s="2131"/>
      <c r="N9" s="2131"/>
      <c r="O9" s="2135"/>
      <c r="P9" s="3691" t="s">
        <v>531</v>
      </c>
      <c r="Q9" s="3700"/>
      <c r="R9" s="1567" t="s">
        <v>8</v>
      </c>
      <c r="S9" s="1568">
        <f t="shared" ref="S9:S17" si="0">F9</f>
        <v>98</v>
      </c>
      <c r="T9" s="1567" t="s">
        <v>8</v>
      </c>
      <c r="U9" s="1568">
        <f t="shared" ref="U9:U17" si="1">H9</f>
        <v>96</v>
      </c>
      <c r="V9" s="1567" t="s">
        <v>8</v>
      </c>
      <c r="W9" s="1568">
        <f t="shared" ref="W9:W17" si="2">J9</f>
        <v>96</v>
      </c>
      <c r="X9" s="1569"/>
      <c r="Y9" s="3691" t="s">
        <v>531</v>
      </c>
      <c r="Z9" s="3692"/>
      <c r="AA9" s="1570">
        <f>D9/F9</f>
        <v>1.0204081632653061</v>
      </c>
      <c r="AB9" s="1570">
        <f>D9/H9</f>
        <v>1.0416666666666667</v>
      </c>
      <c r="AC9" s="1570">
        <f>D9/J9</f>
        <v>1.0416666666666667</v>
      </c>
    </row>
    <row r="10" spans="1:30" s="1218" customFormat="1" ht="21" thickBot="1">
      <c r="A10" s="2934"/>
      <c r="B10" s="2941" t="s">
        <v>532</v>
      </c>
      <c r="C10" s="855" t="s">
        <v>533</v>
      </c>
      <c r="D10" s="519">
        <v>100</v>
      </c>
      <c r="E10" s="524" t="s">
        <v>3454</v>
      </c>
      <c r="F10" s="521">
        <f>SUMIF(75:75,E10,76:76)-SUMIF(75:75,C10,76:76)+100</f>
        <v>105</v>
      </c>
      <c r="G10" s="524" t="s">
        <v>3244</v>
      </c>
      <c r="H10" s="519">
        <f>SUMIF(75:75,G10,76:76)-SUMIF(75:75,C10,76:76)+100</f>
        <v>100</v>
      </c>
      <c r="I10" s="524" t="s">
        <v>3456</v>
      </c>
      <c r="J10" s="519">
        <f>SUMIF(75:75,I10,76:76)-SUMIF(75:75,C10,76:76)+100</f>
        <v>110</v>
      </c>
      <c r="K10" s="523"/>
      <c r="L10" s="2134"/>
      <c r="M10" s="2131"/>
      <c r="N10" s="2131"/>
      <c r="O10" s="2135"/>
      <c r="P10" s="3691" t="s">
        <v>534</v>
      </c>
      <c r="Q10" s="3692"/>
      <c r="R10" s="1567" t="s">
        <v>8</v>
      </c>
      <c r="S10" s="1568">
        <f t="shared" si="0"/>
        <v>105</v>
      </c>
      <c r="T10" s="1567" t="s">
        <v>8</v>
      </c>
      <c r="U10" s="1568">
        <f t="shared" si="1"/>
        <v>100</v>
      </c>
      <c r="V10" s="1567" t="s">
        <v>8</v>
      </c>
      <c r="W10" s="1568">
        <f t="shared" si="2"/>
        <v>110</v>
      </c>
      <c r="X10" s="1569"/>
      <c r="Y10" s="3691" t="s">
        <v>534</v>
      </c>
      <c r="Z10" s="3692"/>
      <c r="AA10" s="1570">
        <f t="shared" ref="AA10:AA47" si="3">D10/F10</f>
        <v>0.95238095238095233</v>
      </c>
      <c r="AB10" s="1570">
        <f t="shared" ref="AB10:AB47" si="4">D10/H10</f>
        <v>1</v>
      </c>
      <c r="AC10" s="1570">
        <f t="shared" ref="AC10:AC47" si="5">D10/J10</f>
        <v>0.90909090909090906</v>
      </c>
    </row>
    <row r="11" spans="1:30" s="1218" customFormat="1" ht="68.25">
      <c r="A11" s="3491"/>
      <c r="B11" s="3492" t="s">
        <v>2762</v>
      </c>
      <c r="C11" s="525" t="s">
        <v>924</v>
      </c>
      <c r="D11" s="253">
        <v>100</v>
      </c>
      <c r="E11" s="525" t="s">
        <v>924</v>
      </c>
      <c r="F11" s="3495">
        <f>SUMIF(77:77,E11,78:78)-SUMIF(77:77,C11,78:78)+100</f>
        <v>100</v>
      </c>
      <c r="G11" s="525" t="s">
        <v>924</v>
      </c>
      <c r="H11" s="3495">
        <f>SUMIF(77:77,G11,78:78)-SUMIF(77:77,C11,78:78)+100</f>
        <v>100</v>
      </c>
      <c r="I11" s="525" t="s">
        <v>924</v>
      </c>
      <c r="J11" s="253">
        <f>SUMIF(77:77,I11,78:78)-SUMIF(77:77,C11,78:78)+100</f>
        <v>100</v>
      </c>
      <c r="K11" s="523"/>
      <c r="L11" s="3493" t="s">
        <v>3444</v>
      </c>
      <c r="M11" s="2131"/>
      <c r="N11" s="2131"/>
      <c r="O11" s="2136"/>
      <c r="P11" s="3699" t="s">
        <v>536</v>
      </c>
      <c r="Q11" s="1149" t="str">
        <f t="shared" ref="Q11:Q17" si="6">B11</f>
        <v>用途</v>
      </c>
      <c r="R11" s="1567" t="s">
        <v>8</v>
      </c>
      <c r="S11" s="1568">
        <f t="shared" si="0"/>
        <v>100</v>
      </c>
      <c r="T11" s="1567" t="s">
        <v>8</v>
      </c>
      <c r="U11" s="1568">
        <f t="shared" si="1"/>
        <v>100</v>
      </c>
      <c r="V11" s="1567" t="s">
        <v>8</v>
      </c>
      <c r="W11" s="1568">
        <f t="shared" si="2"/>
        <v>100</v>
      </c>
      <c r="X11" s="1569"/>
      <c r="Y11" s="3656" t="s">
        <v>537</v>
      </c>
      <c r="Z11" s="1148" t="str">
        <f t="shared" ref="Z11:Z17" si="7">Q11</f>
        <v>用途</v>
      </c>
      <c r="AA11" s="1570">
        <f t="shared" si="3"/>
        <v>1</v>
      </c>
      <c r="AB11" s="1570">
        <f t="shared" si="4"/>
        <v>1</v>
      </c>
      <c r="AC11" s="1570">
        <f t="shared" si="5"/>
        <v>1</v>
      </c>
    </row>
    <row r="12" spans="1:30" s="1336" customFormat="1" ht="27">
      <c r="A12" s="2936"/>
      <c r="B12" s="2941" t="s">
        <v>2763</v>
      </c>
      <c r="C12" s="909" t="s">
        <v>3382</v>
      </c>
      <c r="D12" s="254">
        <v>100</v>
      </c>
      <c r="E12" s="528" t="s">
        <v>3383</v>
      </c>
      <c r="F12" s="254">
        <f>ROUND(100/'数据-取费表'!G16,0)</f>
        <v>100</v>
      </c>
      <c r="G12" s="529" t="s">
        <v>3383</v>
      </c>
      <c r="H12" s="254">
        <f>ROUND(100/'数据-取费表'!G16,0)</f>
        <v>100</v>
      </c>
      <c r="I12" s="529" t="s">
        <v>3384</v>
      </c>
      <c r="J12" s="254">
        <f>ROUND(100/'数据-取费表'!G16,0)</f>
        <v>100</v>
      </c>
      <c r="K12" s="530"/>
      <c r="L12" s="2137"/>
      <c r="M12" s="2131"/>
      <c r="N12" s="2131"/>
      <c r="O12" s="2138"/>
      <c r="P12" s="3699"/>
      <c r="Q12" s="1149" t="str">
        <f t="shared" si="6"/>
        <v>土地使用年限（年）</v>
      </c>
      <c r="R12" s="1567" t="s">
        <v>8</v>
      </c>
      <c r="S12" s="1568">
        <f t="shared" si="0"/>
        <v>100</v>
      </c>
      <c r="T12" s="1567" t="s">
        <v>8</v>
      </c>
      <c r="U12" s="1568">
        <f t="shared" si="1"/>
        <v>100</v>
      </c>
      <c r="V12" s="1567" t="s">
        <v>8</v>
      </c>
      <c r="W12" s="1568">
        <f t="shared" si="2"/>
        <v>100</v>
      </c>
      <c r="X12" s="1569"/>
      <c r="Y12" s="3656"/>
      <c r="Z12" s="1148" t="str">
        <f t="shared" si="7"/>
        <v>土地使用年限（年）</v>
      </c>
      <c r="AA12" s="1570">
        <f t="shared" si="3"/>
        <v>1</v>
      </c>
      <c r="AB12" s="1570">
        <f t="shared" si="4"/>
        <v>1</v>
      </c>
      <c r="AC12" s="1570">
        <f t="shared" si="5"/>
        <v>1</v>
      </c>
    </row>
    <row r="13" spans="1:30" ht="20.25">
      <c r="A13" s="2937"/>
      <c r="B13" s="2941" t="s">
        <v>2764</v>
      </c>
      <c r="C13" s="532">
        <v>2.4</v>
      </c>
      <c r="D13" s="254">
        <v>100</v>
      </c>
      <c r="E13" s="532">
        <v>2</v>
      </c>
      <c r="F13" s="254">
        <f>LOOKUP(E13,82:82,83:83)-LOOKUP(C13,82:82,83:83)+100</f>
        <v>100</v>
      </c>
      <c r="G13" s="533">
        <v>2.4</v>
      </c>
      <c r="H13" s="254">
        <f>LOOKUP(G13,82:82,83:83)-LOOKUP(C13,82:82,83:83)+100</f>
        <v>100</v>
      </c>
      <c r="I13" s="532">
        <v>2.5</v>
      </c>
      <c r="J13" s="254">
        <f>LOOKUP(I13,82:82,83:83)-LOOKUP(C13,82:82,83:83)+100</f>
        <v>100</v>
      </c>
      <c r="K13" s="534">
        <v>2</v>
      </c>
      <c r="L13" s="2137"/>
      <c r="M13" s="2131"/>
      <c r="N13" s="2131"/>
      <c r="O13" s="2140"/>
      <c r="P13" s="3699"/>
      <c r="Q13" s="1149" t="str">
        <f t="shared" si="6"/>
        <v>容积率</v>
      </c>
      <c r="R13" s="1567" t="s">
        <v>8</v>
      </c>
      <c r="S13" s="1568">
        <f t="shared" si="0"/>
        <v>100</v>
      </c>
      <c r="T13" s="1567" t="s">
        <v>8</v>
      </c>
      <c r="U13" s="1568">
        <f t="shared" si="1"/>
        <v>100</v>
      </c>
      <c r="V13" s="1567" t="s">
        <v>8</v>
      </c>
      <c r="W13" s="1568">
        <f t="shared" si="2"/>
        <v>100</v>
      </c>
      <c r="X13" s="1569"/>
      <c r="Y13" s="3656"/>
      <c r="Z13" s="1148" t="str">
        <f t="shared" si="7"/>
        <v>容积率</v>
      </c>
      <c r="AA13" s="1570">
        <f t="shared" si="3"/>
        <v>1</v>
      </c>
      <c r="AB13" s="1570">
        <f t="shared" si="4"/>
        <v>1</v>
      </c>
      <c r="AC13" s="1570">
        <f t="shared" si="5"/>
        <v>1</v>
      </c>
    </row>
    <row r="14" spans="1:30" s="1218" customFormat="1" ht="20.25">
      <c r="A14" s="2934"/>
      <c r="B14" s="2943" t="s">
        <v>2765</v>
      </c>
      <c r="C14" s="2930"/>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699"/>
      <c r="Q14" s="1149" t="str">
        <f t="shared" si="6"/>
        <v>配建</v>
      </c>
      <c r="R14" s="1567" t="s">
        <v>8</v>
      </c>
      <c r="S14" s="1568">
        <f t="shared" si="0"/>
        <v>100</v>
      </c>
      <c r="T14" s="1567" t="s">
        <v>8</v>
      </c>
      <c r="U14" s="1568">
        <f t="shared" si="1"/>
        <v>100</v>
      </c>
      <c r="V14" s="1567" t="s">
        <v>8</v>
      </c>
      <c r="W14" s="1568">
        <f t="shared" si="2"/>
        <v>100</v>
      </c>
      <c r="X14" s="1569"/>
      <c r="Y14" s="3656"/>
      <c r="Z14" s="1148" t="str">
        <f t="shared" si="7"/>
        <v>配建</v>
      </c>
      <c r="AA14" s="1570">
        <f>D14/F14</f>
        <v>1</v>
      </c>
      <c r="AB14" s="1570">
        <f>D14/H14</f>
        <v>1</v>
      </c>
      <c r="AC14" s="1570">
        <f>D14/J14</f>
        <v>1</v>
      </c>
    </row>
    <row r="15" spans="1:30" ht="20.25">
      <c r="A15" s="2938"/>
      <c r="B15" s="2944">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699"/>
      <c r="Q15" s="1149">
        <f t="shared" si="6"/>
        <v>111</v>
      </c>
      <c r="R15" s="1567" t="s">
        <v>8</v>
      </c>
      <c r="S15" s="1568">
        <f t="shared" si="0"/>
        <v>100</v>
      </c>
      <c r="T15" s="1567" t="s">
        <v>8</v>
      </c>
      <c r="U15" s="1568">
        <f t="shared" si="1"/>
        <v>100</v>
      </c>
      <c r="V15" s="1567" t="s">
        <v>8</v>
      </c>
      <c r="W15" s="1568">
        <f t="shared" si="2"/>
        <v>100</v>
      </c>
      <c r="X15" s="1569"/>
      <c r="Y15" s="3656"/>
      <c r="Z15" s="1148">
        <f t="shared" si="7"/>
        <v>111</v>
      </c>
      <c r="AA15" s="1570">
        <f>D15/F15</f>
        <v>1</v>
      </c>
      <c r="AB15" s="1570">
        <f>D15/H15</f>
        <v>1</v>
      </c>
      <c r="AC15" s="1570">
        <f>D15/J15</f>
        <v>1</v>
      </c>
    </row>
    <row r="16" spans="1:30" ht="21"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699"/>
      <c r="Q16" s="1149">
        <f t="shared" si="6"/>
        <v>111</v>
      </c>
      <c r="R16" s="1567" t="s">
        <v>8</v>
      </c>
      <c r="S16" s="1568">
        <f t="shared" si="0"/>
        <v>100</v>
      </c>
      <c r="T16" s="1567" t="s">
        <v>8</v>
      </c>
      <c r="U16" s="1568">
        <f t="shared" si="1"/>
        <v>100</v>
      </c>
      <c r="V16" s="1567" t="s">
        <v>8</v>
      </c>
      <c r="W16" s="1568">
        <f t="shared" si="2"/>
        <v>100</v>
      </c>
      <c r="X16" s="1569"/>
      <c r="Y16" s="3656"/>
      <c r="Z16" s="1148">
        <f t="shared" si="7"/>
        <v>111</v>
      </c>
      <c r="AA16" s="1570">
        <f>D16/F16</f>
        <v>1</v>
      </c>
      <c r="AB16" s="1570">
        <f>D16/H16</f>
        <v>1</v>
      </c>
      <c r="AC16" s="1570">
        <f>D16/J16</f>
        <v>1</v>
      </c>
    </row>
    <row r="17" spans="1:29" ht="99.75">
      <c r="A17" s="2931" t="s">
        <v>2760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41"/>
      <c r="M17" s="2131"/>
      <c r="N17" s="2131"/>
      <c r="O17" s="2140"/>
      <c r="P17" s="3701" t="s">
        <v>541</v>
      </c>
      <c r="Q17" s="1571" t="str">
        <f t="shared" si="6"/>
        <v>居住社区成熟度</v>
      </c>
      <c r="R17" s="1572" t="s">
        <v>8</v>
      </c>
      <c r="S17" s="1573">
        <f t="shared" si="0"/>
        <v>100</v>
      </c>
      <c r="T17" s="1572" t="s">
        <v>8</v>
      </c>
      <c r="U17" s="1573">
        <f t="shared" si="1"/>
        <v>100</v>
      </c>
      <c r="V17" s="1572" t="s">
        <v>8</v>
      </c>
      <c r="W17" s="1573">
        <f t="shared" si="2"/>
        <v>100</v>
      </c>
      <c r="X17" s="1566"/>
      <c r="Y17" s="3701" t="s">
        <v>541</v>
      </c>
      <c r="Z17" s="1574" t="str">
        <f t="shared" si="7"/>
        <v>居住社区成熟度</v>
      </c>
      <c r="AA17" s="1575">
        <f t="shared" si="3"/>
        <v>1</v>
      </c>
      <c r="AB17" s="1575">
        <f t="shared" si="4"/>
        <v>1</v>
      </c>
      <c r="AC17" s="1575">
        <f t="shared" si="5"/>
        <v>1</v>
      </c>
    </row>
    <row r="18" spans="1:29" ht="20.25">
      <c r="A18" s="531"/>
      <c r="B18" s="552"/>
      <c r="C18" s="553" t="s">
        <v>3270</v>
      </c>
      <c r="D18" s="556"/>
      <c r="E18" s="557" t="s">
        <v>3270</v>
      </c>
      <c r="F18" s="554"/>
      <c r="G18" s="555" t="s">
        <v>3270</v>
      </c>
      <c r="H18" s="558"/>
      <c r="I18" s="557" t="s">
        <v>3270</v>
      </c>
      <c r="J18" s="554"/>
      <c r="K18" s="530"/>
      <c r="L18" s="2141"/>
      <c r="M18" s="2131"/>
      <c r="N18" s="2131"/>
      <c r="O18" s="2140"/>
      <c r="P18" s="3702"/>
      <c r="Q18" s="1571"/>
      <c r="R18" s="1572"/>
      <c r="S18" s="1573"/>
      <c r="T18" s="1572"/>
      <c r="U18" s="1573"/>
      <c r="V18" s="1572"/>
      <c r="W18" s="1573"/>
      <c r="X18" s="1566"/>
      <c r="Y18" s="3702"/>
      <c r="Z18" s="1574"/>
      <c r="AA18" s="1575">
        <v>1</v>
      </c>
      <c r="AB18" s="1575">
        <v>1</v>
      </c>
      <c r="AC18" s="1575">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100</v>
      </c>
      <c r="I19" s="563"/>
      <c r="J19" s="564">
        <f>SUMIF(92:92,I20,93:93)-SUMIF(92:92,C20,93:93)+100</f>
        <v>100</v>
      </c>
      <c r="K19" s="534">
        <v>2</v>
      </c>
      <c r="L19" s="2141"/>
      <c r="M19" s="2131"/>
      <c r="N19" s="2131"/>
      <c r="O19" s="2140"/>
      <c r="P19" s="3702"/>
      <c r="Q19" s="1571" t="str">
        <f>B19</f>
        <v>商业繁华度</v>
      </c>
      <c r="R19" s="1572" t="s">
        <v>8</v>
      </c>
      <c r="S19" s="1573">
        <f>F19</f>
        <v>102</v>
      </c>
      <c r="T19" s="1572" t="s">
        <v>8</v>
      </c>
      <c r="U19" s="1573">
        <f>H19</f>
        <v>100</v>
      </c>
      <c r="V19" s="1572" t="s">
        <v>8</v>
      </c>
      <c r="W19" s="1573">
        <f>J19</f>
        <v>100</v>
      </c>
      <c r="X19" s="1566"/>
      <c r="Y19" s="3702"/>
      <c r="Z19" s="1574" t="str">
        <f>Q19</f>
        <v>商业繁华度</v>
      </c>
      <c r="AA19" s="1575">
        <f t="shared" si="3"/>
        <v>0.98039215686274506</v>
      </c>
      <c r="AB19" s="1575">
        <f t="shared" si="4"/>
        <v>1</v>
      </c>
      <c r="AC19" s="1575">
        <f t="shared" si="5"/>
        <v>1</v>
      </c>
    </row>
    <row r="20" spans="1:29" ht="20.25">
      <c r="A20" s="531"/>
      <c r="B20" s="565"/>
      <c r="C20" s="566" t="s">
        <v>3270</v>
      </c>
      <c r="D20" s="562"/>
      <c r="E20" s="568" t="s">
        <v>3271</v>
      </c>
      <c r="F20" s="558"/>
      <c r="G20" s="567" t="s">
        <v>3270</v>
      </c>
      <c r="H20" s="554"/>
      <c r="I20" s="568" t="s">
        <v>3270</v>
      </c>
      <c r="J20" s="554"/>
      <c r="K20" s="530"/>
      <c r="L20" s="2141"/>
      <c r="M20" s="2131"/>
      <c r="N20" s="2131"/>
      <c r="O20" s="2140"/>
      <c r="P20" s="3702"/>
      <c r="Q20" s="1571"/>
      <c r="R20" s="1572"/>
      <c r="S20" s="1573"/>
      <c r="T20" s="1572"/>
      <c r="U20" s="1573"/>
      <c r="V20" s="1572"/>
      <c r="W20" s="1573"/>
      <c r="X20" s="1566"/>
      <c r="Y20" s="3702"/>
      <c r="Z20" s="1574"/>
      <c r="AA20" s="1575">
        <v>1</v>
      </c>
      <c r="AB20" s="1575">
        <v>1</v>
      </c>
      <c r="AC20" s="1575">
        <v>1</v>
      </c>
    </row>
    <row r="21" spans="1:29" ht="71.25">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0</v>
      </c>
      <c r="L21" s="2141"/>
      <c r="M21" s="2131"/>
      <c r="N21" s="2131"/>
      <c r="O21" s="2140"/>
      <c r="P21" s="3702"/>
      <c r="Q21" s="1571" t="str">
        <f>B21</f>
        <v>办公集聚程度</v>
      </c>
      <c r="R21" s="1572" t="s">
        <v>8</v>
      </c>
      <c r="S21" s="1573">
        <f>F21</f>
        <v>100</v>
      </c>
      <c r="T21" s="1572" t="s">
        <v>8</v>
      </c>
      <c r="U21" s="1573">
        <f>H21</f>
        <v>100</v>
      </c>
      <c r="V21" s="1572" t="s">
        <v>8</v>
      </c>
      <c r="W21" s="1573">
        <f>J21</f>
        <v>100</v>
      </c>
      <c r="X21" s="1566"/>
      <c r="Y21" s="3702"/>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1"/>
      <c r="M22" s="2131"/>
      <c r="N22" s="2131"/>
      <c r="O22" s="2140"/>
      <c r="P22" s="3702"/>
      <c r="Q22" s="1571"/>
      <c r="R22" s="1572"/>
      <c r="S22" s="1573"/>
      <c r="T22" s="1572"/>
      <c r="U22" s="1573"/>
      <c r="V22" s="1572"/>
      <c r="W22" s="1573"/>
      <c r="X22" s="1566"/>
      <c r="Y22" s="3702"/>
      <c r="Z22" s="1574"/>
      <c r="AA22" s="1575">
        <v>1</v>
      </c>
      <c r="AB22" s="1575">
        <v>1</v>
      </c>
      <c r="AC22" s="1575">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1"/>
      <c r="M23" s="2131"/>
      <c r="N23" s="2131"/>
      <c r="O23" s="2140"/>
      <c r="P23" s="3702"/>
      <c r="Q23" s="1571" t="str">
        <f>B23</f>
        <v>交通便捷度</v>
      </c>
      <c r="R23" s="1572" t="s">
        <v>8</v>
      </c>
      <c r="S23" s="1573">
        <f>F23</f>
        <v>100</v>
      </c>
      <c r="T23" s="1572" t="s">
        <v>8</v>
      </c>
      <c r="U23" s="1573">
        <f>H23</f>
        <v>100</v>
      </c>
      <c r="V23" s="1572" t="s">
        <v>8</v>
      </c>
      <c r="W23" s="1573">
        <f>J23</f>
        <v>100</v>
      </c>
      <c r="X23" s="1566"/>
      <c r="Y23" s="3702"/>
      <c r="Z23" s="1574" t="str">
        <f>Q23</f>
        <v>交通便捷度</v>
      </c>
      <c r="AA23" s="1575">
        <f t="shared" si="3"/>
        <v>1</v>
      </c>
      <c r="AB23" s="1575">
        <f t="shared" si="4"/>
        <v>1</v>
      </c>
      <c r="AC23" s="1575">
        <f t="shared" si="5"/>
        <v>1</v>
      </c>
    </row>
    <row r="24" spans="1:29" ht="20.25">
      <c r="A24" s="531"/>
      <c r="B24" s="577"/>
      <c r="C24" s="553" t="s">
        <v>3270</v>
      </c>
      <c r="D24" s="556"/>
      <c r="E24" s="557" t="s">
        <v>3270</v>
      </c>
      <c r="F24" s="554"/>
      <c r="G24" s="555" t="s">
        <v>3270</v>
      </c>
      <c r="H24" s="554"/>
      <c r="I24" s="557" t="s">
        <v>3270</v>
      </c>
      <c r="J24" s="554"/>
      <c r="K24" s="530"/>
      <c r="L24" s="2141"/>
      <c r="M24" s="2131"/>
      <c r="N24" s="2131"/>
      <c r="O24" s="2140"/>
      <c r="P24" s="3702"/>
      <c r="Q24" s="1571"/>
      <c r="R24" s="1572"/>
      <c r="S24" s="1573"/>
      <c r="T24" s="1572"/>
      <c r="U24" s="1573"/>
      <c r="V24" s="1572"/>
      <c r="W24" s="1573"/>
      <c r="X24" s="1566"/>
      <c r="Y24" s="3702"/>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1"/>
      <c r="M25" s="2131"/>
      <c r="N25" s="2131"/>
      <c r="O25" s="2140"/>
      <c r="P25" s="3702"/>
      <c r="Q25" s="1571" t="str">
        <f t="shared" ref="Q25:Q39" si="8">B25</f>
        <v>区域土地利用方向</v>
      </c>
      <c r="R25" s="1572" t="s">
        <v>8</v>
      </c>
      <c r="S25" s="1573">
        <f>F25</f>
        <v>100</v>
      </c>
      <c r="T25" s="1572" t="s">
        <v>8</v>
      </c>
      <c r="U25" s="1573">
        <f>H25</f>
        <v>100</v>
      </c>
      <c r="V25" s="1572" t="s">
        <v>8</v>
      </c>
      <c r="W25" s="1573">
        <f>J25</f>
        <v>100</v>
      </c>
      <c r="X25" s="1566"/>
      <c r="Y25" s="3702"/>
      <c r="Z25" s="1574" t="str">
        <f>Q25</f>
        <v>区域土地利用方向</v>
      </c>
      <c r="AA25" s="1575">
        <f t="shared" si="3"/>
        <v>1</v>
      </c>
      <c r="AB25" s="1575">
        <f t="shared" si="4"/>
        <v>1</v>
      </c>
      <c r="AC25" s="1575">
        <f t="shared" si="5"/>
        <v>1</v>
      </c>
    </row>
    <row r="26" spans="1:29" ht="20.25">
      <c r="A26" s="514"/>
      <c r="B26" s="1005"/>
      <c r="C26" s="553" t="s">
        <v>3271</v>
      </c>
      <c r="D26" s="556"/>
      <c r="E26" s="557" t="s">
        <v>3271</v>
      </c>
      <c r="F26" s="554"/>
      <c r="G26" s="555" t="s">
        <v>3271</v>
      </c>
      <c r="H26" s="554"/>
      <c r="I26" s="557" t="s">
        <v>3271</v>
      </c>
      <c r="J26" s="554"/>
      <c r="K26" s="530"/>
      <c r="L26" s="2141"/>
      <c r="M26" s="2131"/>
      <c r="N26" s="2131"/>
      <c r="O26" s="2140"/>
      <c r="P26" s="3702"/>
      <c r="Q26" s="1571"/>
      <c r="R26" s="1572"/>
      <c r="S26" s="1573"/>
      <c r="T26" s="1572"/>
      <c r="U26" s="1573"/>
      <c r="V26" s="1572"/>
      <c r="W26" s="1573"/>
      <c r="X26" s="1566"/>
      <c r="Y26" s="3702"/>
      <c r="Z26" s="1574"/>
      <c r="AA26" s="1575"/>
      <c r="AB26" s="1575"/>
      <c r="AC26" s="1575"/>
    </row>
    <row r="27" spans="1:29" ht="57">
      <c r="A27" s="514"/>
      <c r="B27" s="577" t="s">
        <v>546</v>
      </c>
      <c r="C27" s="560" t="str">
        <f>估价对象房地状况!C20</f>
        <v>区域自然环境：；人文环境；综合评价环境状况一般</v>
      </c>
      <c r="D27" s="562">
        <v>100</v>
      </c>
      <c r="E27" s="563"/>
      <c r="F27" s="558">
        <f>SUMIF(100:100,E28,101:101)-SUMIF(100:100,C28,101:101)+100</f>
        <v>101</v>
      </c>
      <c r="G27" s="561"/>
      <c r="H27" s="558">
        <f>SUMIF(100:100,G28,101:101)-SUMIF(100:100,C28,101:101)+100</f>
        <v>100</v>
      </c>
      <c r="I27" s="563"/>
      <c r="J27" s="558">
        <f>SUMIF(100:100,I28,101:101)-SUMIF(100:100,C28,101:101)+100</f>
        <v>100</v>
      </c>
      <c r="K27" s="534">
        <v>1</v>
      </c>
      <c r="L27" s="2141"/>
      <c r="M27" s="2131"/>
      <c r="N27" s="2131"/>
      <c r="O27" s="2140"/>
      <c r="P27" s="3702"/>
      <c r="Q27" s="1571" t="str">
        <f t="shared" si="8"/>
        <v>自然及人文环境状况</v>
      </c>
      <c r="R27" s="1572" t="s">
        <v>8</v>
      </c>
      <c r="S27" s="1573">
        <f>F27</f>
        <v>101</v>
      </c>
      <c r="T27" s="1572" t="s">
        <v>8</v>
      </c>
      <c r="U27" s="1573">
        <f>H27</f>
        <v>100</v>
      </c>
      <c r="V27" s="1572" t="s">
        <v>8</v>
      </c>
      <c r="W27" s="1573">
        <f>J27</f>
        <v>100</v>
      </c>
      <c r="X27" s="1566"/>
      <c r="Y27" s="3702"/>
      <c r="Z27" s="1574" t="str">
        <f>Q27</f>
        <v>自然及人文环境状况</v>
      </c>
      <c r="AA27" s="1575">
        <f t="shared" si="3"/>
        <v>0.99009900990099009</v>
      </c>
      <c r="AB27" s="1575">
        <f t="shared" si="4"/>
        <v>1</v>
      </c>
      <c r="AC27" s="1575">
        <f t="shared" si="5"/>
        <v>1</v>
      </c>
    </row>
    <row r="28" spans="1:29" ht="20.25">
      <c r="A28" s="514"/>
      <c r="B28" s="565"/>
      <c r="C28" s="553" t="s">
        <v>3441</v>
      </c>
      <c r="D28" s="556"/>
      <c r="E28" s="575" t="s">
        <v>3270</v>
      </c>
      <c r="F28" s="554"/>
      <c r="G28" s="553" t="s">
        <v>3441</v>
      </c>
      <c r="H28" s="554"/>
      <c r="I28" s="575" t="s">
        <v>3441</v>
      </c>
      <c r="J28" s="554"/>
      <c r="K28" s="530"/>
      <c r="L28" s="2141"/>
      <c r="M28" s="2131"/>
      <c r="N28" s="2131"/>
      <c r="O28" s="2140"/>
      <c r="P28" s="3702"/>
      <c r="Q28" s="1571"/>
      <c r="R28" s="1572"/>
      <c r="S28" s="1573"/>
      <c r="T28" s="1572"/>
      <c r="U28" s="1573"/>
      <c r="V28" s="1572"/>
      <c r="W28" s="1573"/>
      <c r="X28" s="1566"/>
      <c r="Y28" s="3702"/>
      <c r="Z28" s="1574"/>
      <c r="AA28" s="1575">
        <v>1</v>
      </c>
      <c r="AB28" s="1575">
        <v>1</v>
      </c>
      <c r="AC28" s="1575">
        <v>1</v>
      </c>
    </row>
    <row r="29" spans="1:29" s="1218" customFormat="1" ht="42.75">
      <c r="A29" s="576"/>
      <c r="B29" s="2612" t="s">
        <v>2554</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702"/>
      <c r="Q29" s="1149" t="str">
        <f t="shared" si="8"/>
        <v>公共配套设施</v>
      </c>
      <c r="R29" s="1567" t="s">
        <v>8</v>
      </c>
      <c r="S29" s="1568">
        <f>F29</f>
        <v>100</v>
      </c>
      <c r="T29" s="1567" t="s">
        <v>8</v>
      </c>
      <c r="U29" s="1568">
        <f>H29</f>
        <v>100</v>
      </c>
      <c r="V29" s="1567" t="s">
        <v>8</v>
      </c>
      <c r="W29" s="1568">
        <f>J29</f>
        <v>100</v>
      </c>
      <c r="X29" s="1569"/>
      <c r="Y29" s="3702"/>
      <c r="Z29" s="1148" t="str">
        <f>Q29</f>
        <v>公共配套设施</v>
      </c>
      <c r="AA29" s="1575">
        <f>D29/F29</f>
        <v>1</v>
      </c>
      <c r="AB29" s="1575">
        <f>D29/H29</f>
        <v>1</v>
      </c>
      <c r="AC29" s="1575">
        <f>D29/J29</f>
        <v>1</v>
      </c>
    </row>
    <row r="30" spans="1:29" s="1218" customFormat="1" ht="20.25">
      <c r="A30" s="576"/>
      <c r="B30" s="565"/>
      <c r="C30" s="578" t="s">
        <v>3271</v>
      </c>
      <c r="D30" s="556"/>
      <c r="E30" s="575" t="s">
        <v>3271</v>
      </c>
      <c r="F30" s="554"/>
      <c r="G30" s="553" t="s">
        <v>3271</v>
      </c>
      <c r="H30" s="554"/>
      <c r="I30" s="575" t="s">
        <v>3271</v>
      </c>
      <c r="J30" s="554"/>
      <c r="K30" s="530"/>
      <c r="L30" s="2134"/>
      <c r="M30" s="2131"/>
      <c r="N30" s="2131"/>
      <c r="O30" s="2136"/>
      <c r="P30" s="3702"/>
      <c r="Q30" s="1149"/>
      <c r="R30" s="1567"/>
      <c r="S30" s="1568"/>
      <c r="T30" s="1567"/>
      <c r="U30" s="1568"/>
      <c r="V30" s="1567"/>
      <c r="W30" s="1568"/>
      <c r="X30" s="1569"/>
      <c r="Y30" s="3702"/>
      <c r="Z30" s="1148"/>
      <c r="AA30" s="1575">
        <v>1</v>
      </c>
      <c r="AB30" s="1575">
        <v>1</v>
      </c>
      <c r="AC30" s="1575">
        <v>1</v>
      </c>
    </row>
    <row r="31" spans="1:29" s="1218" customFormat="1" ht="28.5">
      <c r="A31" s="576"/>
      <c r="B31" s="2612" t="s">
        <v>2555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4"/>
      <c r="M31" s="2131"/>
      <c r="N31" s="2131"/>
      <c r="O31" s="2136"/>
      <c r="P31" s="3702"/>
      <c r="Q31" s="2599" t="str">
        <f t="shared" ref="Q31" si="9">B31</f>
        <v>基础设施水平</v>
      </c>
      <c r="R31" s="1567" t="s">
        <v>8</v>
      </c>
      <c r="S31" s="1568">
        <f>F31</f>
        <v>100</v>
      </c>
      <c r="T31" s="1567" t="s">
        <v>8</v>
      </c>
      <c r="U31" s="1568">
        <f>H31</f>
        <v>100</v>
      </c>
      <c r="V31" s="1567" t="s">
        <v>8</v>
      </c>
      <c r="W31" s="1568">
        <f>J31</f>
        <v>100</v>
      </c>
      <c r="X31" s="1569"/>
      <c r="Y31" s="3702"/>
      <c r="Z31" s="2596" t="str">
        <f>Q31</f>
        <v>基础设施水平</v>
      </c>
      <c r="AA31" s="1575">
        <f>D31/F31</f>
        <v>1</v>
      </c>
      <c r="AB31" s="1575">
        <f>D31/H31</f>
        <v>1</v>
      </c>
      <c r="AC31" s="1575">
        <f>D31/J31</f>
        <v>1</v>
      </c>
    </row>
    <row r="32" spans="1:29" s="1218" customFormat="1" ht="20.25">
      <c r="A32" s="576"/>
      <c r="B32" s="565"/>
      <c r="C32" s="578" t="s">
        <v>3264</v>
      </c>
      <c r="D32" s="556"/>
      <c r="E32" s="2613" t="s">
        <v>3264</v>
      </c>
      <c r="F32" s="554"/>
      <c r="G32" s="578" t="s">
        <v>3264</v>
      </c>
      <c r="H32" s="554"/>
      <c r="I32" s="578" t="s">
        <v>3264</v>
      </c>
      <c r="J32" s="554"/>
      <c r="K32" s="530"/>
      <c r="L32" s="2134"/>
      <c r="M32" s="2131"/>
      <c r="N32" s="2131"/>
      <c r="O32" s="2136"/>
      <c r="P32" s="3702"/>
      <c r="Q32" s="2599"/>
      <c r="R32" s="1567"/>
      <c r="S32" s="1568"/>
      <c r="T32" s="1567"/>
      <c r="U32" s="1568"/>
      <c r="V32" s="1567"/>
      <c r="W32" s="1568"/>
      <c r="X32" s="1569"/>
      <c r="Y32" s="3702"/>
      <c r="Z32" s="2596"/>
      <c r="AA32" s="1575">
        <v>1</v>
      </c>
      <c r="AB32" s="1575">
        <v>1</v>
      </c>
      <c r="AC32" s="1575">
        <v>1</v>
      </c>
    </row>
    <row r="33" spans="1:29" ht="20.25">
      <c r="A33" s="531"/>
      <c r="B33" s="565" t="s">
        <v>548</v>
      </c>
      <c r="C33" s="579" t="s">
        <v>3385</v>
      </c>
      <c r="D33" s="574">
        <v>100</v>
      </c>
      <c r="E33" s="3494" t="s">
        <v>3385</v>
      </c>
      <c r="F33" s="539">
        <f>SUMIF(106:106,E33,107:107)-SUMIF(106:106,C33,107:107)+100</f>
        <v>100</v>
      </c>
      <c r="G33" s="3494" t="s">
        <v>3385</v>
      </c>
      <c r="H33" s="539">
        <f>SUMIF(106:106,G33,107:107)-SUMIF(106:106,C33,107:107)+100</f>
        <v>100</v>
      </c>
      <c r="I33" s="3494" t="s">
        <v>3385</v>
      </c>
      <c r="J33" s="539">
        <f>SUMIF(106:106,I33,107:107)-SUMIF(106:106,C33,107:107)+100</f>
        <v>100</v>
      </c>
      <c r="K33" s="534">
        <v>2</v>
      </c>
      <c r="L33" s="2141"/>
      <c r="M33" s="2131"/>
      <c r="N33" s="2131"/>
      <c r="O33" s="2140"/>
      <c r="P33" s="370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02"/>
      <c r="Z33" s="1574" t="str">
        <f t="shared" ref="Z33:Z47" si="13">Q33</f>
        <v>临街状况</v>
      </c>
      <c r="AA33" s="1575">
        <f t="shared" si="3"/>
        <v>1</v>
      </c>
      <c r="AB33" s="1575">
        <f t="shared" si="4"/>
        <v>1</v>
      </c>
      <c r="AC33" s="1575">
        <f t="shared" si="5"/>
        <v>1</v>
      </c>
    </row>
    <row r="34" spans="1:29" ht="27">
      <c r="A34" s="531"/>
      <c r="B34" s="577" t="s">
        <v>549</v>
      </c>
      <c r="C34" s="561"/>
      <c r="D34" s="562">
        <v>100</v>
      </c>
      <c r="E34" s="561"/>
      <c r="F34" s="558">
        <f>SUMIF(108:108,E35,109:109)-SUMIF(108:108,C35,109:109)+100</f>
        <v>97</v>
      </c>
      <c r="G34" s="561"/>
      <c r="H34" s="558">
        <f>SUMIF(108:108,G35,109:109)-SUMIF(108:108,C35,109:109)+100</f>
        <v>98</v>
      </c>
      <c r="I34" s="563"/>
      <c r="J34" s="558">
        <f>SUMIF(108:108,I35,109:109)-SUMIF(108:108,C35,109:109)+100</f>
        <v>99</v>
      </c>
      <c r="K34" s="534">
        <v>1</v>
      </c>
      <c r="L34" s="2141"/>
      <c r="M34" s="2131"/>
      <c r="N34" s="2131"/>
      <c r="O34" s="2140"/>
      <c r="P34" s="3702"/>
      <c r="Q34" s="1571" t="str">
        <f t="shared" si="8"/>
        <v>毗邻道路的类型与等级</v>
      </c>
      <c r="R34" s="1572" t="s">
        <v>8</v>
      </c>
      <c r="S34" s="1573">
        <f t="shared" si="10"/>
        <v>97</v>
      </c>
      <c r="T34" s="1572" t="s">
        <v>8</v>
      </c>
      <c r="U34" s="1573">
        <f t="shared" si="11"/>
        <v>98</v>
      </c>
      <c r="V34" s="1572" t="s">
        <v>8</v>
      </c>
      <c r="W34" s="1573">
        <f t="shared" si="12"/>
        <v>99</v>
      </c>
      <c r="X34" s="1566"/>
      <c r="Y34" s="3702"/>
      <c r="Z34" s="1574" t="str">
        <f t="shared" si="13"/>
        <v>毗邻道路的类型与等级</v>
      </c>
      <c r="AA34" s="1575">
        <f t="shared" si="3"/>
        <v>1.0309278350515463</v>
      </c>
      <c r="AB34" s="1575">
        <f t="shared" si="4"/>
        <v>1.0204081632653061</v>
      </c>
      <c r="AC34" s="1575">
        <f t="shared" si="5"/>
        <v>1.0101010101010102</v>
      </c>
    </row>
    <row r="35" spans="1:29" ht="20.25">
      <c r="A35" s="531"/>
      <c r="B35" s="565"/>
      <c r="C35" s="553" t="s">
        <v>3355</v>
      </c>
      <c r="D35" s="556"/>
      <c r="E35" s="575" t="s">
        <v>3359</v>
      </c>
      <c r="F35" s="554"/>
      <c r="G35" s="553" t="s">
        <v>3462</v>
      </c>
      <c r="H35" s="554"/>
      <c r="I35" s="575" t="s">
        <v>3459</v>
      </c>
      <c r="J35" s="554"/>
      <c r="K35" s="580"/>
      <c r="L35" s="2141"/>
      <c r="M35" s="2131"/>
      <c r="N35" s="2131"/>
      <c r="O35" s="2140"/>
      <c r="P35" s="3702"/>
      <c r="Q35" s="1571"/>
      <c r="R35" s="1572"/>
      <c r="S35" s="1573"/>
      <c r="T35" s="1572"/>
      <c r="U35" s="1573"/>
      <c r="V35" s="1572"/>
      <c r="W35" s="1573"/>
      <c r="X35" s="1566"/>
      <c r="Y35" s="3702"/>
      <c r="Z35" s="1574"/>
      <c r="AA35" s="1575">
        <v>1</v>
      </c>
      <c r="AB35" s="1575">
        <v>1</v>
      </c>
      <c r="AC35" s="1575">
        <v>1</v>
      </c>
    </row>
    <row r="36" spans="1:29" ht="20.25">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02"/>
      <c r="Q36" s="1571" t="str">
        <f t="shared" si="8"/>
        <v>土地级别</v>
      </c>
      <c r="R36" s="1572" t="s">
        <v>8</v>
      </c>
      <c r="S36" s="1573">
        <f t="shared" si="10"/>
        <v>100</v>
      </c>
      <c r="T36" s="1572" t="s">
        <v>8</v>
      </c>
      <c r="U36" s="1573">
        <f t="shared" si="11"/>
        <v>100</v>
      </c>
      <c r="V36" s="1572" t="s">
        <v>8</v>
      </c>
      <c r="W36" s="1573">
        <f t="shared" si="12"/>
        <v>100</v>
      </c>
      <c r="X36" s="1566"/>
      <c r="Y36" s="3702"/>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02"/>
      <c r="Q37" s="1571">
        <f t="shared" si="8"/>
        <v>111</v>
      </c>
      <c r="R37" s="1572" t="s">
        <v>8</v>
      </c>
      <c r="S37" s="1573">
        <f t="shared" si="10"/>
        <v>100</v>
      </c>
      <c r="T37" s="1572" t="s">
        <v>8</v>
      </c>
      <c r="U37" s="1573">
        <f t="shared" si="11"/>
        <v>100</v>
      </c>
      <c r="V37" s="1572" t="s">
        <v>8</v>
      </c>
      <c r="W37" s="1573">
        <f t="shared" si="12"/>
        <v>100</v>
      </c>
      <c r="X37" s="1566"/>
      <c r="Y37" s="3702"/>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03" t="s">
        <v>551</v>
      </c>
      <c r="Q38" s="1571">
        <f t="shared" si="8"/>
        <v>111</v>
      </c>
      <c r="R38" s="1572" t="s">
        <v>8</v>
      </c>
      <c r="S38" s="1573">
        <f t="shared" si="10"/>
        <v>100</v>
      </c>
      <c r="T38" s="1572" t="s">
        <v>8</v>
      </c>
      <c r="U38" s="1573">
        <f t="shared" si="11"/>
        <v>100</v>
      </c>
      <c r="V38" s="1572" t="s">
        <v>8</v>
      </c>
      <c r="W38" s="1573">
        <f t="shared" si="12"/>
        <v>100</v>
      </c>
      <c r="X38" s="1566"/>
      <c r="Y38" s="3704" t="s">
        <v>551</v>
      </c>
      <c r="Z38" s="1574">
        <f t="shared" si="13"/>
        <v>111</v>
      </c>
      <c r="AA38" s="1575">
        <f t="shared" si="3"/>
        <v>1</v>
      </c>
      <c r="AB38" s="1575">
        <f t="shared" si="4"/>
        <v>1</v>
      </c>
      <c r="AC38" s="1575">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04"/>
      <c r="Q39" s="1571">
        <f t="shared" si="8"/>
        <v>111</v>
      </c>
      <c r="R39" s="1576" t="s">
        <v>8</v>
      </c>
      <c r="S39" s="1577">
        <f t="shared" si="10"/>
        <v>100</v>
      </c>
      <c r="T39" s="1576" t="s">
        <v>8</v>
      </c>
      <c r="U39" s="1577">
        <f t="shared" si="11"/>
        <v>100</v>
      </c>
      <c r="V39" s="1576" t="s">
        <v>8</v>
      </c>
      <c r="W39" s="1577">
        <f t="shared" si="12"/>
        <v>100</v>
      </c>
      <c r="X39" s="1578"/>
      <c r="Y39" s="3704"/>
      <c r="Z39" s="1579">
        <f t="shared" si="13"/>
        <v>111</v>
      </c>
      <c r="AA39" s="1575">
        <f t="shared" si="3"/>
        <v>1</v>
      </c>
      <c r="AB39" s="1575">
        <f t="shared" si="4"/>
        <v>1</v>
      </c>
      <c r="AC39" s="1575">
        <f t="shared" si="5"/>
        <v>1</v>
      </c>
    </row>
    <row r="40" spans="1:29" ht="20.25">
      <c r="A40" s="2929" t="s">
        <v>2761</v>
      </c>
      <c r="B40" s="594" t="s">
        <v>553</v>
      </c>
      <c r="C40" s="595">
        <f>'数据-基础表'!A3</f>
        <v>153875</v>
      </c>
      <c r="D40" s="596">
        <v>100</v>
      </c>
      <c r="E40" s="595">
        <f>Sheet1!C2</f>
        <v>24559</v>
      </c>
      <c r="F40" s="596">
        <f>LOOKUP(E40,119:119,120:120)-LOOKUP(C40,119:119,120:120)+100</f>
        <v>98.5</v>
      </c>
      <c r="G40" s="595">
        <f>Sheet1!C4</f>
        <v>158977.4</v>
      </c>
      <c r="H40" s="596">
        <f>LOOKUP(G40,119:119,120:120)-LOOKUP(C40,119:119,120:120)+100</f>
        <v>100</v>
      </c>
      <c r="I40" s="597">
        <f>Sheet1!C7</f>
        <v>43569</v>
      </c>
      <c r="J40" s="596">
        <f>LOOKUP(I40,119:119,120:120)-LOOKUP(C40,119:119,120:120)+100</f>
        <v>98.5</v>
      </c>
      <c r="K40" s="580"/>
      <c r="L40" s="2141"/>
      <c r="M40" s="2131"/>
      <c r="N40" s="2131"/>
      <c r="O40" s="2140"/>
      <c r="P40" s="3704"/>
      <c r="Q40" s="1571" t="str">
        <f>B40</f>
        <v>宗地面积</v>
      </c>
      <c r="R40" s="1572" t="s">
        <v>8</v>
      </c>
      <c r="S40" s="1573">
        <f t="shared" si="10"/>
        <v>98.5</v>
      </c>
      <c r="T40" s="1572" t="s">
        <v>8</v>
      </c>
      <c r="U40" s="1573">
        <f t="shared" si="11"/>
        <v>100</v>
      </c>
      <c r="V40" s="1572" t="s">
        <v>8</v>
      </c>
      <c r="W40" s="1573">
        <f t="shared" si="12"/>
        <v>98.5</v>
      </c>
      <c r="X40" s="1566"/>
      <c r="Y40" s="3704"/>
      <c r="Z40" s="1574" t="str">
        <f t="shared" si="13"/>
        <v>宗地面积</v>
      </c>
      <c r="AA40" s="1575">
        <f t="shared" si="3"/>
        <v>1.015228426395939</v>
      </c>
      <c r="AB40" s="1575">
        <f t="shared" si="4"/>
        <v>1</v>
      </c>
      <c r="AC40" s="1575">
        <f t="shared" si="5"/>
        <v>1.015228426395939</v>
      </c>
    </row>
    <row r="41" spans="1:29" ht="20.25">
      <c r="A41" s="593"/>
      <c r="B41" s="526" t="s">
        <v>554</v>
      </c>
      <c r="C41" s="598" t="s">
        <v>3453</v>
      </c>
      <c r="D41" s="539">
        <v>100</v>
      </c>
      <c r="E41" s="598" t="s">
        <v>3453</v>
      </c>
      <c r="F41" s="539">
        <f>SUMIF(121:121,E41,122:122)-SUMIF(121:121,C41,122:122)+100</f>
        <v>100</v>
      </c>
      <c r="G41" s="598" t="s">
        <v>3453</v>
      </c>
      <c r="H41" s="539">
        <f>SUMIF(121:121,G41,122:122)-SUMIF(121:121,C41,122:122)+100</f>
        <v>100</v>
      </c>
      <c r="I41" s="598" t="s">
        <v>3453</v>
      </c>
      <c r="J41" s="539">
        <f>SUMIF(121:121,I41,122:122)-SUMIF(121:121,C41,122:122)+100</f>
        <v>100</v>
      </c>
      <c r="K41" s="583">
        <v>2</v>
      </c>
      <c r="L41" s="2141"/>
      <c r="M41" s="2131"/>
      <c r="N41" s="2131"/>
      <c r="O41" s="2140"/>
      <c r="P41" s="3704"/>
      <c r="Q41" s="1571" t="str">
        <f t="shared" ref="Q41:Q47" si="14">B41</f>
        <v>宗地形状</v>
      </c>
      <c r="R41" s="1572" t="s">
        <v>8</v>
      </c>
      <c r="S41" s="1573">
        <f t="shared" si="10"/>
        <v>100</v>
      </c>
      <c r="T41" s="1572" t="s">
        <v>8</v>
      </c>
      <c r="U41" s="1573">
        <f t="shared" si="11"/>
        <v>100</v>
      </c>
      <c r="V41" s="1572" t="s">
        <v>8</v>
      </c>
      <c r="W41" s="1573">
        <f t="shared" si="12"/>
        <v>100</v>
      </c>
      <c r="X41" s="1566"/>
      <c r="Y41" s="3704"/>
      <c r="Z41" s="1574" t="str">
        <f t="shared" si="13"/>
        <v>宗地形状</v>
      </c>
      <c r="AA41" s="1575">
        <f t="shared" si="3"/>
        <v>1</v>
      </c>
      <c r="AB41" s="1575">
        <f t="shared" si="4"/>
        <v>1</v>
      </c>
      <c r="AC41" s="1575">
        <f t="shared" si="5"/>
        <v>1</v>
      </c>
    </row>
    <row r="42" spans="1:29" ht="20.25">
      <c r="A42" s="593"/>
      <c r="B42" s="526" t="s">
        <v>555</v>
      </c>
      <c r="C42" s="598" t="s">
        <v>3366</v>
      </c>
      <c r="D42" s="539">
        <v>100</v>
      </c>
      <c r="E42" s="598" t="s">
        <v>3366</v>
      </c>
      <c r="F42" s="539">
        <f>SUMIF(123:123,E42,124:124)-SUMIF(123:123,C42,124:124)+100</f>
        <v>100</v>
      </c>
      <c r="G42" s="598" t="s">
        <v>3366</v>
      </c>
      <c r="H42" s="539">
        <f>SUMIF(123:123,G42,124:124)-SUMIF(123:123,C42,124:124)+100</f>
        <v>100</v>
      </c>
      <c r="I42" s="598" t="s">
        <v>3366</v>
      </c>
      <c r="J42" s="539">
        <f>SUMIF(123:123,I42,124:124)-SUMIF(123:123,C42,124:124)+100</f>
        <v>100</v>
      </c>
      <c r="K42" s="583">
        <v>2</v>
      </c>
      <c r="L42" s="2141"/>
      <c r="M42" s="2131"/>
      <c r="N42" s="2131"/>
      <c r="O42" s="2140"/>
      <c r="P42" s="3704"/>
      <c r="Q42" s="1571" t="str">
        <f t="shared" si="14"/>
        <v>临街宽度及深度</v>
      </c>
      <c r="R42" s="1572" t="s">
        <v>8</v>
      </c>
      <c r="S42" s="1573">
        <f t="shared" si="10"/>
        <v>100</v>
      </c>
      <c r="T42" s="1572" t="s">
        <v>8</v>
      </c>
      <c r="U42" s="1573">
        <f t="shared" si="11"/>
        <v>100</v>
      </c>
      <c r="V42" s="1572" t="s">
        <v>8</v>
      </c>
      <c r="W42" s="1573">
        <f t="shared" si="12"/>
        <v>100</v>
      </c>
      <c r="X42" s="1566"/>
      <c r="Y42" s="3704"/>
      <c r="Z42" s="1574" t="str">
        <f t="shared" si="13"/>
        <v>临街宽度及深度</v>
      </c>
      <c r="AA42" s="1575">
        <f t="shared" si="3"/>
        <v>1</v>
      </c>
      <c r="AB42" s="1575">
        <f t="shared" si="4"/>
        <v>1</v>
      </c>
      <c r="AC42" s="1575">
        <f t="shared" si="5"/>
        <v>1</v>
      </c>
    </row>
    <row r="43" spans="1:29" s="1218" customFormat="1" ht="20.25">
      <c r="A43" s="599"/>
      <c r="B43" s="1894" t="s">
        <v>2428</v>
      </c>
      <c r="C43" s="600" t="s">
        <v>3371</v>
      </c>
      <c r="D43" s="254">
        <v>100</v>
      </c>
      <c r="E43" s="600" t="s">
        <v>3371</v>
      </c>
      <c r="F43" s="539">
        <f>SUMIF(125:125,E43,126:126)-SUMIF(125:125,C43,126:126)+100</f>
        <v>100</v>
      </c>
      <c r="G43" s="600" t="s">
        <v>3371</v>
      </c>
      <c r="H43" s="539">
        <f>SUMIF(125:125,G43,126:126)-SUMIF(125:125,C43,126:126)+100</f>
        <v>100</v>
      </c>
      <c r="I43" s="600" t="s">
        <v>3371</v>
      </c>
      <c r="J43" s="539">
        <f>SUMIF(125:125,I43,126:126)-SUMIF(125:125,C43,126:126)+100</f>
        <v>100</v>
      </c>
      <c r="K43" s="583">
        <v>2</v>
      </c>
      <c r="L43" s="2134"/>
      <c r="M43" s="2131"/>
      <c r="N43" s="2131"/>
      <c r="O43" s="2136"/>
      <c r="P43" s="3704"/>
      <c r="Q43" s="1571" t="str">
        <f t="shared" si="14"/>
        <v>宗地开发程度</v>
      </c>
      <c r="R43" s="1567" t="s">
        <v>8</v>
      </c>
      <c r="S43" s="1568">
        <f t="shared" si="10"/>
        <v>100</v>
      </c>
      <c r="T43" s="1567" t="s">
        <v>8</v>
      </c>
      <c r="U43" s="1568">
        <f t="shared" si="11"/>
        <v>100</v>
      </c>
      <c r="V43" s="1567" t="s">
        <v>8</v>
      </c>
      <c r="W43" s="1568">
        <f t="shared" si="12"/>
        <v>100</v>
      </c>
      <c r="X43" s="1569"/>
      <c r="Y43" s="3704"/>
      <c r="Z43" s="1148" t="str">
        <f t="shared" si="13"/>
        <v>宗地开发程度</v>
      </c>
      <c r="AA43" s="1570">
        <f t="shared" si="3"/>
        <v>1</v>
      </c>
      <c r="AB43" s="1570">
        <f t="shared" si="4"/>
        <v>1</v>
      </c>
      <c r="AC43" s="1570">
        <f t="shared" si="5"/>
        <v>1</v>
      </c>
    </row>
    <row r="44" spans="1:29" ht="20.25">
      <c r="A44" s="593"/>
      <c r="B44" s="526" t="s">
        <v>556</v>
      </c>
      <c r="C44" s="598" t="s">
        <v>3271</v>
      </c>
      <c r="D44" s="539">
        <v>100</v>
      </c>
      <c r="E44" s="598" t="s">
        <v>3271</v>
      </c>
      <c r="F44" s="539">
        <f>SUMIF(127:127,E44,128:128)-SUMIF(127:127,C44,128:128)+100</f>
        <v>100</v>
      </c>
      <c r="G44" s="598" t="s">
        <v>3271</v>
      </c>
      <c r="H44" s="539">
        <f>SUMIF(127:127,G44,128:128)-SUMIF(127:127,C44,128:128)+100</f>
        <v>100</v>
      </c>
      <c r="I44" s="598" t="s">
        <v>3271</v>
      </c>
      <c r="J44" s="539">
        <f>SUMIF(127:127,I44,128:128)-SUMIF(127:127,C44,128:128)+100</f>
        <v>100</v>
      </c>
      <c r="K44" s="583">
        <v>2</v>
      </c>
      <c r="L44" s="2141"/>
      <c r="M44" s="2131"/>
      <c r="N44" s="2131"/>
      <c r="O44" s="2140"/>
      <c r="P44" s="3704" t="s">
        <v>551</v>
      </c>
      <c r="Q44" s="1571" t="str">
        <f t="shared" si="14"/>
        <v>工程地质条件</v>
      </c>
      <c r="R44" s="1572" t="s">
        <v>8</v>
      </c>
      <c r="S44" s="1573">
        <f t="shared" si="10"/>
        <v>100</v>
      </c>
      <c r="T44" s="1572" t="s">
        <v>8</v>
      </c>
      <c r="U44" s="1573">
        <f t="shared" si="11"/>
        <v>100</v>
      </c>
      <c r="V44" s="1572" t="s">
        <v>8</v>
      </c>
      <c r="W44" s="1573">
        <f t="shared" si="12"/>
        <v>100</v>
      </c>
      <c r="X44" s="1566"/>
      <c r="Y44" s="3704" t="s">
        <v>551</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04"/>
      <c r="Q45" s="1571">
        <f t="shared" si="14"/>
        <v>111</v>
      </c>
      <c r="R45" s="1572" t="s">
        <v>8</v>
      </c>
      <c r="S45" s="1573">
        <f t="shared" si="10"/>
        <v>100</v>
      </c>
      <c r="T45" s="1572" t="s">
        <v>8</v>
      </c>
      <c r="U45" s="1573">
        <f t="shared" si="11"/>
        <v>100</v>
      </c>
      <c r="V45" s="1572" t="s">
        <v>8</v>
      </c>
      <c r="W45" s="1573">
        <f t="shared" si="12"/>
        <v>100</v>
      </c>
      <c r="X45" s="1566"/>
      <c r="Y45" s="3704"/>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04"/>
      <c r="Q46" s="1571">
        <f t="shared" si="14"/>
        <v>111</v>
      </c>
      <c r="R46" s="1572" t="s">
        <v>8</v>
      </c>
      <c r="S46" s="1573">
        <f t="shared" si="10"/>
        <v>100</v>
      </c>
      <c r="T46" s="1572" t="s">
        <v>8</v>
      </c>
      <c r="U46" s="1573">
        <f t="shared" si="11"/>
        <v>100</v>
      </c>
      <c r="V46" s="1572" t="s">
        <v>8</v>
      </c>
      <c r="W46" s="1573">
        <f t="shared" si="12"/>
        <v>100</v>
      </c>
      <c r="X46" s="1566"/>
      <c r="Y46" s="3704"/>
      <c r="Z46" s="1574">
        <f t="shared" si="13"/>
        <v>111</v>
      </c>
      <c r="AA46" s="1575">
        <f t="shared" si="3"/>
        <v>1</v>
      </c>
      <c r="AB46" s="1575">
        <f t="shared" si="4"/>
        <v>1</v>
      </c>
      <c r="AC46" s="1575">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04"/>
      <c r="Q47" s="1571">
        <f t="shared" si="14"/>
        <v>111</v>
      </c>
      <c r="R47" s="1576" t="s">
        <v>8</v>
      </c>
      <c r="S47" s="1577">
        <f t="shared" si="10"/>
        <v>100</v>
      </c>
      <c r="T47" s="1576" t="s">
        <v>8</v>
      </c>
      <c r="U47" s="1577">
        <f t="shared" si="11"/>
        <v>100</v>
      </c>
      <c r="V47" s="1576" t="s">
        <v>8</v>
      </c>
      <c r="W47" s="1577">
        <f t="shared" si="12"/>
        <v>100</v>
      </c>
      <c r="X47" s="1578"/>
      <c r="Y47" s="3704"/>
      <c r="Z47" s="1579">
        <f t="shared" si="13"/>
        <v>111</v>
      </c>
      <c r="AA47" s="1575">
        <f t="shared" si="3"/>
        <v>1</v>
      </c>
      <c r="AB47" s="1575">
        <f t="shared" si="4"/>
        <v>1</v>
      </c>
      <c r="AC47" s="1575">
        <f t="shared" si="5"/>
        <v>1</v>
      </c>
    </row>
    <row r="48" spans="1:29" ht="20.25">
      <c r="A48" s="606" t="s">
        <v>557</v>
      </c>
      <c r="B48" s="607" t="s">
        <v>3386</v>
      </c>
      <c r="C48" s="608" t="s">
        <v>1</v>
      </c>
      <c r="D48" s="609"/>
      <c r="E48" s="610">
        <f>Sheet1!M2</f>
        <v>9555</v>
      </c>
      <c r="F48" s="611"/>
      <c r="G48" s="612">
        <f>Sheet1!M4</f>
        <v>9000</v>
      </c>
      <c r="H48" s="613"/>
      <c r="I48" s="610">
        <f>Sheet1!M7</f>
        <v>11338</v>
      </c>
      <c r="J48" s="613"/>
      <c r="K48" s="1338"/>
      <c r="L48" s="2143"/>
      <c r="M48" s="2131"/>
      <c r="N48" s="2131"/>
      <c r="O48" s="2144"/>
      <c r="P48" s="3699" t="str">
        <f>A48</f>
        <v>成交单价</v>
      </c>
      <c r="Q48" s="3699"/>
      <c r="R48" s="3713">
        <f>E48</f>
        <v>9555</v>
      </c>
      <c r="S48" s="3713"/>
      <c r="T48" s="3713">
        <f>G48</f>
        <v>9000</v>
      </c>
      <c r="U48" s="3713"/>
      <c r="V48" s="3713">
        <f>I48</f>
        <v>11338</v>
      </c>
      <c r="W48" s="3713"/>
      <c r="X48" s="1558"/>
      <c r="Y48" s="1580"/>
      <c r="Z48" s="1558"/>
      <c r="AA48" s="1558"/>
      <c r="AB48" s="1558"/>
      <c r="AC48" s="1558"/>
    </row>
    <row r="49" spans="1:29" ht="21" thickBot="1">
      <c r="A49" s="614" t="s">
        <v>2699</v>
      </c>
      <c r="B49" s="615"/>
      <c r="C49" s="616">
        <f>R50</f>
        <v>10003</v>
      </c>
      <c r="D49" s="617"/>
      <c r="E49" s="616">
        <f>R49</f>
        <v>9434</v>
      </c>
      <c r="F49" s="618"/>
      <c r="G49" s="619">
        <f>T49</f>
        <v>9566</v>
      </c>
      <c r="H49" s="617"/>
      <c r="I49" s="616">
        <f>V49</f>
        <v>11010</v>
      </c>
      <c r="J49" s="617"/>
      <c r="K49" s="1339"/>
      <c r="L49" s="2143"/>
      <c r="M49" s="2131"/>
      <c r="N49" s="2131"/>
      <c r="O49" s="2144"/>
      <c r="P49" s="3699" t="str">
        <f>A49</f>
        <v>比较价格（元/平方米）</v>
      </c>
      <c r="Q49" s="3699"/>
      <c r="R49" s="3723">
        <f>ROUND(PRODUCT(R48,AA9:AA47),0)</f>
        <v>9434</v>
      </c>
      <c r="S49" s="3723"/>
      <c r="T49" s="3723">
        <f>ROUND(PRODUCT(T48,AB9:AB47),0)</f>
        <v>9566</v>
      </c>
      <c r="U49" s="3723"/>
      <c r="V49" s="3723">
        <f>ROUND(PRODUCT(V48,AC9:AC47),0)</f>
        <v>11010</v>
      </c>
      <c r="W49" s="3723"/>
      <c r="X49" s="1558"/>
      <c r="Y49" s="1558"/>
      <c r="Z49" s="1558"/>
      <c r="AA49" s="1558"/>
      <c r="AB49" s="1558"/>
      <c r="AC49" s="1558"/>
    </row>
    <row r="50" spans="1:29" ht="21" thickBot="1">
      <c r="A50" s="620" t="s">
        <v>2939</v>
      </c>
      <c r="B50" s="621"/>
      <c r="C50" s="622">
        <f>R50</f>
        <v>10003</v>
      </c>
      <c r="D50" s="622"/>
      <c r="E50" s="622"/>
      <c r="F50" s="622"/>
      <c r="G50" s="622"/>
      <c r="H50" s="622"/>
      <c r="I50" s="622"/>
      <c r="J50" s="622"/>
      <c r="K50" s="1340"/>
      <c r="L50" s="2143"/>
      <c r="M50" s="2131"/>
      <c r="N50" s="2131"/>
      <c r="O50" s="2144"/>
      <c r="P50" s="3720" t="str">
        <f>A50</f>
        <v>估价对象XX用房的比较价格（楼面单价，元/平方米）</v>
      </c>
      <c r="Q50" s="3721"/>
      <c r="R50" s="3722">
        <f>ROUND(AVERAGE(R49:V49),0)</f>
        <v>10003</v>
      </c>
      <c r="S50" s="3722"/>
      <c r="T50" s="3722"/>
      <c r="U50" s="3722"/>
      <c r="V50" s="3722"/>
      <c r="W50" s="3722"/>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1.2825948696205236E-2</v>
      </c>
      <c r="F53" s="626" t="str">
        <f>IF(OR(E53&gt;=0.3,E53&lt;=-0.3),"超过30%","")</f>
        <v/>
      </c>
      <c r="G53" s="625">
        <f>IF(G48&lt;G49,G49/G48-1,G48/G49-1)</f>
        <v>6.2888888888888994E-2</v>
      </c>
      <c r="H53" s="626" t="str">
        <f>IF(OR(G53&gt;=0.3,G53&lt;=-0.3),"超过30%","")</f>
        <v/>
      </c>
      <c r="I53" s="625">
        <f>IF(I48&lt;I49,I49/I48-1,I48/I49-1)</f>
        <v>2.9791099000908261E-2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1.3991944032223813E-2</v>
      </c>
      <c r="F54" s="626" t="str">
        <f>IF(OR(E54&gt;=0.2,E54&lt;=-0.2),"超过20%","")</f>
        <v/>
      </c>
      <c r="G54" s="625">
        <f>IF(G49&lt;I49,I49/G49-1,G49/I49-1)</f>
        <v>0.15095128580388883</v>
      </c>
      <c r="H54" s="626" t="str">
        <f>IF(OR(G54&gt;=0.2,G54&lt;=-0.2),"超过20%","")</f>
        <v/>
      </c>
      <c r="I54" s="625">
        <f>IF(I49&lt;E49,E49/I49-1,I49/E49-1)</f>
        <v>0.16705533177867293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560</v>
      </c>
      <c r="D55" s="627"/>
      <c r="E55" s="625">
        <f>IF(E48&lt;G48,G48/E48-1,E48/G48-1)</f>
        <v>6.1666666666666758E-2</v>
      </c>
      <c r="F55" s="626" t="str">
        <f>IF(OR(E55&gt;=0.3,E55&lt;=-0.3),"超过30%","")</f>
        <v/>
      </c>
      <c r="G55" s="625">
        <f>IF(G48&lt;I48,I48/G48-1,G48/I48-1)</f>
        <v>0.25977777777777789</v>
      </c>
      <c r="H55" s="626" t="str">
        <f>IF(OR(G55&gt;=0.3,G55&lt;=-0.3),"超过30%","")</f>
        <v/>
      </c>
      <c r="I55" s="625">
        <f>IF(I48&lt;E48,E48/I48-1,I48/E48-1)</f>
        <v>0.186603872318158</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1726</v>
      </c>
      <c r="D57" s="2226" t="s">
        <v>2296</v>
      </c>
      <c r="E57" s="630" t="s">
        <v>563</v>
      </c>
      <c r="F57" s="631" t="s">
        <v>564</v>
      </c>
      <c r="G57" s="3683" t="s">
        <v>2284</v>
      </c>
      <c r="H57" s="3684"/>
      <c r="I57" s="1554" t="s">
        <v>1724</v>
      </c>
      <c r="J57" s="1554" t="str">
        <f>项目基本情况!F41</f>
        <v>江西省赣州市</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565</v>
      </c>
      <c r="B58" s="633">
        <f>C50</f>
        <v>10003</v>
      </c>
      <c r="C58" s="634">
        <v>1</v>
      </c>
      <c r="D58" s="2227">
        <v>1</v>
      </c>
      <c r="E58" s="634">
        <f>'数据-汇总表'!E8+'数据-汇总表'!E9</f>
        <v>362703.05</v>
      </c>
      <c r="F58" s="635">
        <f t="shared" ref="F58:F67" si="15">ROUND(B58*E58/10000,0)</f>
        <v>362812</v>
      </c>
      <c r="G58" s="3685"/>
      <c r="H58" s="3686"/>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566</v>
      </c>
      <c r="B59" s="637">
        <f>ROUND($C$50*C59*D59,0)</f>
        <v>0</v>
      </c>
      <c r="C59" s="377">
        <f t="shared" ref="C59:C67" si="16">IF($C$57="北京市系数",I59,J59)</f>
        <v>0</v>
      </c>
      <c r="D59" s="2228">
        <v>0.25</v>
      </c>
      <c r="E59" s="638">
        <v>0</v>
      </c>
      <c r="F59" s="635">
        <f t="shared" si="15"/>
        <v>0</v>
      </c>
      <c r="G59" s="3687" t="s">
        <v>2285</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567</v>
      </c>
      <c r="B60" s="637">
        <f t="shared" ref="B60:B67" si="17">ROUND($C$50*C60*D60,0)</f>
        <v>0</v>
      </c>
      <c r="C60" s="377">
        <f t="shared" si="16"/>
        <v>0</v>
      </c>
      <c r="D60" s="2228">
        <v>0.25</v>
      </c>
      <c r="E60" s="638">
        <v>0</v>
      </c>
      <c r="F60" s="635">
        <f t="shared" si="15"/>
        <v>0</v>
      </c>
      <c r="G60" s="3687"/>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568</v>
      </c>
      <c r="B61" s="637">
        <f t="shared" si="17"/>
        <v>0</v>
      </c>
      <c r="C61" s="377">
        <f t="shared" si="16"/>
        <v>0</v>
      </c>
      <c r="D61" s="2228">
        <v>0.25</v>
      </c>
      <c r="E61" s="638">
        <v>0</v>
      </c>
      <c r="F61" s="635">
        <f t="shared" si="15"/>
        <v>0</v>
      </c>
      <c r="G61" s="3687"/>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569</v>
      </c>
      <c r="B62" s="637">
        <f t="shared" si="17"/>
        <v>0</v>
      </c>
      <c r="C62" s="377">
        <f t="shared" si="16"/>
        <v>0</v>
      </c>
      <c r="D62" s="2228">
        <v>0.25</v>
      </c>
      <c r="E62" s="638">
        <v>0</v>
      </c>
      <c r="F62" s="635">
        <f t="shared" si="15"/>
        <v>0</v>
      </c>
      <c r="G62" s="3687"/>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28" t="s">
        <v>2331</v>
      </c>
      <c r="B63" s="637">
        <f t="shared" si="17"/>
        <v>0</v>
      </c>
      <c r="C63" s="377">
        <f t="shared" si="16"/>
        <v>0</v>
      </c>
      <c r="D63" s="2228">
        <v>0.25</v>
      </c>
      <c r="E63" s="640">
        <f>'数据-汇总表'!E11</f>
        <v>0</v>
      </c>
      <c r="F63" s="635">
        <f t="shared" si="15"/>
        <v>0</v>
      </c>
      <c r="G63" s="1944" t="s">
        <v>2286</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570</v>
      </c>
      <c r="B64" s="637">
        <f t="shared" si="17"/>
        <v>0</v>
      </c>
      <c r="C64" s="377">
        <f t="shared" si="16"/>
        <v>0</v>
      </c>
      <c r="D64" s="2228">
        <v>0.25</v>
      </c>
      <c r="E64" s="640">
        <f>'数据-汇总表'!E12</f>
        <v>0</v>
      </c>
      <c r="F64" s="635">
        <f t="shared" si="15"/>
        <v>0</v>
      </c>
      <c r="G64" s="1945" t="s">
        <v>1679</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571</v>
      </c>
      <c r="B65" s="637">
        <f t="shared" si="17"/>
        <v>0</v>
      </c>
      <c r="C65" s="377">
        <f t="shared" si="16"/>
        <v>0</v>
      </c>
      <c r="D65" s="2228">
        <v>0.25</v>
      </c>
      <c r="E65" s="640">
        <f>'数据-汇总表'!E13</f>
        <v>116438</v>
      </c>
      <c r="F65" s="635">
        <f t="shared" si="15"/>
        <v>0</v>
      </c>
      <c r="G65" s="1945" t="s">
        <v>924</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572</v>
      </c>
      <c r="B66" s="637">
        <f t="shared" si="17"/>
        <v>0</v>
      </c>
      <c r="C66" s="377">
        <f t="shared" si="16"/>
        <v>0</v>
      </c>
      <c r="D66" s="2228">
        <v>0.25</v>
      </c>
      <c r="E66" s="640">
        <f>'数据-汇总表'!E14</f>
        <v>0</v>
      </c>
      <c r="F66" s="635">
        <f t="shared" si="15"/>
        <v>0</v>
      </c>
      <c r="G66" s="1944" t="s">
        <v>2285</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573</v>
      </c>
      <c r="B67" s="637">
        <f t="shared" si="17"/>
        <v>0</v>
      </c>
      <c r="C67" s="377">
        <f t="shared" si="16"/>
        <v>0</v>
      </c>
      <c r="D67" s="2228">
        <v>0.25</v>
      </c>
      <c r="E67" s="640">
        <f>'数据-汇总表'!E15</f>
        <v>0</v>
      </c>
      <c r="F67" s="635">
        <f t="shared" si="15"/>
        <v>0</v>
      </c>
      <c r="G67" s="1946" t="s">
        <v>2286</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574</v>
      </c>
      <c r="B68" s="642" t="s">
        <v>17</v>
      </c>
      <c r="C68" s="642" t="s">
        <v>18</v>
      </c>
      <c r="D68" s="642" t="s">
        <v>2297</v>
      </c>
      <c r="E68" s="642">
        <f>IF(B48="楼面地价",SUM(E58:E67),'数据-汇总表'!D3)</f>
        <v>153875</v>
      </c>
      <c r="F68" s="643">
        <f>IF(B48="楼面地价",SUM(F58:F67),ROUND(C50*E68/10000,0))</f>
        <v>153921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89" t="s">
        <v>2538</v>
      </c>
      <c r="B72" s="2590"/>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8" t="s">
        <v>2653</v>
      </c>
      <c r="B73" s="478" t="str">
        <f>"北京市平均增长率"&amp;TEXT(SUMIF(基准地价!N21:N25,A73,基准地价!P21:P25),"0.00%")</f>
        <v>北京市平均增长率0.00%</v>
      </c>
      <c r="C73" s="893">
        <v>100</v>
      </c>
      <c r="D73" s="729">
        <v>99</v>
      </c>
      <c r="E73" s="729">
        <v>98</v>
      </c>
      <c r="F73" s="729">
        <v>97</v>
      </c>
      <c r="G73" s="729">
        <v>96</v>
      </c>
      <c r="H73" s="729">
        <v>95</v>
      </c>
      <c r="I73" s="729">
        <v>94</v>
      </c>
      <c r="J73" s="729">
        <v>93</v>
      </c>
      <c r="K73" s="729">
        <v>92</v>
      </c>
      <c r="L73" s="729">
        <v>91</v>
      </c>
      <c r="M73" s="729">
        <v>90</v>
      </c>
      <c r="N73" s="729">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8" t="s">
        <v>2652</v>
      </c>
      <c r="B74" s="2827"/>
      <c r="C74" s="2812"/>
      <c r="D74" s="2813"/>
      <c r="E74" s="2813"/>
      <c r="F74" s="2813"/>
      <c r="G74" s="2813"/>
      <c r="H74" s="2813"/>
      <c r="I74" s="2813"/>
      <c r="J74" s="2813"/>
      <c r="K74" s="2813"/>
      <c r="L74" s="2813"/>
      <c r="M74" s="2813"/>
      <c r="N74" s="2813"/>
      <c r="O74" s="2161"/>
      <c r="P74" s="2157"/>
      <c r="Q74" s="2157"/>
      <c r="R74" s="1992"/>
      <c r="S74" s="1992"/>
      <c r="T74" s="1992"/>
      <c r="U74" s="1992"/>
      <c r="V74" s="1992"/>
      <c r="W74" s="1992"/>
      <c r="X74" s="1992"/>
      <c r="Y74" s="1992"/>
      <c r="Z74" s="1992"/>
      <c r="AA74" s="1992"/>
      <c r="AB74" s="1992"/>
      <c r="AC74" s="1992"/>
    </row>
    <row r="75" spans="1:29" s="1218" customFormat="1" ht="15">
      <c r="A75" s="658" t="s">
        <v>532</v>
      </c>
      <c r="B75" s="647"/>
      <c r="C75" s="659" t="s">
        <v>577</v>
      </c>
      <c r="D75" s="3508" t="s">
        <v>3455</v>
      </c>
      <c r="E75" s="3508" t="s">
        <v>3457</v>
      </c>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v>105</v>
      </c>
      <c r="E76" s="649">
        <v>110</v>
      </c>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476" t="s">
        <v>3352</v>
      </c>
      <c r="D77" s="3476" t="s">
        <v>3353</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105</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102</v>
      </c>
      <c r="E83" s="678">
        <f t="shared" ref="E83:M83" si="21">IF($B$48="单位面积地价",D83+$K13,D83-$K13)</f>
        <v>104</v>
      </c>
      <c r="F83" s="678">
        <f t="shared" si="21"/>
        <v>106</v>
      </c>
      <c r="G83" s="678">
        <f t="shared" si="21"/>
        <v>108</v>
      </c>
      <c r="H83" s="678">
        <f t="shared" si="21"/>
        <v>110</v>
      </c>
      <c r="I83" s="678">
        <f t="shared" si="21"/>
        <v>112</v>
      </c>
      <c r="J83" s="678">
        <f t="shared" si="21"/>
        <v>114</v>
      </c>
      <c r="K83" s="678">
        <f t="shared" si="21"/>
        <v>116</v>
      </c>
      <c r="L83" s="678">
        <f t="shared" si="21"/>
        <v>118</v>
      </c>
      <c r="M83" s="678">
        <f t="shared" si="21"/>
        <v>120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2554</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18" t="s">
        <v>2556</v>
      </c>
      <c r="C104" s="2619" t="s">
        <v>2557</v>
      </c>
      <c r="D104" s="2619" t="s">
        <v>2558</v>
      </c>
      <c r="E104" s="2619" t="s">
        <v>2559</v>
      </c>
      <c r="F104" s="2619" t="s">
        <v>2560</v>
      </c>
      <c r="G104" s="2619" t="s">
        <v>2561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75" t="s">
        <v>3354</v>
      </c>
      <c r="D108" s="3475" t="s">
        <v>3356</v>
      </c>
      <c r="E108" s="3475" t="s">
        <v>3357</v>
      </c>
      <c r="F108" s="3475" t="s">
        <v>3358</v>
      </c>
      <c r="G108" s="3475" t="s">
        <v>3360</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552</v>
      </c>
      <c r="B118" s="664" t="s">
        <v>594</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114" t="str">
        <f t="shared" si="25"/>
        <v>(含)-</v>
      </c>
      <c r="K118" s="3114" t="str">
        <f t="shared" si="25"/>
        <v>(含)-</v>
      </c>
      <c r="L118" s="3115" t="str">
        <f t="shared" si="25"/>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v>150000</v>
      </c>
      <c r="G119" s="729"/>
      <c r="H119" s="729"/>
      <c r="I119" s="729"/>
      <c r="J119" s="2364"/>
      <c r="K119" s="2364"/>
      <c r="L119" s="2365"/>
      <c r="M119" s="2366"/>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100.5</v>
      </c>
      <c r="E120" s="699">
        <v>101</v>
      </c>
      <c r="F120" s="725">
        <v>101.5</v>
      </c>
      <c r="G120" s="699"/>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477" t="s">
        <v>3361</v>
      </c>
      <c r="D121" s="3477" t="s">
        <v>3362</v>
      </c>
      <c r="E121" s="3477" t="s">
        <v>3363</v>
      </c>
      <c r="F121" s="3477" t="s">
        <v>3364</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596</v>
      </c>
      <c r="C123" s="3475" t="s">
        <v>3365</v>
      </c>
      <c r="D123" s="3475" t="s">
        <v>3367</v>
      </c>
      <c r="E123" s="3475" t="s">
        <v>3368</v>
      </c>
      <c r="F123" s="3477" t="s">
        <v>3369</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2429</v>
      </c>
      <c r="C125" s="1374" t="s">
        <v>3370</v>
      </c>
      <c r="D125" s="1374" t="s">
        <v>3372</v>
      </c>
      <c r="E125" s="1374" t="s">
        <v>3373</v>
      </c>
      <c r="F125" s="1374" t="s">
        <v>3374</v>
      </c>
      <c r="G125" s="1374" t="s">
        <v>3375</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75" t="s">
        <v>3376</v>
      </c>
      <c r="D127" s="3475" t="s">
        <v>3377</v>
      </c>
      <c r="E127" s="3477" t="s">
        <v>3378</v>
      </c>
      <c r="F127" s="3477" t="s">
        <v>3379</v>
      </c>
      <c r="G127" s="3477" t="s">
        <v>3380</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2662</v>
      </c>
      <c r="B1" s="2913" t="s">
        <v>2759</v>
      </c>
    </row>
    <row r="2" spans="1:55" s="2917" customFormat="1" ht="15" thickTop="1">
      <c r="A2" s="2915" t="s">
        <v>2666</v>
      </c>
      <c r="B2" s="2916" t="str">
        <f>'预评函-封皮'!B37</f>
        <v>江西省赣州市赣南大道南侧（原灯饰市场）地块出让国有建设用地使用权市场价格预评估</v>
      </c>
      <c r="AX2" s="2918"/>
      <c r="AZ2" s="2918"/>
      <c r="BA2" s="2919"/>
      <c r="BC2" s="2919"/>
    </row>
    <row r="3" spans="1:55" s="2920" customFormat="1">
      <c r="A3" s="2899" t="s">
        <v>2667</v>
      </c>
      <c r="B3" s="2902" t="str">
        <f>'预评函-封皮'!B40</f>
        <v>赣州市恒臣置业有限公司</v>
      </c>
    </row>
    <row r="4" spans="1:55" s="2901" customFormat="1">
      <c r="A4" s="2899" t="s">
        <v>2668</v>
      </c>
      <c r="B4" s="2900" t="str">
        <f>'预评函-封皮'!B46</f>
        <v>刘梅、吴薇</v>
      </c>
      <c r="N4" s="2901" t="str">
        <f>'预评函-1'!A28</f>
        <v>——</v>
      </c>
    </row>
    <row r="5" spans="1:55" s="2914" customFormat="1" ht="15" thickBot="1">
      <c r="A5" s="2921" t="s">
        <v>2669</v>
      </c>
      <c r="B5" s="2922" t="str">
        <f>'预评函-封皮'!B49</f>
        <v>康正预评字号</v>
      </c>
    </row>
    <row r="6" spans="1:55" s="2923" customFormat="1" ht="15" thickTop="1">
      <c r="A6" s="2915" t="s">
        <v>2711</v>
      </c>
      <c r="B6" s="2916" t="str">
        <f>'预评函-1'!A4</f>
        <v>受贵公司委托，我公司对江西省赣州市赣南大道南侧（原灯饰市场）地块出让国有建设用地使用权市场价格进行了预评估。</v>
      </c>
      <c r="AM6" s="2924"/>
    </row>
    <row r="7" spans="1:55" s="2898" customFormat="1">
      <c r="A7" s="2899" t="s">
        <v>2663</v>
      </c>
      <c r="B7" s="2900" t="str">
        <f>'预评函-1'!A6</f>
        <v>估价对象为赣州市恒臣置业有限公司使用的、位于江西省赣州市赣南大道南侧（原灯饰市场）地块出让国有建设用地使用权。根据《国有建设用地使用权出让合同》及附件[电子监管号：3607822017B00480号]，估价对象（分摊）出让国有建设用地使用权面积为153875平方米。根据《赣州恒大城E-1&amp;E-2经济技术指标》，估价对象规划建筑面积为493630.89平方米。</v>
      </c>
    </row>
    <row r="8" spans="1:55" s="2898" customFormat="1">
      <c r="A8" s="2899" t="s">
        <v>2664</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2714</v>
      </c>
      <c r="B9" s="2900" t="str">
        <f>'预评函-1'!A9</f>
        <v>本次评估为委托估价方了解标的物之市场价格提供参考依据而评估出让国有建设用地使用权市场价格。</v>
      </c>
    </row>
    <row r="10" spans="1:55" s="2898" customFormat="1">
      <c r="A10" s="2899" t="s">
        <v>2665</v>
      </c>
      <c r="B10" s="2900" t="str">
        <f>'预评函-1'!A11</f>
        <v>2018年4月16日</v>
      </c>
    </row>
    <row r="11" spans="1:55" s="2898" customFormat="1">
      <c r="A11" s="2899" t="s">
        <v>2671</v>
      </c>
      <c r="B11" s="2900" t="str">
        <f>'预评函-1'!A14</f>
        <v>根据《国有建设用地使用权出让合同》及附件[电子监管号：3607822017B00480号]，本次评估估价对象证载（地类）用途为其他普通商品住房用地。</v>
      </c>
    </row>
    <row r="12" spans="1:55" s="2898" customFormat="1">
      <c r="A12" s="2899" t="s">
        <v>2672</v>
      </c>
      <c r="B12" s="2900" t="str">
        <f>'预评函-1'!A15</f>
        <v>根据《赣州恒大城E-1&amp;E-2经济技术指标》，估价对象土地规划用途为住宅、商业、地下车库，上述用途符合《国有土地使用证》证载地类范围。本次评估设定用途为住宅、商业、地下车库。</v>
      </c>
    </row>
    <row r="13" spans="1:55" s="2898" customFormat="1">
      <c r="A13" s="2899" t="s">
        <v>2673</v>
      </c>
      <c r="B13" s="2900" t="str">
        <f>'预评函-1'!A17</f>
        <v>根据委托估价方介绍及评估专业人员现场勘查，本次评估估价对象实际土地开发程度为红线外市政基础设施达“七通”（即通路、通电、通讯、通上水、通下水、燃气、）、宗地红线内已开工建设。估价委托方尚未取得《建筑工程施工许可证》，但已开始土方工程建设及建筑物建设，并建有数幢临时工程用房。。</v>
      </c>
    </row>
    <row r="14" spans="1:55" s="2898" customFormat="1">
      <c r="A14" s="2899" t="s">
        <v>2674</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2670</v>
      </c>
      <c r="B15" s="2900" t="str">
        <f>'预评函-1'!A20</f>
        <v>根据《国有建设用地使用权出让合同》及附件[电子监管号：3607822017B00480号]，估价对象（分摊）出让国有建设用地使用权面积为153875平方米。根据《赣州恒大城E-1&amp;E-2经济技术指标》，估价对象规划建筑面积为493630.89平方米。</v>
      </c>
    </row>
    <row r="16" spans="1:55" s="2898" customFormat="1">
      <c r="A16" s="2899" t="s">
        <v>2675</v>
      </c>
      <c r="B16" s="2900" t="str">
        <f>'预评函-1'!A22</f>
        <v>本次估价对象为出让国有建设用地使用权，依据《国有建设用地使用权出让合同》及附件[电子监管号：3607822017B00480号]、《赣州恒大城E-1&amp;E-2经济技术指标》，土地终止日期为住宅2087年8月13日、商业2057年8月13日地下车库2067年8月13日。截至估价期日，出让国有建设用地使用权剩余土地使用年限为住宅69.4年、商业39.4年、地下车库49.4年。</v>
      </c>
    </row>
    <row r="17" spans="1:48" s="2898" customFormat="1">
      <c r="A17" s="2899" t="s">
        <v>2676</v>
      </c>
      <c r="B17" s="2900" t="str">
        <f>'预评函-1'!A23</f>
        <v>本次评估设定估价对象剩余土地使用年限为住宅69.4年、商业39.4年、地下车库49.4年。</v>
      </c>
    </row>
    <row r="18" spans="1:48" s="2898" customFormat="1">
      <c r="A18" s="2899" t="s">
        <v>2677</v>
      </c>
      <c r="B18" s="2900" t="str">
        <f>'预评函-1'!A25</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住宅、商业、地下车库，剩余土地使用年限为住宅69.4年、商业39.4年、地下车库49.4年的出让国有建设用地使用权价格。</v>
      </c>
    </row>
    <row r="19" spans="1:48" s="2898" customFormat="1">
      <c r="A19" s="2899" t="s">
        <v>2678</v>
      </c>
      <c r="B19" s="2900" t="str">
        <f>'预评函-1'!A26</f>
        <v>——</v>
      </c>
    </row>
    <row r="20" spans="1:48" s="2898" customFormat="1">
      <c r="A20" s="2899" t="s">
        <v>2679</v>
      </c>
      <c r="B20" s="2900" t="str">
        <f>'预评函-1'!A27</f>
        <v>——</v>
      </c>
    </row>
    <row r="21" spans="1:48" s="2914" customFormat="1" ht="15" thickBot="1">
      <c r="A21" s="2921" t="s">
        <v>2680</v>
      </c>
      <c r="B21" s="2922" t="str">
        <f>'预评函-1'!A28</f>
        <v>——</v>
      </c>
    </row>
    <row r="22" spans="1:48" ht="15" thickTop="1">
      <c r="A22" s="2910" t="s">
        <v>2681</v>
      </c>
      <c r="B22" s="291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9" t="s">
        <v>2682</v>
      </c>
      <c r="B23" s="2900" t="str">
        <f>'预评函-2'!K2</f>
        <v>估价期日：2018年4月16日</v>
      </c>
    </row>
    <row r="24" spans="1:48">
      <c r="A24" s="2899" t="s">
        <v>2683</v>
      </c>
      <c r="B24" s="2900" t="str">
        <f>'预评函-2'!R2</f>
        <v>估价期日的国有建设用地使用权性质：出让</v>
      </c>
    </row>
    <row r="25" spans="1:48">
      <c r="A25" s="2899" t="s">
        <v>2739</v>
      </c>
      <c r="B25" s="2900" t="str">
        <f>'预评函-2'!A3</f>
        <v>估价期日土地使用者</v>
      </c>
    </row>
    <row r="26" spans="1:48">
      <c r="A26" s="2899" t="s">
        <v>2715</v>
      </c>
      <c r="B26" s="2900" t="str">
        <f>'预评函-2'!A5</f>
        <v>中信开发</v>
      </c>
    </row>
    <row r="27" spans="1:48">
      <c r="A27" s="2899" t="s">
        <v>2740</v>
      </c>
      <c r="B27" s="2900" t="str">
        <f>'预评函-2'!B3</f>
        <v>宗地编号/不动产单元号</v>
      </c>
    </row>
    <row r="28" spans="1:48">
      <c r="A28" s="2899" t="s">
        <v>2716</v>
      </c>
      <c r="B28" s="2900" t="str">
        <f>'预评函-2'!B5</f>
        <v>11111111111</v>
      </c>
    </row>
    <row r="29" spans="1:48">
      <c r="A29" s="2899" t="s">
        <v>2742</v>
      </c>
      <c r="B29" s="2900">
        <f>'预评函-2'!C5</f>
        <v>22</v>
      </c>
    </row>
    <row r="30" spans="1:48">
      <c r="A30" s="2899" t="s">
        <v>2743</v>
      </c>
      <c r="B30" s="2900" t="str">
        <f>'预评函-2'!D3</f>
        <v>土地使用证编号/不动产权证书编号</v>
      </c>
    </row>
    <row r="31" spans="1:48">
      <c r="A31" s="2899" t="s">
        <v>2717</v>
      </c>
      <c r="B31" s="2900" t="str">
        <f>'预评函-2'!D5</f>
        <v>京国土字第111号</v>
      </c>
    </row>
    <row r="32" spans="1:48">
      <c r="A32" s="2899" t="s">
        <v>2718</v>
      </c>
      <c r="B32" s="2900" t="str">
        <f>'预评函-2'!E5</f>
        <v>其他普通商品住房用地</v>
      </c>
      <c r="AV32" s="2904"/>
    </row>
    <row r="33" spans="1:2">
      <c r="A33" s="2899" t="s">
        <v>2719</v>
      </c>
      <c r="B33" s="2900">
        <f>'预评函-2'!F5</f>
        <v>258</v>
      </c>
    </row>
    <row r="34" spans="1:2">
      <c r="A34" s="2899" t="s">
        <v>2720</v>
      </c>
      <c r="B34" s="2900" t="str">
        <f>'预评函-2'!G5</f>
        <v>住宅、商业、地下车库</v>
      </c>
    </row>
    <row r="35" spans="1:2">
      <c r="A35" s="2899" t="s">
        <v>2721</v>
      </c>
      <c r="B35" s="2900">
        <f>'预评函-2'!H5</f>
        <v>1.5</v>
      </c>
    </row>
    <row r="36" spans="1:2">
      <c r="A36" s="2899" t="s">
        <v>2722</v>
      </c>
      <c r="B36" s="2900">
        <f>'预评函-2'!I5</f>
        <v>1.5</v>
      </c>
    </row>
    <row r="37" spans="1:2">
      <c r="A37" s="2899" t="s">
        <v>2723</v>
      </c>
      <c r="B37" s="2900">
        <f>'预评函-2'!J5</f>
        <v>1.5</v>
      </c>
    </row>
    <row r="38" spans="1:2">
      <c r="A38" s="2899" t="s">
        <v>2724</v>
      </c>
      <c r="B38" s="2900" t="str">
        <f>'预评函-2'!K5</f>
        <v>红线外七通、宗地红线内宗地内已开工建设</v>
      </c>
    </row>
    <row r="39" spans="1:2">
      <c r="A39" s="2899" t="s">
        <v>2725</v>
      </c>
      <c r="B39" s="2900" t="str">
        <f>'预评函-2'!L5</f>
        <v>红线外七通、宗地红线内场地平整</v>
      </c>
    </row>
    <row r="40" spans="1:2">
      <c r="A40" s="2899" t="s">
        <v>2744</v>
      </c>
      <c r="B40" s="2900" t="str">
        <f>'预评函-2'!M3</f>
        <v>（剩余）土地使用年限/年</v>
      </c>
    </row>
    <row r="41" spans="1:2">
      <c r="A41" s="2899" t="s">
        <v>2726</v>
      </c>
      <c r="B41" s="2900" t="str">
        <f>'预评函-2'!M5</f>
        <v>住宅69.4年、商业39.4年、地下车库49.4年</v>
      </c>
    </row>
    <row r="42" spans="1:2">
      <c r="A42" s="2899" t="s">
        <v>2745</v>
      </c>
      <c r="B42" s="2900" t="str">
        <f>'预评函-2'!N3</f>
        <v>（分摊）出让国有建设用地使用权面积/㎡</v>
      </c>
    </row>
    <row r="43" spans="1:2">
      <c r="A43" s="2899" t="s">
        <v>2727</v>
      </c>
      <c r="B43" s="2900">
        <f>'预评函-2'!N5</f>
        <v>153875</v>
      </c>
    </row>
    <row r="44" spans="1:2">
      <c r="A44" s="2899" t="s">
        <v>2746</v>
      </c>
      <c r="B44" s="2900" t="str">
        <f>'预评函-2'!O3</f>
        <v>规划建筑面积/㎡</v>
      </c>
    </row>
    <row r="45" spans="1:2">
      <c r="A45" s="2899" t="s">
        <v>2728</v>
      </c>
      <c r="B45" s="2900">
        <f>'预评函-2'!O5</f>
        <v>493630.89</v>
      </c>
    </row>
    <row r="46" spans="1:2">
      <c r="A46" s="2899" t="s">
        <v>2729</v>
      </c>
      <c r="B46" s="2900">
        <f ca="1">'预评函-2'!P5</f>
        <v>10040</v>
      </c>
    </row>
    <row r="47" spans="1:2">
      <c r="A47" s="2899" t="s">
        <v>2730</v>
      </c>
      <c r="B47" s="2900">
        <f ca="1">'预评函-2'!Q5</f>
        <v>3130</v>
      </c>
    </row>
    <row r="48" spans="1:2">
      <c r="A48" s="2899" t="s">
        <v>2731</v>
      </c>
      <c r="B48" s="2900">
        <f ca="1">'预评函-2'!R5</f>
        <v>154493</v>
      </c>
    </row>
    <row r="49" spans="1:2">
      <c r="A49" s="2899" t="s">
        <v>2747</v>
      </c>
      <c r="B49" s="2900" t="str">
        <f>'预评函-2'!A6</f>
        <v>——</v>
      </c>
    </row>
    <row r="50" spans="1:2">
      <c r="A50" s="2899" t="s">
        <v>2732</v>
      </c>
      <c r="B50" s="2900">
        <f ca="1">'预评函-2'!R6</f>
        <v>154493</v>
      </c>
    </row>
    <row r="51" spans="1:2">
      <c r="A51" s="2899" t="s">
        <v>2748</v>
      </c>
      <c r="B51" s="2900" t="str">
        <f>'预评函-2'!A7</f>
        <v>——</v>
      </c>
    </row>
    <row r="52" spans="1:2">
      <c r="A52" s="2899" t="s">
        <v>2733</v>
      </c>
      <c r="B52" s="2900" t="str">
        <f>'预评函-2'!R7</f>
        <v>——</v>
      </c>
    </row>
    <row r="53" spans="1:2">
      <c r="A53" s="2899" t="s">
        <v>2749</v>
      </c>
      <c r="B53" s="2900" t="str">
        <f>'预评函-2'!A8</f>
        <v>——</v>
      </c>
    </row>
    <row r="54" spans="1:2" s="2914" customFormat="1" ht="15" thickBot="1">
      <c r="A54" s="2921" t="s">
        <v>2734</v>
      </c>
      <c r="B54" s="2922" t="str">
        <f>'预评函-2'!R8</f>
        <v>——</v>
      </c>
    </row>
    <row r="55" spans="1:2" ht="15" thickTop="1">
      <c r="A55" s="2910" t="s">
        <v>2684</v>
      </c>
      <c r="B55" s="2911" t="str">
        <f>'预评函-3'!A2</f>
        <v>1.权利限制：根据估价对象《不动产权证书》原件、《国有土地使用权》复印件，截至估价期日，估价对象抵押权未见登记。未设定租赁等其他他项权利。</v>
      </c>
    </row>
    <row r="56" spans="1:2">
      <c r="A56" s="2899" t="s">
        <v>2685</v>
      </c>
      <c r="B56" s="2900" t="str">
        <f>'预评函-3'!A3</f>
        <v>2.基础设施条件：估价对象实际开发程度为红线外七通、宗地红线内宗地内已开工建设；本次评估设定开发程度为红线外七通、宗地红线内场地平整。</v>
      </c>
    </row>
    <row r="57" spans="1:2">
      <c r="A57" s="2899" t="s">
        <v>2686</v>
      </c>
      <c r="B57" s="2900" t="str">
        <f>'预评函-3'!A4</f>
        <v>3.估价规划限制条件：详见《赣州恒大城E-1&amp;E-2经济技术指标》。</v>
      </c>
    </row>
    <row r="58" spans="1:2" s="2914" customFormat="1" ht="15" thickBot="1">
      <c r="A58" s="2921" t="s">
        <v>2735</v>
      </c>
      <c r="B58" s="2922" t="str">
        <f>'预评函-3'!A5</f>
        <v>4.影响价格的其他限定条件：无。</v>
      </c>
    </row>
    <row r="59" spans="1:2" ht="15" thickTop="1">
      <c r="A59" s="2910" t="s">
        <v>2687</v>
      </c>
      <c r="B59" s="2911" t="str">
        <f>'预评函-3'!A8</f>
        <v>2.本次评估设定估价对象宗地权属无争议，未被查封或者以其他形式限制其房地产权利，未设定抵押权等他项权利，不涉及第三方权利义务。</v>
      </c>
    </row>
    <row r="60" spans="1:2">
      <c r="A60" s="2899" t="s">
        <v>2688</v>
      </c>
      <c r="B60" s="2900" t="str">
        <f>'预评函-3'!A9</f>
        <v>——</v>
      </c>
    </row>
    <row r="61" spans="1:2">
      <c r="A61" s="2899" t="s">
        <v>2690</v>
      </c>
      <c r="B61" s="2900" t="str">
        <f>'预评函-3'!A10</f>
        <v>——</v>
      </c>
    </row>
    <row r="62" spans="1:2">
      <c r="A62" s="2899" t="s">
        <v>2689</v>
      </c>
      <c r="B62" s="2900" t="str">
        <f>'预评函-3'!A11</f>
        <v>——</v>
      </c>
    </row>
    <row r="63" spans="1:2">
      <c r="A63" s="2899" t="s">
        <v>2691</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2692</v>
      </c>
      <c r="B64" s="2905" t="str">
        <f>'预评函-3'!A13</f>
        <v>（3）。</v>
      </c>
    </row>
    <row r="65" spans="1:2">
      <c r="A65" s="2899" t="s">
        <v>2693</v>
      </c>
      <c r="B65" s="2906" t="str">
        <f>'预评函-3'!A14</f>
        <v>——</v>
      </c>
    </row>
    <row r="66" spans="1:2">
      <c r="A66" s="2899" t="s">
        <v>2694</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2695</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2698</v>
      </c>
      <c r="B68" s="2925">
        <f>'预评函-3'!D30</f>
        <v>42558</v>
      </c>
    </row>
    <row r="69" spans="1:2" ht="15" thickTop="1">
      <c r="A69" s="2910" t="s">
        <v>2696</v>
      </c>
      <c r="B69" s="2911" t="str">
        <f>'预评函-3'!A20</f>
        <v>刘梅</v>
      </c>
    </row>
    <row r="70" spans="1:2">
      <c r="A70" s="2899" t="s">
        <v>2696</v>
      </c>
      <c r="B70" s="2906">
        <f ca="1">'预评函-3'!B20</f>
        <v>2008110059</v>
      </c>
    </row>
    <row r="71" spans="1:2">
      <c r="A71" s="2899" t="s">
        <v>2697</v>
      </c>
      <c r="B71" s="2900" t="str">
        <f>'预评函-3'!A21</f>
        <v>吴薇</v>
      </c>
    </row>
    <row r="72" spans="1:2" s="2914" customFormat="1" ht="15" thickBot="1">
      <c r="A72" s="2921" t="s">
        <v>2697</v>
      </c>
      <c r="B72" s="2927">
        <f ca="1">'预评函-3'!B21</f>
        <v>2002110125</v>
      </c>
    </row>
    <row r="73" spans="1:2" ht="15" thickTop="1">
      <c r="A73" s="2910" t="s">
        <v>2756</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2757</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2758</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2793</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 sqref="B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1"/>
      <c r="C1" s="2103"/>
      <c r="D1" s="2103"/>
      <c r="E1" s="2103"/>
      <c r="F1" s="2103"/>
      <c r="G1" s="2103"/>
      <c r="H1" s="2103"/>
      <c r="I1" s="2103"/>
      <c r="J1" s="2103"/>
      <c r="K1" s="421">
        <f>MATCH(B1,'数据-取费表'!A6:A16,0)+5</f>
        <v>9</v>
      </c>
    </row>
    <row r="2" spans="1:31" s="2040" customFormat="1" ht="18" customHeight="1">
      <c r="A2" s="2100" t="s">
        <v>467</v>
      </c>
      <c r="B2" s="2104">
        <f ca="1">C36</f>
        <v>155064</v>
      </c>
      <c r="C2" s="2103"/>
      <c r="D2" s="2103"/>
      <c r="E2" s="2103"/>
      <c r="F2" s="2103"/>
      <c r="G2" s="2103"/>
      <c r="H2" s="2103"/>
      <c r="I2" s="2103"/>
      <c r="J2" s="2103"/>
      <c r="K2" s="2103"/>
    </row>
    <row r="3" spans="1:31" s="2040" customFormat="1" ht="18" customHeight="1">
      <c r="A3" s="2105" t="s">
        <v>1686</v>
      </c>
      <c r="B3" s="2106">
        <f ca="1">ROUND(B2*10000/IF(B1="",'数据-汇总表'!E3,INDIRECT("'数据-取费表'!K"&amp;$K$1)),0)</f>
        <v>3141</v>
      </c>
      <c r="C3" s="2103"/>
      <c r="D3" s="2103"/>
      <c r="E3" s="2103"/>
      <c r="F3" s="2103"/>
      <c r="G3" s="2103"/>
      <c r="H3" s="2103"/>
      <c r="I3" s="2103"/>
      <c r="J3" s="2103"/>
      <c r="K3" s="2103"/>
    </row>
    <row r="4" spans="1:31" s="2040" customFormat="1" ht="18" customHeight="1">
      <c r="A4" s="425" t="s">
        <v>468</v>
      </c>
      <c r="B4" s="426">
        <f ca="1">ROUND(B2*10000/IF(B1="",'数据-汇总表'!D3,INDIRECT("'数据-取费表'!R"&amp;$K$1)),0)</f>
        <v>10077</v>
      </c>
      <c r="C4" s="427"/>
      <c r="D4" s="421"/>
      <c r="E4" s="421"/>
      <c r="F4" s="421"/>
      <c r="G4" s="421"/>
      <c r="H4" s="421"/>
      <c r="I4" s="421"/>
      <c r="J4" s="421"/>
      <c r="K4" s="421"/>
    </row>
    <row r="5" spans="1:31" s="2040" customFormat="1" ht="18" customHeight="1" thickBot="1">
      <c r="A5" s="428"/>
      <c r="B5" s="429">
        <f ca="1">ROUND(B2/(IF(B1="",'数据-汇总表'!D3,INDIRECT("'数据-取费表'!R"&amp;$K$1))/666.67),0)</f>
        <v>672</v>
      </c>
      <c r="C5" s="430" t="s">
        <v>469</v>
      </c>
      <c r="D5" s="421"/>
      <c r="E5" s="421"/>
      <c r="F5" s="421"/>
      <c r="G5" s="421"/>
      <c r="H5" s="421"/>
      <c r="I5" s="421"/>
      <c r="J5" s="421"/>
      <c r="K5" s="421"/>
    </row>
    <row r="6" spans="1:31" s="2110" customFormat="1" ht="16.5" customHeight="1">
      <c r="A6" s="2850" t="s">
        <v>1844</v>
      </c>
      <c r="B6" s="2851"/>
      <c r="C6" s="2852">
        <f ca="1">SUM(C10:K10)</f>
        <v>408844</v>
      </c>
      <c r="D6" s="2851"/>
      <c r="E6" s="2851"/>
      <c r="F6" s="2851"/>
      <c r="G6" s="2851"/>
      <c r="H6" s="2851"/>
      <c r="I6" s="2851"/>
      <c r="J6" s="2851"/>
      <c r="K6" s="2853"/>
    </row>
    <row r="7" spans="1:31" s="2112" customFormat="1" ht="15">
      <c r="A7" s="2854" t="s">
        <v>470</v>
      </c>
      <c r="B7" s="2855" t="s">
        <v>471</v>
      </c>
      <c r="C7" s="435" t="s">
        <v>924</v>
      </c>
      <c r="D7" s="435" t="s">
        <v>3215</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1847</v>
      </c>
      <c r="B8" s="260" t="s">
        <v>472</v>
      </c>
      <c r="C8" s="2856">
        <f>'不动产比较法-住宅'!B3</f>
        <v>10107</v>
      </c>
      <c r="D8" s="2856">
        <f>典型户型修正!R22</f>
        <v>19149</v>
      </c>
      <c r="E8" s="2856">
        <f ca="1">不动产收益法!B3</f>
        <v>3429</v>
      </c>
      <c r="F8" s="2856"/>
      <c r="G8" s="2856"/>
      <c r="H8" s="2856"/>
      <c r="I8" s="2856"/>
      <c r="J8" s="2856"/>
      <c r="K8" s="2857"/>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1848</v>
      </c>
      <c r="B9" s="260" t="s">
        <v>473</v>
      </c>
      <c r="C9" s="440">
        <f>SUMIF('数据-汇总表'!$C19:$C33,'剩余法-待开发'!C7,'数据-汇总表'!$E19:$E33)</f>
        <v>360128.49</v>
      </c>
      <c r="D9" s="440">
        <f>SUMIF('数据-汇总表'!$C19:$C33,'剩余法-待开发'!D7,'数据-汇总表'!$E19:$E33)</f>
        <v>2574.56</v>
      </c>
      <c r="E9" s="440">
        <f>SUMIF('数据-汇总表'!$C19:$C33,'剩余法-待开发'!E7,'数据-汇总表'!$E19:$E33)</f>
        <v>116438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8" t="s">
        <v>1849</v>
      </c>
      <c r="B10" s="2844" t="s">
        <v>474</v>
      </c>
      <c r="C10" s="3050">
        <f>'不动产比较法-住宅'!B2</f>
        <v>363982</v>
      </c>
      <c r="D10" s="3050">
        <f>典型户型修正!S22</f>
        <v>4930</v>
      </c>
      <c r="E10" s="3050">
        <f ca="1">不动产收益法!B2</f>
        <v>39932</v>
      </c>
      <c r="F10" s="2859"/>
      <c r="G10" s="2859"/>
      <c r="H10" s="2859"/>
      <c r="I10" s="2859"/>
      <c r="J10" s="2859"/>
      <c r="K10" s="2860"/>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1" t="s">
        <v>1845</v>
      </c>
      <c r="B11" s="2851"/>
      <c r="C11" s="2851"/>
      <c r="D11" s="2851"/>
      <c r="E11" s="2851"/>
      <c r="F11" s="2851"/>
      <c r="G11" s="2851"/>
      <c r="H11" s="2851"/>
      <c r="I11" s="2851"/>
      <c r="J11" s="2851"/>
      <c r="K11" s="2853"/>
    </row>
    <row r="12" spans="1:31" s="2084" customFormat="1" ht="13.5" customHeight="1">
      <c r="A12" s="2862" t="s">
        <v>470</v>
      </c>
      <c r="B12" s="2834" t="s">
        <v>471</v>
      </c>
      <c r="C12" s="2863" t="s">
        <v>475</v>
      </c>
      <c r="D12" s="2830" t="s">
        <v>476</v>
      </c>
      <c r="E12" s="2830" t="s">
        <v>477</v>
      </c>
      <c r="F12" s="2830" t="s">
        <v>478</v>
      </c>
      <c r="G12" s="2834"/>
      <c r="H12" s="2835"/>
      <c r="I12" s="2835"/>
      <c r="J12" s="2835"/>
      <c r="K12" s="2836"/>
    </row>
    <row r="13" spans="1:31" s="2115" customFormat="1" ht="13.5" customHeight="1">
      <c r="A13" s="2864" t="s">
        <v>1850</v>
      </c>
      <c r="B13" s="2865" t="s">
        <v>479</v>
      </c>
      <c r="C13" s="449">
        <f ca="1">IF(B1="",'数据-取费表'!P16,INDIRECT("'数据-取费表'!p"&amp;$K$1)+INDIRECT("'数据-取费表'!t"&amp;$K$1))</f>
        <v>121929</v>
      </c>
      <c r="D13" s="2866"/>
      <c r="E13" s="2867"/>
      <c r="F13" s="2868"/>
      <c r="G13" s="2834"/>
      <c r="H13" s="2835"/>
      <c r="I13" s="2835"/>
      <c r="J13" s="2835"/>
      <c r="K13" s="2836"/>
    </row>
    <row r="14" spans="1:31" s="2115" customFormat="1" ht="13.5" customHeight="1">
      <c r="A14" s="2864" t="s">
        <v>1851</v>
      </c>
      <c r="B14" s="2865" t="s">
        <v>480</v>
      </c>
      <c r="C14" s="53">
        <f ca="1">ROUND(C13*F14,0)</f>
        <v>3658</v>
      </c>
      <c r="D14" s="2866"/>
      <c r="E14" s="2867"/>
      <c r="F14" s="2869">
        <f>'数据-取费表'!B33</f>
        <v>0.03</v>
      </c>
      <c r="G14" s="2834" t="s">
        <v>481</v>
      </c>
      <c r="H14" s="2835"/>
      <c r="I14" s="2835"/>
      <c r="J14" s="2835"/>
      <c r="K14" s="2836"/>
    </row>
    <row r="15" spans="1:31" s="2115" customFormat="1" ht="13.5" customHeight="1">
      <c r="A15" s="2864" t="s">
        <v>1852</v>
      </c>
      <c r="B15" s="2865" t="s">
        <v>482</v>
      </c>
      <c r="C15" s="53">
        <f ca="1">ROUND(IF(B1="",SUMIF('数据-取费表'!C:C,"住宅",'数据-取费表'!P:P)*F15,IF(INDIRECT("'数据-取费表'!c"&amp;$K$1)="住宅",INDIRECT("'数据-取费表'!P"&amp;$K$1)*F15,0)),0)</f>
        <v>9363</v>
      </c>
      <c r="D15" s="2866"/>
      <c r="E15" s="2867"/>
      <c r="F15" s="2869">
        <f>'数据-取费表'!B34</f>
        <v>0.1</v>
      </c>
      <c r="G15" s="2834" t="s">
        <v>483</v>
      </c>
      <c r="H15" s="2835"/>
      <c r="I15" s="2835"/>
      <c r="J15" s="2835"/>
      <c r="K15" s="2836"/>
    </row>
    <row r="16" spans="1:31" s="2116" customFormat="1" ht="13.5" customHeight="1">
      <c r="A16" s="2864" t="s">
        <v>1853</v>
      </c>
      <c r="B16" s="2865" t="s">
        <v>484</v>
      </c>
      <c r="C16" s="53">
        <f ca="1">ROUND(D16*E16/10000,0)</f>
        <v>9873</v>
      </c>
      <c r="D16" s="2866">
        <f ca="1">IF(B1="",'数据-汇总表'!E3,INDIRECT("'数据-取费表'!K"&amp;$K$1)+INDIRECT("'数据-取费表'!S"&amp;$K$1))</f>
        <v>493630.89</v>
      </c>
      <c r="E16" s="53">
        <f>'数据-取费表'!B35</f>
        <v>200</v>
      </c>
      <c r="F16" s="2869"/>
      <c r="G16" s="2834"/>
      <c r="H16" s="2835"/>
      <c r="I16" s="2835"/>
      <c r="J16" s="2835"/>
      <c r="K16" s="2836"/>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4" t="s">
        <v>1854</v>
      </c>
      <c r="B17" s="2865" t="s">
        <v>485</v>
      </c>
      <c r="C17" s="2870">
        <f ca="1">ROUND(C13*F17,0)</f>
        <v>1829</v>
      </c>
      <c r="D17" s="474"/>
      <c r="E17" s="2870"/>
      <c r="F17" s="2871">
        <f>'数据-取费表'!B36</f>
        <v>1.4999999999999999E-2</v>
      </c>
      <c r="G17" s="260" t="s">
        <v>486</v>
      </c>
      <c r="H17" s="2837"/>
      <c r="I17" s="2837"/>
      <c r="J17" s="2837"/>
      <c r="K17" s="278"/>
    </row>
    <row r="18" spans="1:14" s="2115" customFormat="1" ht="13.5" customHeight="1">
      <c r="A18" s="2872" t="s">
        <v>1855</v>
      </c>
      <c r="B18" s="2873" t="s">
        <v>487</v>
      </c>
      <c r="C18" s="2874">
        <f ca="1">SUM(C13:C17)</f>
        <v>146652</v>
      </c>
      <c r="D18" s="2875"/>
      <c r="E18" s="467"/>
      <c r="F18" s="467"/>
      <c r="G18" s="2838" t="s">
        <v>2434</v>
      </c>
      <c r="H18" s="2839"/>
      <c r="I18" s="2839"/>
      <c r="J18" s="2839"/>
      <c r="K18" s="2840"/>
    </row>
    <row r="19" spans="1:14" s="2115" customFormat="1" ht="13.5" customHeight="1">
      <c r="A19" s="2872" t="s">
        <v>1856</v>
      </c>
      <c r="B19" s="2873" t="s">
        <v>488</v>
      </c>
      <c r="C19" s="2830">
        <f ca="1">ROUND(D19*E19/10000,0)</f>
        <v>0</v>
      </c>
      <c r="D19" s="2876">
        <f ca="1">D16</f>
        <v>493630.89</v>
      </c>
      <c r="E19" s="2830">
        <f>'数据-取费表'!B32</f>
        <v>0</v>
      </c>
      <c r="F19" s="467"/>
      <c r="G19" s="2834" t="s">
        <v>489</v>
      </c>
      <c r="H19" s="2835"/>
      <c r="I19" s="2839"/>
      <c r="J19" s="2839"/>
      <c r="K19" s="2840"/>
    </row>
    <row r="20" spans="1:14" s="2115" customFormat="1" ht="13.5" customHeight="1">
      <c r="A20" s="2872" t="s">
        <v>1857</v>
      </c>
      <c r="B20" s="2873" t="s">
        <v>490</v>
      </c>
      <c r="C20" s="2830">
        <f ca="1">C21+C22-IF(B1="",'数据-取费表'!B29,IF(G20="已全部缴纳",C21+C22,H20))</f>
        <v>2469</v>
      </c>
      <c r="D20" s="2876"/>
      <c r="E20" s="2830"/>
      <c r="F20" s="2877"/>
      <c r="G20" s="3110"/>
      <c r="H20" s="2832"/>
      <c r="I20" s="2833" t="s">
        <v>2657</v>
      </c>
      <c r="J20" s="2839"/>
      <c r="K20" s="2840"/>
    </row>
    <row r="21" spans="1:14" s="2115" customFormat="1" ht="13.5" customHeight="1">
      <c r="A21" s="2864" t="s">
        <v>1858</v>
      </c>
      <c r="B21" s="2865" t="s">
        <v>491</v>
      </c>
      <c r="C21" s="53">
        <f ca="1">ROUND(D21*E21/10000,0)</f>
        <v>1801</v>
      </c>
      <c r="D21" s="2866">
        <f ca="1">IF(B1="",'数据-汇总表'!E5,IF(INDIRECT("'数据-取费表'!c"&amp;$K$1)="住宅",INDIRECT("'数据-取费表'!k"&amp;$K$1),0))</f>
        <v>360128.49</v>
      </c>
      <c r="E21" s="53">
        <f>'数据-取费表'!B27</f>
        <v>50</v>
      </c>
      <c r="F21" s="2869"/>
      <c r="G21" s="26"/>
      <c r="H21" s="51"/>
      <c r="I21" s="51"/>
      <c r="J21" s="51"/>
      <c r="K21" s="2841"/>
    </row>
    <row r="22" spans="1:14" s="2115" customFormat="1" ht="13.5" customHeight="1">
      <c r="A22" s="2864" t="s">
        <v>1859</v>
      </c>
      <c r="B22" s="2865" t="s">
        <v>492</v>
      </c>
      <c r="C22" s="53">
        <f ca="1">ROUND(D22*E22/10000,0)</f>
        <v>668</v>
      </c>
      <c r="D22" s="2866">
        <f ca="1">IF(B1="",'数据-汇总表'!E6,IF(INDIRECT("'数据-取费表'!c"&amp;$K$1)="住宅",INDIRECT("'数据-取费表'!s"&amp;$K$1),INDIRECT("'数据-取费表'!k"&amp;$K$1)+INDIRECT("'数据-取费表'!s"&amp;$K$1)))</f>
        <v>133502.40000000002</v>
      </c>
      <c r="E22" s="53">
        <f>'数据-取费表'!B28</f>
        <v>50</v>
      </c>
      <c r="F22" s="2869"/>
      <c r="G22" s="26"/>
      <c r="H22" s="51"/>
      <c r="I22" s="51"/>
      <c r="J22" s="51"/>
      <c r="K22" s="2841"/>
    </row>
    <row r="23" spans="1:14" s="2115" customFormat="1" ht="13.5" customHeight="1">
      <c r="A23" s="2872" t="s">
        <v>1860</v>
      </c>
      <c r="B23" s="3056" t="s">
        <v>2840</v>
      </c>
      <c r="C23" s="2874">
        <f ca="1">ROUND((C18+C19+C20)*F23,0)</f>
        <v>2982</v>
      </c>
      <c r="D23" s="467"/>
      <c r="E23" s="467"/>
      <c r="F23" s="2878">
        <f>'数据-取费表'!B37</f>
        <v>0.02</v>
      </c>
      <c r="G23" s="2834" t="s">
        <v>2435</v>
      </c>
      <c r="H23" s="2835"/>
      <c r="I23" s="2835"/>
      <c r="J23" s="2835"/>
      <c r="K23" s="2836"/>
      <c r="L23" s="2117"/>
      <c r="M23" s="2117"/>
      <c r="N23" s="2117"/>
    </row>
    <row r="24" spans="1:14" s="2115" customFormat="1" ht="13.5" customHeight="1">
      <c r="A24" s="2872" t="s">
        <v>1861</v>
      </c>
      <c r="B24" s="3056" t="s">
        <v>2843</v>
      </c>
      <c r="C24" s="2874">
        <f ca="1">ROUND(C6*F24,0)</f>
        <v>8177</v>
      </c>
      <c r="D24" s="474"/>
      <c r="E24" s="472"/>
      <c r="F24" s="2878">
        <f>'数据-取费表'!B38</f>
        <v>0.02</v>
      </c>
      <c r="G24" s="2843" t="s">
        <v>499</v>
      </c>
      <c r="H24" s="2837"/>
      <c r="I24" s="2837"/>
      <c r="J24" s="2837"/>
      <c r="K24" s="278"/>
      <c r="L24" s="2117"/>
      <c r="M24" s="2117"/>
      <c r="N24" s="2117"/>
    </row>
    <row r="25" spans="1:14" s="2118" customFormat="1" ht="13.5" customHeight="1">
      <c r="A25" s="2872" t="s">
        <v>1862</v>
      </c>
      <c r="B25" s="3056" t="s">
        <v>2841</v>
      </c>
      <c r="C25" s="466">
        <f>ROUND(F25/(1+'数据-取费表'!C42),4)</f>
        <v>2.9000000000000001E-2</v>
      </c>
      <c r="D25" s="461" t="s">
        <v>2835</v>
      </c>
      <c r="E25" s="468"/>
      <c r="F25" s="2878">
        <f>'数据-取费表'!B48+'数据-取费表'!B49</f>
        <v>3.0499999999999999E-2</v>
      </c>
      <c r="G25" s="2842" t="s">
        <v>2292</v>
      </c>
      <c r="H25" s="2835"/>
      <c r="I25" s="2835"/>
      <c r="J25" s="2835"/>
      <c r="K25" s="2836"/>
    </row>
    <row r="26" spans="1:14" s="2117" customFormat="1" ht="13.5" customHeight="1">
      <c r="A26" s="2872" t="s">
        <v>1863</v>
      </c>
      <c r="B26" s="3057" t="s">
        <v>2842</v>
      </c>
      <c r="C26" s="2879">
        <f ca="1">C28</f>
        <v>9572</v>
      </c>
      <c r="D26" s="466">
        <f ca="1">C27</f>
        <v>0.12659999999999999</v>
      </c>
      <c r="E26" s="468" t="s">
        <v>495</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9"/>
      <c r="I26" s="2839"/>
      <c r="J26" s="2839"/>
      <c r="K26" s="2840"/>
    </row>
    <row r="27" spans="1:14" s="2119" customFormat="1" ht="13.5" customHeight="1">
      <c r="A27" s="802" t="s">
        <v>1858</v>
      </c>
      <c r="B27" s="2880" t="s">
        <v>496</v>
      </c>
      <c r="C27" s="2881">
        <f ca="1">ROUND(IF('数据-取费表'!B22&lt;=1,(1+C25)*F26*'数据-取费表'!B24,(1+C25)*(POWER((1+F26),'数据-取费表'!B24)-1)),4)</f>
        <v>0.12659999999999999</v>
      </c>
      <c r="D27" s="471"/>
      <c r="E27" s="472"/>
      <c r="F27" s="473"/>
      <c r="G27" s="2593" t="str">
        <f>IF('数据-取费表'!B22&lt;=1,"（1+取得税费率/(1+5%)）×年利率×建设期","（1+取得税费率）/(1+5%)×((1+年利率)^建设期-1)")</f>
        <v>（1+取得税费率）/(1+5%)×((1+年利率)^建设期-1)</v>
      </c>
      <c r="H27" s="2837"/>
      <c r="I27" s="2837"/>
      <c r="J27" s="2837"/>
      <c r="K27" s="278"/>
    </row>
    <row r="28" spans="1:14" s="2119" customFormat="1" ht="13.5" customHeight="1">
      <c r="A28" s="802" t="s">
        <v>1859</v>
      </c>
      <c r="B28" s="2880" t="s">
        <v>2844</v>
      </c>
      <c r="C28" s="2882">
        <f ca="1">ROUND(IF('数据-取费表'!B22&lt;=1,(C18+C19+C20+C23+C24)*F26*'数据-取费表'!B24/2,(C18+C19+C20+C23+C24)*(POWER((1+F26),'数据-取费表'!B24/2)-1)),0)</f>
        <v>9572</v>
      </c>
      <c r="D28" s="471"/>
      <c r="E28" s="472"/>
      <c r="F28" s="473"/>
      <c r="G28" s="2593" t="str">
        <f>IF('数据-取费表'!B22&lt;=1,"（1）-（4）项×年利率×建设期÷2","（1）-（4）项×((1+年利率)^(建设期÷2)-1)")</f>
        <v>（1）-（4）项×((1+年利率)^(建设期÷2)-1)</v>
      </c>
      <c r="H28" s="2837"/>
      <c r="I28" s="2837"/>
      <c r="J28" s="2837"/>
      <c r="K28" s="278"/>
    </row>
    <row r="29" spans="1:14" s="2119" customFormat="1" ht="13.5" customHeight="1">
      <c r="A29" s="2883" t="s">
        <v>1864</v>
      </c>
      <c r="B29" s="2873" t="s">
        <v>497</v>
      </c>
      <c r="C29" s="2874">
        <f ca="1">ROUND(C6*F29/(1+'数据-取费表'!C42),0)</f>
        <v>21416</v>
      </c>
      <c r="D29" s="467"/>
      <c r="E29" s="467"/>
      <c r="F29" s="3058">
        <f>'数据-取费表'!B41</f>
        <v>5.5000000000000007E-2</v>
      </c>
      <c r="G29" s="2843" t="s">
        <v>498</v>
      </c>
      <c r="H29" s="2835"/>
      <c r="I29" s="2835"/>
      <c r="J29" s="2835"/>
      <c r="K29" s="2836"/>
    </row>
    <row r="30" spans="1:14" s="2120" customFormat="1" ht="13.5" customHeight="1">
      <c r="A30" s="1634" t="s">
        <v>1865</v>
      </c>
      <c r="B30" s="2884" t="s">
        <v>500</v>
      </c>
      <c r="C30" s="2879">
        <f ca="1">C31</f>
        <v>191268</v>
      </c>
      <c r="D30" s="476">
        <f ca="1">C32</f>
        <v>0.15559999999999999</v>
      </c>
      <c r="E30" s="468" t="s">
        <v>495</v>
      </c>
      <c r="F30" s="470"/>
      <c r="G30" s="2834" t="s">
        <v>501</v>
      </c>
      <c r="H30" s="2835"/>
      <c r="I30" s="2835"/>
      <c r="J30" s="2835"/>
      <c r="K30" s="2836"/>
    </row>
    <row r="31" spans="1:14" s="2119" customFormat="1" ht="13.5" customHeight="1">
      <c r="A31" s="802" t="s">
        <v>1858</v>
      </c>
      <c r="B31" s="2880"/>
      <c r="C31" s="449">
        <f ca="1">C18+C19+C20+C23+C24+C26+C29</f>
        <v>191268</v>
      </c>
      <c r="D31" s="471"/>
      <c r="E31" s="472"/>
      <c r="F31" s="473"/>
      <c r="G31" s="260"/>
      <c r="H31" s="2837"/>
      <c r="I31" s="2837"/>
      <c r="J31" s="2837"/>
      <c r="K31" s="278"/>
    </row>
    <row r="32" spans="1:14" s="2119" customFormat="1" ht="13.5" customHeight="1">
      <c r="A32" s="802" t="s">
        <v>1859</v>
      </c>
      <c r="B32" s="2880"/>
      <c r="C32" s="53">
        <f ca="1">ROUND(C25+D26,4)</f>
        <v>0.15559999999999999</v>
      </c>
      <c r="D32" s="471"/>
      <c r="E32" s="472"/>
      <c r="F32" s="473"/>
      <c r="G32" s="260"/>
      <c r="H32" s="2837"/>
      <c r="I32" s="2837"/>
      <c r="J32" s="2837"/>
      <c r="K32" s="278"/>
    </row>
    <row r="33" spans="1:11" s="2121" customFormat="1" ht="13.5" customHeight="1">
      <c r="A33" s="3055" t="s">
        <v>2839</v>
      </c>
      <c r="B33" s="3053" t="s">
        <v>2837</v>
      </c>
      <c r="C33" s="477">
        <f ca="1">C35</f>
        <v>19234</v>
      </c>
      <c r="D33" s="466">
        <f ca="1">C34</f>
        <v>0.1235</v>
      </c>
      <c r="E33" s="468" t="s">
        <v>495</v>
      </c>
      <c r="F33" s="478">
        <f ca="1">IF(B1="",'数据-取费表'!Q16,INDIRECT("'数据-取费表'!q"&amp;$K$1))</f>
        <v>0.12</v>
      </c>
      <c r="G33" s="2838"/>
      <c r="H33" s="2839"/>
      <c r="I33" s="2839"/>
      <c r="J33" s="2839"/>
      <c r="K33" s="2840"/>
    </row>
    <row r="34" spans="1:11" s="2122" customFormat="1" ht="13.5" customHeight="1">
      <c r="A34" s="374" t="s">
        <v>1858</v>
      </c>
      <c r="B34" s="2885" t="s">
        <v>502</v>
      </c>
      <c r="C34" s="471">
        <f ca="1">ROUND((1+C25)*F33,4)</f>
        <v>0.1235</v>
      </c>
      <c r="D34" s="471"/>
      <c r="E34" s="472"/>
      <c r="F34" s="479"/>
      <c r="G34" s="260" t="s">
        <v>2293</v>
      </c>
      <c r="H34" s="2837"/>
      <c r="I34" s="2837"/>
      <c r="J34" s="2837"/>
      <c r="K34" s="278"/>
    </row>
    <row r="35" spans="1:11" s="2122" customFormat="1" ht="13.5" customHeight="1" thickBot="1">
      <c r="A35" s="1635" t="s">
        <v>1859</v>
      </c>
      <c r="B35" s="3054" t="s">
        <v>2845</v>
      </c>
      <c r="C35" s="1627">
        <f ca="1">ROUND((C18+C19+C20+C23+C24)*F33,0)</f>
        <v>19234</v>
      </c>
      <c r="D35" s="1628"/>
      <c r="E35" s="2886"/>
      <c r="F35" s="1629"/>
      <c r="G35" s="2844"/>
      <c r="H35" s="2845"/>
      <c r="I35" s="2845"/>
      <c r="J35" s="2845"/>
      <c r="K35" s="2846"/>
    </row>
    <row r="36" spans="1:11" s="2084" customFormat="1" ht="13.5" customHeight="1" thickBot="1">
      <c r="A36" s="283" t="s">
        <v>1846</v>
      </c>
      <c r="B36" s="2848"/>
      <c r="C36" s="2887">
        <f ca="1">ROUND((C6-C30-C33)/(1+D30+D33),0)</f>
        <v>155064</v>
      </c>
      <c r="D36" s="2848"/>
      <c r="E36" s="2848"/>
      <c r="F36" s="2848"/>
      <c r="G36" s="2847" t="s">
        <v>2846</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1"/>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1686</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2658</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1850</v>
      </c>
      <c r="B13" s="448" t="s">
        <v>479</v>
      </c>
      <c r="C13" s="449">
        <f ca="1">IF(B1="",'数据-取费表'!M16,INDIRECT("'数据-取费表'!M"&amp;$K$1)+INDIRECT("'数据-取费表'!t"&amp;$K$1))</f>
        <v>121929</v>
      </c>
      <c r="D13" s="450"/>
      <c r="E13" s="364"/>
      <c r="F13" s="451"/>
      <c r="G13" s="443"/>
      <c r="H13" s="446"/>
      <c r="I13" s="446"/>
      <c r="J13" s="446"/>
      <c r="K13" s="447"/>
    </row>
    <row r="14" spans="1:41" s="2115" customFormat="1" ht="13.5" customHeight="1">
      <c r="A14" s="1632" t="s">
        <v>1851</v>
      </c>
      <c r="B14" s="448" t="s">
        <v>480</v>
      </c>
      <c r="C14" s="53">
        <f ca="1">ROUND(C13*F14,0)</f>
        <v>3658</v>
      </c>
      <c r="D14" s="450"/>
      <c r="E14" s="364"/>
      <c r="F14" s="452">
        <f>'数据-取费表'!B33</f>
        <v>0.03</v>
      </c>
      <c r="G14" s="443" t="s">
        <v>503</v>
      </c>
      <c r="H14" s="446"/>
      <c r="I14" s="446"/>
      <c r="J14" s="446"/>
      <c r="K14" s="447"/>
    </row>
    <row r="15" spans="1:41" s="2115" customFormat="1" ht="13.5" customHeight="1">
      <c r="A15" s="1632" t="s">
        <v>1852</v>
      </c>
      <c r="B15" s="448" t="s">
        <v>482</v>
      </c>
      <c r="C15" s="53">
        <f ca="1">ROUND(IF(B1="",SUMIF('数据-取费表'!C:C,"住宅",'数据-取费表'!M:M)*F15,IF(INDIRECT("'数据-取费表'!c"&amp;$K$1)="住宅",INDIRECT("'数据-取费表'!M"&amp;$K$1)*F15,0)),0)</f>
        <v>9363</v>
      </c>
      <c r="D15" s="450"/>
      <c r="E15" s="364"/>
      <c r="F15" s="452">
        <f>'数据-取费表'!B34</f>
        <v>0.1</v>
      </c>
      <c r="G15" s="443" t="s">
        <v>503</v>
      </c>
      <c r="H15" s="446"/>
      <c r="I15" s="446"/>
      <c r="J15" s="446"/>
      <c r="K15" s="447"/>
    </row>
    <row r="16" spans="1:41" s="2116" customFormat="1" ht="13.5" customHeight="1">
      <c r="A16" s="1632" t="s">
        <v>1853</v>
      </c>
      <c r="B16" s="448" t="s">
        <v>484</v>
      </c>
      <c r="C16" s="53">
        <f ca="1">ROUND(D16*E16/10000,0)</f>
        <v>9873</v>
      </c>
      <c r="D16" s="450">
        <f ca="1">IF(B1="",'数据-汇总表'!E3,INDIRECT("'数据-取费表'!K"&amp;$K$1)+INDIRECT("'数据-取费表'!S"&amp;$K$1))</f>
        <v>493630.89</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48" t="s">
        <v>485</v>
      </c>
      <c r="C17" s="453">
        <f ca="1">ROUND(C13*F17,0)</f>
        <v>1829</v>
      </c>
      <c r="D17" s="454"/>
      <c r="E17" s="453"/>
      <c r="F17" s="455">
        <f>'数据-取费表'!B36</f>
        <v>1.4999999999999999E-2</v>
      </c>
      <c r="G17" s="443" t="s">
        <v>503</v>
      </c>
      <c r="H17" s="456"/>
      <c r="I17" s="456"/>
      <c r="J17" s="456"/>
      <c r="K17" s="457"/>
    </row>
    <row r="18" spans="1:14" s="2118" customFormat="1" ht="13.5" customHeight="1">
      <c r="A18" s="1633" t="s">
        <v>1855</v>
      </c>
      <c r="B18" s="458" t="s">
        <v>487</v>
      </c>
      <c r="C18" s="459">
        <f ca="1">SUM(C13:C17)</f>
        <v>146652</v>
      </c>
      <c r="D18" s="460"/>
      <c r="E18" s="461"/>
      <c r="F18" s="461"/>
      <c r="G18" s="1325" t="s">
        <v>2436</v>
      </c>
      <c r="H18" s="446"/>
      <c r="I18" s="446"/>
      <c r="J18" s="446"/>
      <c r="K18" s="447"/>
    </row>
    <row r="19" spans="1:14" s="2118" customFormat="1" ht="13.5" customHeight="1">
      <c r="A19" s="1633" t="s">
        <v>1856</v>
      </c>
      <c r="B19" s="458" t="s">
        <v>493</v>
      </c>
      <c r="C19" s="459">
        <f ca="1">ROUND(C18*F19,0)</f>
        <v>2933</v>
      </c>
      <c r="D19" s="461"/>
      <c r="E19" s="461"/>
      <c r="F19" s="465">
        <f>'数据-取费表'!B37</f>
        <v>0.02</v>
      </c>
      <c r="G19" s="443" t="s">
        <v>504</v>
      </c>
      <c r="H19" s="446"/>
      <c r="I19" s="446"/>
      <c r="J19" s="446"/>
      <c r="K19" s="447"/>
      <c r="L19" s="2120"/>
      <c r="M19" s="2120"/>
      <c r="N19" s="2120"/>
    </row>
    <row r="20" spans="1:14" s="2118" customFormat="1" ht="13.5" customHeight="1">
      <c r="A20" s="1633" t="s">
        <v>1857</v>
      </c>
      <c r="B20" s="458" t="s">
        <v>505</v>
      </c>
      <c r="C20" s="3051">
        <f>F20</f>
        <v>0.02</v>
      </c>
      <c r="D20" s="468" t="s">
        <v>506</v>
      </c>
      <c r="E20" s="468"/>
      <c r="F20" s="485">
        <f>'数据-取费表'!B38</f>
        <v>0.02</v>
      </c>
      <c r="G20" s="1325" t="s">
        <v>507</v>
      </c>
      <c r="H20" s="446"/>
      <c r="I20" s="446"/>
      <c r="J20" s="446"/>
      <c r="K20" s="447"/>
      <c r="L20" s="2120"/>
      <c r="M20" s="2120"/>
      <c r="N20" s="2120"/>
    </row>
    <row r="21" spans="1:14" s="2120" customFormat="1" ht="13.5" customHeight="1">
      <c r="A21" s="1633" t="s">
        <v>1860</v>
      </c>
      <c r="B21" s="460" t="s">
        <v>494</v>
      </c>
      <c r="C21" s="469">
        <f ca="1">C22</f>
        <v>8934</v>
      </c>
      <c r="D21" s="466">
        <f ca="1">C23</f>
        <v>1.1999999999999999E-3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2458</v>
      </c>
    </row>
    <row r="22" spans="1:14" s="2119" customFormat="1" ht="13.5" customHeight="1">
      <c r="A22" s="1632" t="s">
        <v>1850</v>
      </c>
      <c r="B22" s="1326" t="s">
        <v>2439</v>
      </c>
      <c r="C22" s="486">
        <f ca="1">ROUND(IF('数据-取费表'!B22&lt;=1,(C18+C19)*F21*'数据-取费表'!B20/2,(C18+C19)*(POWER((1+F21),'数据-取费表'!B20/2)-1)),0)</f>
        <v>8934</v>
      </c>
      <c r="D22" s="471"/>
      <c r="E22" s="472"/>
      <c r="F22" s="473"/>
      <c r="G22" s="2588" t="str">
        <f>IF('数据-取费表'!B22&lt;=1,"((1)+(2))×年利率×建设期÷2","((1)+(2))×((1+年利率)^(建设期÷2)-1)")</f>
        <v>((1)+(2))×((1+年利率)^(建设期÷2)-1)</v>
      </c>
      <c r="H22" s="456"/>
      <c r="I22" s="456"/>
      <c r="J22" s="456"/>
      <c r="K22" s="457"/>
    </row>
    <row r="23" spans="1:14" s="2119" customFormat="1" ht="13.5" customHeight="1">
      <c r="A23" s="1632" t="s">
        <v>1851</v>
      </c>
      <c r="B23" s="1326" t="s">
        <v>509</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9" customFormat="1" ht="13.5" customHeight="1">
      <c r="A24" s="1633" t="s">
        <v>1861</v>
      </c>
      <c r="B24" s="3053" t="s">
        <v>2838</v>
      </c>
      <c r="C24" s="477">
        <f ca="1">C25</f>
        <v>17950</v>
      </c>
      <c r="D24" s="488">
        <f ca="1">C26</f>
        <v>2.3999999999999998E-3</v>
      </c>
      <c r="E24" s="468" t="s">
        <v>508</v>
      </c>
      <c r="F24" s="478">
        <f ca="1">IF(B1="",'数据-取费表'!Q16,INDIRECT("'数据-取费表'!q"&amp;$K$1))</f>
        <v>0.12</v>
      </c>
      <c r="G24" s="443"/>
      <c r="H24" s="446"/>
      <c r="I24" s="446"/>
      <c r="J24" s="446"/>
      <c r="K24" s="447"/>
    </row>
    <row r="25" spans="1:14" s="2119" customFormat="1" ht="13.5" customHeight="1">
      <c r="A25" s="1632" t="s">
        <v>1850</v>
      </c>
      <c r="B25" s="1326" t="s">
        <v>2440</v>
      </c>
      <c r="C25" s="489">
        <f ca="1">ROUND((C18+C19)*F24,0)</f>
        <v>17950</v>
      </c>
      <c r="D25" s="471"/>
      <c r="E25" s="472"/>
      <c r="F25" s="479"/>
      <c r="G25" s="1324" t="s">
        <v>2437</v>
      </c>
      <c r="H25" s="456"/>
      <c r="I25" s="456"/>
      <c r="J25" s="456"/>
      <c r="K25" s="457"/>
    </row>
    <row r="26" spans="1:14" s="2119" customFormat="1" ht="13.5" customHeight="1">
      <c r="A26" s="1632" t="s">
        <v>1851</v>
      </c>
      <c r="B26" s="1326" t="s">
        <v>510</v>
      </c>
      <c r="C26" s="490">
        <f ca="1">ROUND(F20*F24,4)</f>
        <v>2.3999999999999998E-3</v>
      </c>
      <c r="D26" s="471"/>
      <c r="E26" s="480"/>
      <c r="F26" s="479"/>
      <c r="G26" s="1324" t="s">
        <v>511</v>
      </c>
      <c r="H26" s="456"/>
      <c r="I26" s="456"/>
      <c r="J26" s="456"/>
      <c r="K26" s="457"/>
    </row>
    <row r="27" spans="1:14" s="2119" customFormat="1" ht="13.5" customHeight="1">
      <c r="A27" s="1636" t="s">
        <v>1869</v>
      </c>
      <c r="B27" s="458" t="s">
        <v>512</v>
      </c>
      <c r="C27" s="3052">
        <f>ROUND(F27/(1+'数据-取费表'!C42),4)</f>
        <v>5.2400000000000002E-2</v>
      </c>
      <c r="D27" s="461" t="s">
        <v>2836</v>
      </c>
      <c r="E27" s="461"/>
      <c r="F27" s="465">
        <f>'数据-取费表'!B41</f>
        <v>5.5000000000000007E-2</v>
      </c>
      <c r="G27" s="1959" t="s">
        <v>2294</v>
      </c>
      <c r="H27" s="446"/>
      <c r="I27" s="446"/>
      <c r="J27" s="446"/>
      <c r="K27" s="447"/>
    </row>
    <row r="28" spans="1:14" s="2120" customFormat="1" ht="13.5" customHeight="1">
      <c r="A28" s="1636" t="s">
        <v>1870</v>
      </c>
      <c r="B28" s="475" t="s">
        <v>513</v>
      </c>
      <c r="C28" s="469">
        <f ca="1">ROUND((C18+C19+C21+C24)/(1-C20-D21-D24-C27),0)</f>
        <v>190984</v>
      </c>
      <c r="D28" s="476"/>
      <c r="E28" s="468"/>
      <c r="F28" s="470"/>
      <c r="G28" s="1325" t="s">
        <v>2438</v>
      </c>
      <c r="H28" s="446"/>
      <c r="I28" s="446"/>
      <c r="J28" s="446"/>
      <c r="K28" s="447"/>
    </row>
    <row r="29" spans="1:14" s="2120" customFormat="1" ht="13.5" customHeight="1">
      <c r="A29" s="1636" t="s">
        <v>1871</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7" t="s">
        <v>516</v>
      </c>
      <c r="H30" s="495"/>
      <c r="I30" s="495"/>
      <c r="J30" s="446"/>
      <c r="K30" s="447"/>
    </row>
    <row r="31" spans="1:14" s="2125" customFormat="1" ht="13.5" customHeight="1">
      <c r="A31" s="2503" t="s">
        <v>1867</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4" t="s">
        <v>2459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2644" t="s">
        <v>720</v>
      </c>
      <c r="C1" s="2645" t="s">
        <v>721</v>
      </c>
      <c r="D1" s="2646" t="s">
        <v>924</v>
      </c>
      <c r="E1" s="2647"/>
      <c r="F1" s="2829" t="s">
        <v>3242</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3">
        <f>ROUND(B3*D3/10000,0)</f>
        <v>363982</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520</v>
      </c>
      <c r="B3" s="850">
        <f>C49</f>
        <v>10107</v>
      </c>
      <c r="C3" s="851" t="s">
        <v>723</v>
      </c>
      <c r="D3" s="850">
        <f>SUMIF('数据-汇总表'!$C19:$C33,D1,'数据-汇总表'!$E19:$E33)</f>
        <v>360128.49</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522</v>
      </c>
      <c r="B4" s="512"/>
      <c r="C4" s="3705" t="s">
        <v>523</v>
      </c>
      <c r="D4" s="3706"/>
      <c r="E4" s="3729" t="s">
        <v>524</v>
      </c>
      <c r="F4" s="3730"/>
      <c r="G4" s="3705" t="s">
        <v>525</v>
      </c>
      <c r="H4" s="3706"/>
      <c r="I4" s="3705" t="s">
        <v>526</v>
      </c>
      <c r="J4" s="3706"/>
      <c r="K4" s="852" t="s">
        <v>527</v>
      </c>
      <c r="L4" s="2132"/>
      <c r="M4" s="2133"/>
      <c r="N4" s="2133"/>
      <c r="O4" s="2133"/>
      <c r="P4" s="3707" t="s">
        <v>528</v>
      </c>
      <c r="Q4" s="3708"/>
      <c r="R4" s="3693" t="s">
        <v>524</v>
      </c>
      <c r="S4" s="3694"/>
      <c r="T4" s="3693" t="s">
        <v>525</v>
      </c>
      <c r="U4" s="3694"/>
      <c r="V4" s="3713" t="s">
        <v>526</v>
      </c>
      <c r="W4" s="3713"/>
      <c r="X4" s="1566"/>
      <c r="Y4" s="3693" t="s">
        <v>528</v>
      </c>
      <c r="Z4" s="3694"/>
      <c r="AA4" s="3688" t="s">
        <v>524</v>
      </c>
      <c r="AB4" s="3688" t="s">
        <v>525</v>
      </c>
      <c r="AC4" s="3688" t="s">
        <v>526</v>
      </c>
    </row>
    <row r="5" spans="1:29" ht="15">
      <c r="A5" s="514"/>
      <c r="B5" s="515"/>
      <c r="C5" s="3726" t="s">
        <v>3239</v>
      </c>
      <c r="D5" s="3717"/>
      <c r="E5" s="3724" t="s">
        <v>3240</v>
      </c>
      <c r="F5" s="3725"/>
      <c r="G5" s="3726" t="s">
        <v>3241</v>
      </c>
      <c r="H5" s="3717"/>
      <c r="I5" s="3726" t="s">
        <v>3460</v>
      </c>
      <c r="J5" s="3717"/>
      <c r="K5" s="853"/>
      <c r="L5" s="2132"/>
      <c r="M5" s="2133"/>
      <c r="N5" s="2133"/>
      <c r="O5" s="2133"/>
      <c r="P5" s="3709"/>
      <c r="Q5" s="3710"/>
      <c r="R5" s="3695"/>
      <c r="S5" s="3696"/>
      <c r="T5" s="3695"/>
      <c r="U5" s="3696"/>
      <c r="V5" s="3713"/>
      <c r="W5" s="3713"/>
      <c r="X5" s="1566"/>
      <c r="Y5" s="3695"/>
      <c r="Z5" s="3696"/>
      <c r="AA5" s="3689"/>
      <c r="AB5" s="3689"/>
      <c r="AC5" s="3689"/>
    </row>
    <row r="6" spans="1:29" ht="15.75" thickBot="1">
      <c r="A6" s="516"/>
      <c r="B6" s="517"/>
      <c r="C6" s="3714" t="s">
        <v>2937</v>
      </c>
      <c r="D6" s="3715"/>
      <c r="E6" s="3727" t="s">
        <v>2937</v>
      </c>
      <c r="F6" s="3728"/>
      <c r="G6" s="3714" t="s">
        <v>2937</v>
      </c>
      <c r="H6" s="3715"/>
      <c r="I6" s="3714" t="s">
        <v>2937</v>
      </c>
      <c r="J6" s="3715"/>
      <c r="K6" s="853" t="s">
        <v>529</v>
      </c>
      <c r="L6" s="2132"/>
      <c r="M6" s="2133"/>
      <c r="N6" s="2133"/>
      <c r="O6" s="2133"/>
      <c r="P6" s="3711"/>
      <c r="Q6" s="3712"/>
      <c r="R6" s="3695"/>
      <c r="S6" s="3696"/>
      <c r="T6" s="3697"/>
      <c r="U6" s="3698"/>
      <c r="V6" s="3713"/>
      <c r="W6" s="3713"/>
      <c r="X6" s="1566"/>
      <c r="Y6" s="3697"/>
      <c r="Z6" s="3698"/>
      <c r="AA6" s="3690"/>
      <c r="AB6" s="3690"/>
      <c r="AC6" s="3690"/>
    </row>
    <row r="7" spans="1:29" s="1218" customFormat="1" ht="15.75" thickBot="1">
      <c r="A7" s="2933"/>
      <c r="B7" s="2940" t="s">
        <v>530</v>
      </c>
      <c r="C7" s="518">
        <f>'数据-取费表'!B2</f>
        <v>43206</v>
      </c>
      <c r="D7" s="519">
        <v>100</v>
      </c>
      <c r="E7" s="520">
        <f>C7</f>
        <v>43206</v>
      </c>
      <c r="F7" s="521">
        <f>SUMIF(58:58,YEAR(E7)&amp;"-"&amp;MONTH(E7),59:59)</f>
        <v>100</v>
      </c>
      <c r="G7" s="522">
        <f>C7</f>
        <v>43206</v>
      </c>
      <c r="H7" s="519">
        <f>SUMIF(58:58,YEAR(G7)&amp;"-"&amp;MONTH(G7),59:59)</f>
        <v>100</v>
      </c>
      <c r="I7" s="522">
        <f>C7</f>
        <v>43206</v>
      </c>
      <c r="J7" s="519">
        <f>SUMIF(58:58,YEAR(I7)&amp;"-"&amp;MONTH(I7),59:59)</f>
        <v>100</v>
      </c>
      <c r="K7" s="854"/>
      <c r="L7" s="2134"/>
      <c r="M7" s="2135"/>
      <c r="N7" s="2135"/>
      <c r="O7" s="2135"/>
      <c r="P7" s="3691" t="s">
        <v>531</v>
      </c>
      <c r="Q7" s="3700"/>
      <c r="R7" s="1567" t="s">
        <v>13</v>
      </c>
      <c r="S7" s="1568">
        <f t="shared" ref="S7:S15" si="0">F7</f>
        <v>100</v>
      </c>
      <c r="T7" s="1567" t="s">
        <v>13</v>
      </c>
      <c r="U7" s="1568">
        <f t="shared" ref="U7:U15" si="1">H7</f>
        <v>100</v>
      </c>
      <c r="V7" s="1567" t="s">
        <v>13</v>
      </c>
      <c r="W7" s="1568">
        <f t="shared" ref="W7:W15" si="2">J7</f>
        <v>100</v>
      </c>
      <c r="X7" s="1569"/>
      <c r="Y7" s="3691" t="s">
        <v>531</v>
      </c>
      <c r="Z7" s="3692"/>
      <c r="AA7" s="1570">
        <f>D7/F7</f>
        <v>1</v>
      </c>
      <c r="AB7" s="1570">
        <f>D7/H7</f>
        <v>1</v>
      </c>
      <c r="AC7" s="1570">
        <f>D7/J7</f>
        <v>1</v>
      </c>
    </row>
    <row r="8" spans="1:29" s="1218" customFormat="1" ht="15.75" thickBot="1">
      <c r="A8" s="2934"/>
      <c r="B8" s="2941" t="s">
        <v>532</v>
      </c>
      <c r="C8" s="524" t="s">
        <v>577</v>
      </c>
      <c r="D8" s="519">
        <v>100</v>
      </c>
      <c r="E8" s="855" t="s">
        <v>3244</v>
      </c>
      <c r="F8" s="521">
        <f>SUMIF(61:61,E8,62:62)-SUMIF(61:61,C8,62:62)+100</f>
        <v>100</v>
      </c>
      <c r="G8" s="524" t="s">
        <v>3244</v>
      </c>
      <c r="H8" s="519">
        <f>SUMIF(61:61,G8,62:62)-SUMIF(61:61,C8,62:62)+100</f>
        <v>100</v>
      </c>
      <c r="I8" s="855" t="s">
        <v>3244</v>
      </c>
      <c r="J8" s="519">
        <f>SUMIF(61:61,I8,62:62)-SUMIF(61:61,C8,62:62)+100</f>
        <v>100</v>
      </c>
      <c r="K8" s="854"/>
      <c r="L8" s="2134"/>
      <c r="M8" s="2135"/>
      <c r="N8" s="2135"/>
      <c r="O8" s="2135"/>
      <c r="P8" s="3691" t="s">
        <v>534</v>
      </c>
      <c r="Q8" s="3692"/>
      <c r="R8" s="1567" t="s">
        <v>13</v>
      </c>
      <c r="S8" s="1568">
        <f t="shared" si="0"/>
        <v>100</v>
      </c>
      <c r="T8" s="1567" t="s">
        <v>13</v>
      </c>
      <c r="U8" s="1568">
        <f t="shared" si="1"/>
        <v>100</v>
      </c>
      <c r="V8" s="1567" t="s">
        <v>13</v>
      </c>
      <c r="W8" s="1568">
        <f t="shared" si="2"/>
        <v>100</v>
      </c>
      <c r="X8" s="1569"/>
      <c r="Y8" s="3691" t="s">
        <v>534</v>
      </c>
      <c r="Z8" s="3692"/>
      <c r="AA8" s="1570">
        <f t="shared" ref="AA8:AA46" si="3">D8/F8</f>
        <v>1</v>
      </c>
      <c r="AB8" s="1570">
        <f t="shared" ref="AB8:AB46" si="4">D8/H8</f>
        <v>1</v>
      </c>
      <c r="AC8" s="1570">
        <f t="shared" ref="AC8:AC46" si="5">D8/J8</f>
        <v>1</v>
      </c>
    </row>
    <row r="9" spans="1:29" s="1218" customFormat="1" ht="15">
      <c r="A9" s="2935"/>
      <c r="B9" s="2942" t="s">
        <v>2762</v>
      </c>
      <c r="C9" s="3474" t="s">
        <v>3243</v>
      </c>
      <c r="D9" s="253">
        <v>100</v>
      </c>
      <c r="E9" s="857" t="s">
        <v>924</v>
      </c>
      <c r="F9" s="858">
        <f>SUMIF(63:63,E9,64:64)-SUMIF(63:63,C9,64:64)+100</f>
        <v>100</v>
      </c>
      <c r="G9" s="859" t="s">
        <v>924</v>
      </c>
      <c r="H9" s="253">
        <f>SUMIF(63:63,G9,64:64)-SUMIF(63:63,C9,64:64)+100</f>
        <v>100</v>
      </c>
      <c r="I9" s="859" t="s">
        <v>924</v>
      </c>
      <c r="J9" s="253">
        <f>SUMIF(63:63,I9,64:64)-SUMIF(63:63,C9,64:64)+100</f>
        <v>100</v>
      </c>
      <c r="K9" s="854"/>
      <c r="L9" s="2134"/>
      <c r="M9" s="2135"/>
      <c r="N9" s="2135"/>
      <c r="O9" s="2136"/>
      <c r="P9" s="3699" t="s">
        <v>536</v>
      </c>
      <c r="Q9" s="1149" t="str">
        <f t="shared" ref="Q9:Q15" si="6">B9</f>
        <v>用途</v>
      </c>
      <c r="R9" s="1567" t="s">
        <v>8</v>
      </c>
      <c r="S9" s="1568">
        <f t="shared" si="0"/>
        <v>100</v>
      </c>
      <c r="T9" s="1567" t="s">
        <v>8</v>
      </c>
      <c r="U9" s="1568">
        <f t="shared" si="1"/>
        <v>100</v>
      </c>
      <c r="V9" s="1567" t="s">
        <v>8</v>
      </c>
      <c r="W9" s="1568">
        <f t="shared" si="2"/>
        <v>100</v>
      </c>
      <c r="X9" s="1569"/>
      <c r="Y9" s="3656" t="s">
        <v>537</v>
      </c>
      <c r="Z9" s="1148" t="str">
        <f t="shared" ref="Z9:Z15" si="7">Q9</f>
        <v>用途</v>
      </c>
      <c r="AA9" s="1570">
        <f t="shared" si="3"/>
        <v>1</v>
      </c>
      <c r="AB9" s="1570">
        <f t="shared" si="4"/>
        <v>1</v>
      </c>
      <c r="AC9" s="1570">
        <f t="shared" si="5"/>
        <v>1</v>
      </c>
    </row>
    <row r="10" spans="1:29" s="1336" customFormat="1" ht="27">
      <c r="A10" s="2936"/>
      <c r="B10" s="2941" t="s">
        <v>2763</v>
      </c>
      <c r="C10" s="860" t="s">
        <v>3269</v>
      </c>
      <c r="D10" s="254">
        <v>100</v>
      </c>
      <c r="E10" s="861" t="s">
        <v>3269</v>
      </c>
      <c r="F10" s="862">
        <f>SUMIF(65:65,E10,66:66)-SUMIF(65:65,C10,66:66)+100</f>
        <v>100</v>
      </c>
      <c r="G10" s="860" t="s">
        <v>3269</v>
      </c>
      <c r="H10" s="254">
        <f>SUMIF(65:65,G10,66:66)-SUMIF(65:65,C10,66:66)+100</f>
        <v>100</v>
      </c>
      <c r="I10" s="860" t="s">
        <v>3269</v>
      </c>
      <c r="J10" s="254">
        <f>SUMIF(65:65,I10,66:66)-SUMIF(65:65,C10,66:66)+100</f>
        <v>100</v>
      </c>
      <c r="K10" s="863">
        <v>2</v>
      </c>
      <c r="L10" s="2137"/>
      <c r="M10" s="2177"/>
      <c r="N10" s="2177"/>
      <c r="O10" s="2138"/>
      <c r="P10" s="3699"/>
      <c r="Q10" s="1149" t="str">
        <f t="shared" si="6"/>
        <v>土地使用年限（年）</v>
      </c>
      <c r="R10" s="1567" t="s">
        <v>8</v>
      </c>
      <c r="S10" s="1568">
        <f t="shared" si="0"/>
        <v>100</v>
      </c>
      <c r="T10" s="1567" t="s">
        <v>8</v>
      </c>
      <c r="U10" s="1568">
        <f t="shared" si="1"/>
        <v>100</v>
      </c>
      <c r="V10" s="1567" t="s">
        <v>8</v>
      </c>
      <c r="W10" s="1568">
        <f t="shared" si="2"/>
        <v>100</v>
      </c>
      <c r="X10" s="1569"/>
      <c r="Y10" s="3656"/>
      <c r="Z10" s="1148" t="str">
        <f t="shared" si="7"/>
        <v>土地使用年限（年）</v>
      </c>
      <c r="AA10" s="1570">
        <f t="shared" si="3"/>
        <v>1</v>
      </c>
      <c r="AB10" s="1570">
        <f t="shared" si="4"/>
        <v>1</v>
      </c>
      <c r="AC10" s="1570">
        <f t="shared" si="5"/>
        <v>1</v>
      </c>
    </row>
    <row r="11" spans="1:29" ht="15">
      <c r="A11" s="2937"/>
      <c r="B11" s="2941" t="s">
        <v>2764</v>
      </c>
      <c r="C11" s="532"/>
      <c r="D11" s="254">
        <v>100</v>
      </c>
      <c r="E11" s="533"/>
      <c r="F11" s="862">
        <f>LOOKUP(E11,68:68,69:69)-LOOKUP(C11,68:68,69:69)+100</f>
        <v>100</v>
      </c>
      <c r="G11" s="532"/>
      <c r="H11" s="254">
        <f>LOOKUP(G11,68:68,69:69)-LOOKUP(C11,68:68,69:69)+100</f>
        <v>100</v>
      </c>
      <c r="I11" s="532"/>
      <c r="J11" s="254">
        <f>LOOKUP(I11,68:68,69:69)-LOOKUP(C11,68:68,69:69)+100</f>
        <v>100</v>
      </c>
      <c r="K11" s="863"/>
      <c r="L11" s="2139"/>
      <c r="M11" s="2133"/>
      <c r="N11" s="2133"/>
      <c r="O11" s="2140"/>
      <c r="P11" s="3699"/>
      <c r="Q11" s="1149" t="str">
        <f t="shared" si="6"/>
        <v>容积率</v>
      </c>
      <c r="R11" s="1567" t="s">
        <v>11</v>
      </c>
      <c r="S11" s="1568">
        <f t="shared" si="0"/>
        <v>100</v>
      </c>
      <c r="T11" s="1567" t="s">
        <v>11</v>
      </c>
      <c r="U11" s="1568">
        <f t="shared" si="1"/>
        <v>100</v>
      </c>
      <c r="V11" s="1567" t="s">
        <v>11</v>
      </c>
      <c r="W11" s="1568">
        <f t="shared" si="2"/>
        <v>100</v>
      </c>
      <c r="X11" s="1569"/>
      <c r="Y11" s="3656"/>
      <c r="Z11" s="1148" t="str">
        <f t="shared" si="7"/>
        <v>容积率</v>
      </c>
      <c r="AA11" s="1570">
        <f t="shared" si="3"/>
        <v>1</v>
      </c>
      <c r="AB11" s="1570">
        <f t="shared" si="4"/>
        <v>1</v>
      </c>
      <c r="AC11" s="1570">
        <f t="shared" si="5"/>
        <v>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699"/>
      <c r="Q12" s="1149">
        <f t="shared" si="6"/>
        <v>111</v>
      </c>
      <c r="R12" s="1567" t="s">
        <v>11</v>
      </c>
      <c r="S12" s="1568">
        <f t="shared" si="0"/>
        <v>100</v>
      </c>
      <c r="T12" s="1567" t="s">
        <v>11</v>
      </c>
      <c r="U12" s="1568">
        <f t="shared" si="1"/>
        <v>100</v>
      </c>
      <c r="V12" s="1567" t="s">
        <v>11</v>
      </c>
      <c r="W12" s="1568">
        <f t="shared" si="2"/>
        <v>100</v>
      </c>
      <c r="X12" s="1569"/>
      <c r="Y12" s="3656"/>
      <c r="Z12" s="1148">
        <f t="shared" si="7"/>
        <v>111</v>
      </c>
      <c r="AA12" s="1570">
        <f>D12/F12</f>
        <v>1</v>
      </c>
      <c r="AB12" s="1570">
        <f>D12/H12</f>
        <v>1</v>
      </c>
      <c r="AC12" s="1570">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699"/>
      <c r="Q13" s="1149">
        <f t="shared" si="6"/>
        <v>111</v>
      </c>
      <c r="R13" s="1567" t="s">
        <v>11</v>
      </c>
      <c r="S13" s="1568">
        <f t="shared" si="0"/>
        <v>100</v>
      </c>
      <c r="T13" s="1567" t="s">
        <v>11</v>
      </c>
      <c r="U13" s="1568">
        <f t="shared" si="1"/>
        <v>100</v>
      </c>
      <c r="V13" s="1567" t="s">
        <v>11</v>
      </c>
      <c r="W13" s="1568">
        <f t="shared" si="2"/>
        <v>100</v>
      </c>
      <c r="X13" s="1569"/>
      <c r="Y13" s="3656"/>
      <c r="Z13" s="1148">
        <f t="shared" si="7"/>
        <v>111</v>
      </c>
      <c r="AA13" s="1570">
        <f t="shared" si="3"/>
        <v>1</v>
      </c>
      <c r="AB13" s="1570">
        <f t="shared" si="4"/>
        <v>1</v>
      </c>
      <c r="AC13" s="1570">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699"/>
      <c r="Q14" s="1149">
        <f t="shared" si="6"/>
        <v>111</v>
      </c>
      <c r="R14" s="1567" t="s">
        <v>11</v>
      </c>
      <c r="S14" s="1568">
        <f t="shared" si="0"/>
        <v>100</v>
      </c>
      <c r="T14" s="1567" t="s">
        <v>11</v>
      </c>
      <c r="U14" s="1568">
        <f t="shared" si="1"/>
        <v>100</v>
      </c>
      <c r="V14" s="1567" t="s">
        <v>11</v>
      </c>
      <c r="W14" s="1568">
        <f t="shared" si="2"/>
        <v>100</v>
      </c>
      <c r="X14" s="1569"/>
      <c r="Y14" s="3656"/>
      <c r="Z14" s="1148">
        <f t="shared" si="7"/>
        <v>111</v>
      </c>
      <c r="AA14" s="1570">
        <f t="shared" si="3"/>
        <v>1</v>
      </c>
      <c r="AB14" s="1570">
        <f t="shared" si="4"/>
        <v>1</v>
      </c>
      <c r="AC14" s="1570">
        <f t="shared" si="5"/>
        <v>1</v>
      </c>
    </row>
    <row r="15" spans="1:29" ht="99.75">
      <c r="A15" s="2931"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701" t="s">
        <v>541</v>
      </c>
      <c r="Q15" s="1571" t="str">
        <f t="shared" si="6"/>
        <v>居住社区成熟度</v>
      </c>
      <c r="R15" s="1572" t="s">
        <v>11</v>
      </c>
      <c r="S15" s="1573">
        <f t="shared" si="0"/>
        <v>100</v>
      </c>
      <c r="T15" s="1572" t="s">
        <v>11</v>
      </c>
      <c r="U15" s="1573">
        <f t="shared" si="1"/>
        <v>100</v>
      </c>
      <c r="V15" s="1572" t="s">
        <v>11</v>
      </c>
      <c r="W15" s="1573">
        <f t="shared" si="2"/>
        <v>100</v>
      </c>
      <c r="X15" s="1566"/>
      <c r="Y15" s="3701" t="s">
        <v>541</v>
      </c>
      <c r="Z15" s="1574" t="str">
        <f t="shared" si="7"/>
        <v>居住社区成熟度</v>
      </c>
      <c r="AA15" s="1575">
        <f t="shared" si="3"/>
        <v>1</v>
      </c>
      <c r="AB15" s="1575">
        <f t="shared" si="4"/>
        <v>1</v>
      </c>
      <c r="AC15" s="1575">
        <f t="shared" si="5"/>
        <v>1</v>
      </c>
    </row>
    <row r="16" spans="1:29" ht="15">
      <c r="A16" s="531"/>
      <c r="B16" s="868"/>
      <c r="C16" s="575" t="s">
        <v>3270</v>
      </c>
      <c r="D16" s="554"/>
      <c r="E16" s="555" t="s">
        <v>3270</v>
      </c>
      <c r="F16" s="556"/>
      <c r="G16" s="557" t="s">
        <v>3270</v>
      </c>
      <c r="H16" s="558"/>
      <c r="I16" s="555" t="s">
        <v>3270</v>
      </c>
      <c r="J16" s="554"/>
      <c r="K16" s="869"/>
      <c r="L16" s="2141"/>
      <c r="M16" s="2133"/>
      <c r="N16" s="2133"/>
      <c r="O16" s="2140"/>
      <c r="P16" s="3702"/>
      <c r="Q16" s="1571"/>
      <c r="R16" s="1572"/>
      <c r="S16" s="1573"/>
      <c r="T16" s="1572"/>
      <c r="U16" s="1573"/>
      <c r="V16" s="1572"/>
      <c r="W16" s="1573"/>
      <c r="X16" s="1566"/>
      <c r="Y16" s="3702"/>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702"/>
      <c r="Q17" s="1571" t="str">
        <f>B17</f>
        <v>交通便捷度</v>
      </c>
      <c r="R17" s="1572" t="s">
        <v>11</v>
      </c>
      <c r="S17" s="1573">
        <f>F17</f>
        <v>100</v>
      </c>
      <c r="T17" s="1572" t="s">
        <v>11</v>
      </c>
      <c r="U17" s="1573">
        <f>H17</f>
        <v>100</v>
      </c>
      <c r="V17" s="1572" t="s">
        <v>11</v>
      </c>
      <c r="W17" s="1573">
        <f>J17</f>
        <v>100</v>
      </c>
      <c r="X17" s="1566"/>
      <c r="Y17" s="3702"/>
      <c r="Z17" s="1574" t="str">
        <f>Q17</f>
        <v>交通便捷度</v>
      </c>
      <c r="AA17" s="1575">
        <f t="shared" si="3"/>
        <v>1</v>
      </c>
      <c r="AB17" s="1575">
        <f t="shared" si="4"/>
        <v>1</v>
      </c>
      <c r="AC17" s="1575">
        <f t="shared" si="5"/>
        <v>1</v>
      </c>
    </row>
    <row r="18" spans="1:29" ht="15">
      <c r="A18" s="531"/>
      <c r="B18" s="594"/>
      <c r="C18" s="872" t="s">
        <v>3270</v>
      </c>
      <c r="D18" s="558"/>
      <c r="E18" s="567" t="s">
        <v>3270</v>
      </c>
      <c r="F18" s="562"/>
      <c r="G18" s="568" t="s">
        <v>3270</v>
      </c>
      <c r="H18" s="554"/>
      <c r="I18" s="567" t="s">
        <v>3270</v>
      </c>
      <c r="J18" s="554"/>
      <c r="K18" s="869"/>
      <c r="L18" s="2141"/>
      <c r="M18" s="2133"/>
      <c r="N18" s="2133"/>
      <c r="O18" s="2140"/>
      <c r="P18" s="3702"/>
      <c r="Q18" s="1571"/>
      <c r="R18" s="1572"/>
      <c r="S18" s="1573"/>
      <c r="T18" s="1572"/>
      <c r="U18" s="1573"/>
      <c r="V18" s="1572"/>
      <c r="W18" s="1573"/>
      <c r="X18" s="1566"/>
      <c r="Y18" s="3702"/>
      <c r="Z18" s="1574"/>
      <c r="AA18" s="1575">
        <v>1</v>
      </c>
      <c r="AB18" s="1575">
        <v>1</v>
      </c>
      <c r="AC18" s="1575">
        <v>1</v>
      </c>
    </row>
    <row r="19" spans="1:29" ht="42.75">
      <c r="A19" s="531"/>
      <c r="B19" s="2621"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702"/>
      <c r="Q19" s="1571" t="str">
        <f>B19</f>
        <v>公共配套设施</v>
      </c>
      <c r="R19" s="1572" t="s">
        <v>11</v>
      </c>
      <c r="S19" s="1573">
        <f>F19</f>
        <v>100</v>
      </c>
      <c r="T19" s="1572" t="s">
        <v>11</v>
      </c>
      <c r="U19" s="1573">
        <f>H19</f>
        <v>100</v>
      </c>
      <c r="V19" s="1572" t="s">
        <v>11</v>
      </c>
      <c r="W19" s="1573">
        <f>J19</f>
        <v>100</v>
      </c>
      <c r="X19" s="1566"/>
      <c r="Y19" s="3702"/>
      <c r="Z19" s="1574" t="str">
        <f>Q19</f>
        <v>公共配套设施</v>
      </c>
      <c r="AA19" s="1575">
        <f t="shared" si="3"/>
        <v>1</v>
      </c>
      <c r="AB19" s="1575">
        <f t="shared" si="4"/>
        <v>1</v>
      </c>
      <c r="AC19" s="1575">
        <f t="shared" si="5"/>
        <v>1</v>
      </c>
    </row>
    <row r="20" spans="1:29" ht="15">
      <c r="A20" s="531"/>
      <c r="B20" s="594"/>
      <c r="C20" s="575" t="s">
        <v>3271</v>
      </c>
      <c r="D20" s="554"/>
      <c r="E20" s="555" t="s">
        <v>3271</v>
      </c>
      <c r="F20" s="556"/>
      <c r="G20" s="557" t="s">
        <v>3271</v>
      </c>
      <c r="H20" s="554"/>
      <c r="I20" s="555" t="s">
        <v>3271</v>
      </c>
      <c r="J20" s="554"/>
      <c r="K20" s="869"/>
      <c r="L20" s="2141"/>
      <c r="M20" s="2133"/>
      <c r="N20" s="2133"/>
      <c r="O20" s="2140"/>
      <c r="P20" s="3702"/>
      <c r="Q20" s="1571"/>
      <c r="R20" s="1572"/>
      <c r="S20" s="1573"/>
      <c r="T20" s="1572"/>
      <c r="U20" s="1573"/>
      <c r="V20" s="1572"/>
      <c r="W20" s="1573"/>
      <c r="X20" s="1566"/>
      <c r="Y20" s="3702"/>
      <c r="Z20" s="1574"/>
      <c r="AA20" s="1575">
        <v>1</v>
      </c>
      <c r="AB20" s="1575">
        <v>1</v>
      </c>
      <c r="AC20" s="1575">
        <v>1</v>
      </c>
    </row>
    <row r="21" spans="1:29" ht="28.5">
      <c r="A21" s="531"/>
      <c r="B21" s="2614"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1"/>
      <c r="M21" s="2133"/>
      <c r="N21" s="2133"/>
      <c r="O21" s="2140"/>
      <c r="P21" s="3702"/>
      <c r="Q21" s="2600" t="str">
        <f>B21</f>
        <v>基础设施水平</v>
      </c>
      <c r="R21" s="1572" t="s">
        <v>11</v>
      </c>
      <c r="S21" s="1573">
        <f>F21</f>
        <v>100</v>
      </c>
      <c r="T21" s="1572" t="s">
        <v>11</v>
      </c>
      <c r="U21" s="1573">
        <f>H21</f>
        <v>100</v>
      </c>
      <c r="V21" s="1572" t="s">
        <v>11</v>
      </c>
      <c r="W21" s="1573">
        <f>J21</f>
        <v>100</v>
      </c>
      <c r="X21" s="2602"/>
      <c r="Y21" s="3702"/>
      <c r="Z21" s="2601" t="str">
        <f>Q21</f>
        <v>基础设施水平</v>
      </c>
      <c r="AA21" s="1575">
        <f t="shared" ref="AA21" si="8">D21/F21</f>
        <v>1</v>
      </c>
      <c r="AB21" s="1575">
        <f t="shared" ref="AB21" si="9">D21/H21</f>
        <v>1</v>
      </c>
      <c r="AC21" s="1575">
        <f t="shared" ref="AC21" si="10">D21/J21</f>
        <v>1</v>
      </c>
    </row>
    <row r="22" spans="1:29" ht="15">
      <c r="A22" s="531"/>
      <c r="B22" s="921"/>
      <c r="C22" s="872" t="s">
        <v>3264</v>
      </c>
      <c r="D22" s="554"/>
      <c r="E22" s="575" t="s">
        <v>3264</v>
      </c>
      <c r="F22" s="556"/>
      <c r="G22" s="575" t="s">
        <v>3264</v>
      </c>
      <c r="H22" s="554"/>
      <c r="I22" s="575" t="s">
        <v>3264</v>
      </c>
      <c r="J22" s="554"/>
      <c r="K22" s="2620"/>
      <c r="L22" s="2141"/>
      <c r="M22" s="2133"/>
      <c r="N22" s="2133"/>
      <c r="O22" s="2140"/>
      <c r="P22" s="3702"/>
      <c r="Q22" s="2600"/>
      <c r="R22" s="1572"/>
      <c r="S22" s="1573"/>
      <c r="T22" s="1572"/>
      <c r="U22" s="1573"/>
      <c r="V22" s="1572"/>
      <c r="W22" s="1573"/>
      <c r="X22" s="2602"/>
      <c r="Y22" s="3702"/>
      <c r="Z22" s="2601"/>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102</v>
      </c>
      <c r="K23" s="867">
        <v>2</v>
      </c>
      <c r="L23" s="2141"/>
      <c r="M23" s="2133"/>
      <c r="N23" s="2133"/>
      <c r="O23" s="2140"/>
      <c r="P23" s="3702"/>
      <c r="Q23" s="1571" t="str">
        <f>B23</f>
        <v>自然及人文环境</v>
      </c>
      <c r="R23" s="1572" t="s">
        <v>11</v>
      </c>
      <c r="S23" s="1573">
        <f>F23</f>
        <v>100</v>
      </c>
      <c r="T23" s="1572" t="s">
        <v>11</v>
      </c>
      <c r="U23" s="1573">
        <f>H23</f>
        <v>100</v>
      </c>
      <c r="V23" s="1572" t="s">
        <v>11</v>
      </c>
      <c r="W23" s="1573">
        <f>J23</f>
        <v>102</v>
      </c>
      <c r="X23" s="1566"/>
      <c r="Y23" s="3702"/>
      <c r="Z23" s="1574" t="str">
        <f>Q23</f>
        <v>自然及人文环境</v>
      </c>
      <c r="AA23" s="1575">
        <f t="shared" si="3"/>
        <v>1</v>
      </c>
      <c r="AB23" s="1575">
        <f t="shared" si="4"/>
        <v>1</v>
      </c>
      <c r="AC23" s="1575">
        <f t="shared" si="5"/>
        <v>0.98039215686274506</v>
      </c>
    </row>
    <row r="24" spans="1:29" ht="15">
      <c r="A24" s="531"/>
      <c r="B24" s="594"/>
      <c r="C24" s="575" t="s">
        <v>3441</v>
      </c>
      <c r="D24" s="554"/>
      <c r="E24" s="555" t="s">
        <v>3441</v>
      </c>
      <c r="F24" s="556"/>
      <c r="G24" s="557" t="s">
        <v>3441</v>
      </c>
      <c r="H24" s="554"/>
      <c r="I24" s="555" t="s">
        <v>3270</v>
      </c>
      <c r="J24" s="554"/>
      <c r="K24" s="869"/>
      <c r="L24" s="2141"/>
      <c r="M24" s="2133"/>
      <c r="N24" s="2133"/>
      <c r="O24" s="2140"/>
      <c r="P24" s="3702"/>
      <c r="Q24" s="1571"/>
      <c r="R24" s="1572"/>
      <c r="S24" s="1573"/>
      <c r="T24" s="1572"/>
      <c r="U24" s="1573"/>
      <c r="V24" s="1572"/>
      <c r="W24" s="1573"/>
      <c r="X24" s="1566"/>
      <c r="Y24" s="3702"/>
      <c r="Z24" s="1574"/>
      <c r="AA24" s="1575">
        <v>1</v>
      </c>
      <c r="AB24" s="1575">
        <v>1</v>
      </c>
      <c r="AC24" s="1575">
        <v>1</v>
      </c>
    </row>
    <row r="25" spans="1:29" ht="15">
      <c r="A25" s="531"/>
      <c r="B25" s="1894" t="s">
        <v>2259</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02"/>
      <c r="Q25" s="1571" t="str">
        <f t="shared" ref="Q25:Q46" si="11">B25</f>
        <v>楼层-1</v>
      </c>
      <c r="R25" s="1572" t="s">
        <v>11</v>
      </c>
      <c r="S25" s="1573">
        <f>F25</f>
        <v>100</v>
      </c>
      <c r="T25" s="1572" t="s">
        <v>11</v>
      </c>
      <c r="U25" s="1573">
        <f>H25</f>
        <v>100</v>
      </c>
      <c r="V25" s="1572" t="s">
        <v>11</v>
      </c>
      <c r="W25" s="1573">
        <f>J25</f>
        <v>100</v>
      </c>
      <c r="X25" s="1566"/>
      <c r="Y25" s="3702"/>
      <c r="Z25" s="1574" t="str">
        <f>Q25</f>
        <v>楼层-1</v>
      </c>
      <c r="AA25" s="1575">
        <f t="shared" si="3"/>
        <v>1</v>
      </c>
      <c r="AB25" s="1575">
        <f t="shared" si="4"/>
        <v>1</v>
      </c>
      <c r="AC25" s="1575">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02"/>
      <c r="Q26" s="1571" t="str">
        <f t="shared" si="11"/>
        <v>朝向</v>
      </c>
      <c r="R26" s="1572" t="s">
        <v>11</v>
      </c>
      <c r="S26" s="1573">
        <f>F26</f>
        <v>100</v>
      </c>
      <c r="T26" s="1572" t="s">
        <v>11</v>
      </c>
      <c r="U26" s="1573">
        <f>H26</f>
        <v>100</v>
      </c>
      <c r="V26" s="1572" t="s">
        <v>11</v>
      </c>
      <c r="W26" s="1573">
        <f>J26</f>
        <v>100</v>
      </c>
      <c r="X26" s="1566"/>
      <c r="Y26" s="3702"/>
      <c r="Z26" s="1574" t="str">
        <f>Q26</f>
        <v>朝向</v>
      </c>
      <c r="AA26" s="1575">
        <f t="shared" si="3"/>
        <v>1</v>
      </c>
      <c r="AB26" s="1575">
        <f t="shared" si="4"/>
        <v>1</v>
      </c>
      <c r="AC26" s="1575">
        <f t="shared" si="5"/>
        <v>1</v>
      </c>
    </row>
    <row r="27" spans="1:29" s="1218" customFormat="1" ht="15">
      <c r="A27" s="535"/>
      <c r="B27" s="536" t="s">
        <v>725</v>
      </c>
      <c r="C27" s="3478" t="s">
        <v>3246</v>
      </c>
      <c r="D27" s="874">
        <v>100</v>
      </c>
      <c r="E27" s="3479" t="s">
        <v>3272</v>
      </c>
      <c r="F27" s="875">
        <f>SUMIF(90:90,E27,91:91)-SUMIF(90:90,C27,91:91)+100</f>
        <v>99</v>
      </c>
      <c r="G27" s="3480" t="s">
        <v>3248</v>
      </c>
      <c r="H27" s="874">
        <f>SUMIF(90:90,G27,91:91)-SUMIF(90:90,C27,91:91)+100</f>
        <v>98</v>
      </c>
      <c r="I27" s="3479" t="s">
        <v>3461</v>
      </c>
      <c r="J27" s="874">
        <f>SUMIF(90:90,I27,91:91)-SUMIF(90:90,C27,91:91)+100</f>
        <v>97</v>
      </c>
      <c r="K27" s="864"/>
      <c r="L27" s="2134"/>
      <c r="M27" s="2135"/>
      <c r="N27" s="2135"/>
      <c r="O27" s="2136"/>
      <c r="P27" s="3702"/>
      <c r="Q27" s="1149" t="str">
        <f t="shared" si="11"/>
        <v>道路级别</v>
      </c>
      <c r="R27" s="1567" t="s">
        <v>11</v>
      </c>
      <c r="S27" s="1568">
        <f>F27</f>
        <v>99</v>
      </c>
      <c r="T27" s="1567" t="s">
        <v>11</v>
      </c>
      <c r="U27" s="1568">
        <f>H27</f>
        <v>98</v>
      </c>
      <c r="V27" s="1567" t="s">
        <v>11</v>
      </c>
      <c r="W27" s="1568">
        <f>J27</f>
        <v>97</v>
      </c>
      <c r="X27" s="1569"/>
      <c r="Y27" s="3702"/>
      <c r="Z27" s="1148" t="str">
        <f>Q27</f>
        <v>道路级别</v>
      </c>
      <c r="AA27" s="1575">
        <f>D27/F27</f>
        <v>1.0101010101010102</v>
      </c>
      <c r="AB27" s="1575">
        <f>D27/H27</f>
        <v>1.0204081632653061</v>
      </c>
      <c r="AC27" s="1575">
        <f>D27/J27</f>
        <v>1.0309278350515463</v>
      </c>
    </row>
    <row r="28" spans="1:29" ht="15">
      <c r="A28" s="531"/>
      <c r="B28" s="3505"/>
      <c r="C28" s="3506"/>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02"/>
      <c r="Q28" s="1571">
        <f t="shared" si="11"/>
        <v>0</v>
      </c>
      <c r="R28" s="1572" t="s">
        <v>11</v>
      </c>
      <c r="S28" s="1573">
        <f t="shared" ref="S28:S46" si="12">F28</f>
        <v>100</v>
      </c>
      <c r="T28" s="1572" t="s">
        <v>11</v>
      </c>
      <c r="U28" s="1573">
        <f t="shared" ref="U28:U46" si="13">H28</f>
        <v>100</v>
      </c>
      <c r="V28" s="1572" t="s">
        <v>11</v>
      </c>
      <c r="W28" s="1573">
        <f t="shared" ref="W28:W46" si="14">J28</f>
        <v>100</v>
      </c>
      <c r="X28" s="1566"/>
      <c r="Y28" s="3702"/>
      <c r="Z28" s="1574">
        <f t="shared" ref="Z28:Z46" si="15">Q28</f>
        <v>0</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02"/>
      <c r="Q29" s="1571">
        <f t="shared" si="11"/>
        <v>111</v>
      </c>
      <c r="R29" s="1572" t="s">
        <v>11</v>
      </c>
      <c r="S29" s="1573">
        <f t="shared" si="12"/>
        <v>100</v>
      </c>
      <c r="T29" s="1572" t="s">
        <v>11</v>
      </c>
      <c r="U29" s="1573">
        <f t="shared" si="13"/>
        <v>100</v>
      </c>
      <c r="V29" s="1572" t="s">
        <v>11</v>
      </c>
      <c r="W29" s="1573">
        <f t="shared" si="14"/>
        <v>100</v>
      </c>
      <c r="X29" s="1566"/>
      <c r="Y29" s="370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02"/>
      <c r="Q30" s="1571">
        <f t="shared" si="11"/>
        <v>111</v>
      </c>
      <c r="R30" s="1572" t="s">
        <v>11</v>
      </c>
      <c r="S30" s="1573">
        <f t="shared" si="12"/>
        <v>100</v>
      </c>
      <c r="T30" s="1572" t="s">
        <v>11</v>
      </c>
      <c r="U30" s="1573">
        <f t="shared" si="13"/>
        <v>100</v>
      </c>
      <c r="V30" s="1572" t="s">
        <v>11</v>
      </c>
      <c r="W30" s="1573">
        <f t="shared" si="14"/>
        <v>100</v>
      </c>
      <c r="X30" s="1566"/>
      <c r="Y30" s="3702"/>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02"/>
      <c r="Q31" s="1571">
        <f t="shared" si="11"/>
        <v>111</v>
      </c>
      <c r="R31" s="1572" t="s">
        <v>11</v>
      </c>
      <c r="S31" s="1573">
        <f t="shared" si="12"/>
        <v>100</v>
      </c>
      <c r="T31" s="1572" t="s">
        <v>11</v>
      </c>
      <c r="U31" s="1573">
        <f t="shared" si="13"/>
        <v>100</v>
      </c>
      <c r="V31" s="1572" t="s">
        <v>11</v>
      </c>
      <c r="W31" s="1573">
        <f t="shared" si="14"/>
        <v>100</v>
      </c>
      <c r="X31" s="1566"/>
      <c r="Y31" s="3702"/>
      <c r="Z31" s="1574">
        <f t="shared" si="15"/>
        <v>111</v>
      </c>
      <c r="AA31" s="1575">
        <f t="shared" si="3"/>
        <v>1</v>
      </c>
      <c r="AB31" s="1575">
        <f t="shared" si="4"/>
        <v>1</v>
      </c>
      <c r="AC31" s="1575">
        <f t="shared" si="5"/>
        <v>1</v>
      </c>
    </row>
    <row r="32" spans="1:29" ht="15">
      <c r="A32" s="2929" t="s">
        <v>2761</v>
      </c>
      <c r="B32" s="172" t="s">
        <v>726</v>
      </c>
      <c r="C32" s="877" t="s">
        <v>3250</v>
      </c>
      <c r="D32" s="596">
        <v>100</v>
      </c>
      <c r="E32" s="878" t="s">
        <v>3250</v>
      </c>
      <c r="F32" s="574">
        <f>SUMIF(100:100,E32,101:101)-SUMIF(100:100,C32,101:101)+100</f>
        <v>100</v>
      </c>
      <c r="G32" s="877" t="s">
        <v>3250</v>
      </c>
      <c r="H32" s="596">
        <f>SUMIF(100:100,G32,101:101)-SUMIF(100:100,C32,101:101)+100</f>
        <v>100</v>
      </c>
      <c r="I32" s="878" t="s">
        <v>3250</v>
      </c>
      <c r="J32" s="539">
        <f>SUMIF(100:100,I32,101:101)-SUMIF(100:100,C32,101:101)+100</f>
        <v>100</v>
      </c>
      <c r="K32" s="863">
        <v>2</v>
      </c>
      <c r="L32" s="2141"/>
      <c r="M32" s="2133"/>
      <c r="N32" s="2133"/>
      <c r="O32" s="2140"/>
      <c r="P32" s="3703" t="s">
        <v>551</v>
      </c>
      <c r="Q32" s="1571" t="str">
        <f t="shared" si="11"/>
        <v>建筑类型</v>
      </c>
      <c r="R32" s="1572" t="s">
        <v>11</v>
      </c>
      <c r="S32" s="1573">
        <f t="shared" si="12"/>
        <v>100</v>
      </c>
      <c r="T32" s="1572" t="s">
        <v>11</v>
      </c>
      <c r="U32" s="1573">
        <f t="shared" si="13"/>
        <v>100</v>
      </c>
      <c r="V32" s="1572" t="s">
        <v>11</v>
      </c>
      <c r="W32" s="1573">
        <f t="shared" si="14"/>
        <v>100</v>
      </c>
      <c r="X32" s="1566"/>
      <c r="Y32" s="3704" t="s">
        <v>551</v>
      </c>
      <c r="Z32" s="1574" t="str">
        <f t="shared" si="15"/>
        <v>建筑类型</v>
      </c>
      <c r="AA32" s="1575">
        <f t="shared" si="3"/>
        <v>1</v>
      </c>
      <c r="AB32" s="1575">
        <f t="shared" si="4"/>
        <v>1</v>
      </c>
      <c r="AC32" s="1575">
        <f t="shared" si="5"/>
        <v>1</v>
      </c>
    </row>
    <row r="33" spans="1:29" s="1337" customFormat="1" ht="15">
      <c r="A33" s="602"/>
      <c r="B33" s="526" t="s">
        <v>727</v>
      </c>
      <c r="C33" s="879">
        <f>'数据-汇总表'!E3</f>
        <v>493630.89</v>
      </c>
      <c r="D33" s="254">
        <v>100</v>
      </c>
      <c r="E33" s="533">
        <v>400000</v>
      </c>
      <c r="F33" s="862">
        <f>LOOKUP(E33,103:103,104:104)-LOOKUP(C33,103:103,104:104)+100</f>
        <v>100</v>
      </c>
      <c r="G33" s="532">
        <v>87357</v>
      </c>
      <c r="H33" s="254">
        <f>LOOKUP(G33,103:103,104:104)-LOOKUP(C33,103:103,104:104)+100</f>
        <v>95</v>
      </c>
      <c r="I33" s="533">
        <v>96000</v>
      </c>
      <c r="J33" s="254">
        <f>LOOKUP(I33,103:103,104:104)-LOOKUP(C33,103:103,104:104)+100</f>
        <v>95</v>
      </c>
      <c r="K33" s="864"/>
      <c r="L33" s="2139"/>
      <c r="M33" s="2170"/>
      <c r="N33" s="2170"/>
      <c r="O33" s="2142"/>
      <c r="P33" s="3704"/>
      <c r="Q33" s="1604" t="str">
        <f t="shared" si="11"/>
        <v>项目建筑规模</v>
      </c>
      <c r="R33" s="1576" t="s">
        <v>11</v>
      </c>
      <c r="S33" s="1577">
        <f t="shared" si="12"/>
        <v>100</v>
      </c>
      <c r="T33" s="1576" t="s">
        <v>11</v>
      </c>
      <c r="U33" s="1577">
        <f t="shared" si="13"/>
        <v>95</v>
      </c>
      <c r="V33" s="1576" t="s">
        <v>11</v>
      </c>
      <c r="W33" s="1577">
        <f t="shared" si="14"/>
        <v>95</v>
      </c>
      <c r="X33" s="1578"/>
      <c r="Y33" s="3704"/>
      <c r="Z33" s="1579" t="str">
        <f t="shared" si="15"/>
        <v>项目建筑规模</v>
      </c>
      <c r="AA33" s="1575">
        <f t="shared" si="3"/>
        <v>1</v>
      </c>
      <c r="AB33" s="1575">
        <f t="shared" si="4"/>
        <v>1.0526315789473684</v>
      </c>
      <c r="AC33" s="1575">
        <f t="shared" si="5"/>
        <v>1.0526315789473684</v>
      </c>
    </row>
    <row r="34" spans="1:29" ht="15">
      <c r="A34" s="593"/>
      <c r="B34" s="526" t="s">
        <v>728</v>
      </c>
      <c r="C34" s="880" t="s">
        <v>3273</v>
      </c>
      <c r="D34" s="539">
        <v>100</v>
      </c>
      <c r="E34" s="881" t="s">
        <v>3273</v>
      </c>
      <c r="F34" s="574">
        <f>SUMIF(105:105,E34,106:106)-SUMIF(105:105,C34,106:106)+100</f>
        <v>100</v>
      </c>
      <c r="G34" s="880" t="s">
        <v>3273</v>
      </c>
      <c r="H34" s="539">
        <f>SUMIF(105:105,G34,106:106)-SUMIF(105:105,C34,106:106)+100</f>
        <v>100</v>
      </c>
      <c r="I34" s="881" t="s">
        <v>3273</v>
      </c>
      <c r="J34" s="539">
        <f>SUMIF(105:105,I34,106:106)-SUMIF(105:105,C34,106:106)+100</f>
        <v>100</v>
      </c>
      <c r="K34" s="863">
        <v>2</v>
      </c>
      <c r="L34" s="2141"/>
      <c r="M34" s="2133"/>
      <c r="N34" s="2133"/>
      <c r="O34" s="2140"/>
      <c r="P34" s="3704"/>
      <c r="Q34" s="1571" t="str">
        <f t="shared" si="11"/>
        <v>建筑结构</v>
      </c>
      <c r="R34" s="1572" t="s">
        <v>11</v>
      </c>
      <c r="S34" s="1573">
        <f t="shared" si="12"/>
        <v>100</v>
      </c>
      <c r="T34" s="1572" t="s">
        <v>11</v>
      </c>
      <c r="U34" s="1573">
        <f t="shared" si="13"/>
        <v>100</v>
      </c>
      <c r="V34" s="1572" t="s">
        <v>11</v>
      </c>
      <c r="W34" s="1573">
        <f t="shared" si="14"/>
        <v>100</v>
      </c>
      <c r="X34" s="1566"/>
      <c r="Y34" s="3704"/>
      <c r="Z34" s="1574" t="str">
        <f t="shared" si="15"/>
        <v>建筑结构</v>
      </c>
      <c r="AA34" s="1575">
        <f t="shared" si="3"/>
        <v>1</v>
      </c>
      <c r="AB34" s="1575">
        <f t="shared" si="4"/>
        <v>1</v>
      </c>
      <c r="AC34" s="1575">
        <f t="shared" si="5"/>
        <v>1</v>
      </c>
    </row>
    <row r="35" spans="1:29" ht="15">
      <c r="A35" s="593"/>
      <c r="B35" s="526" t="s">
        <v>729</v>
      </c>
      <c r="C35" s="598" t="s">
        <v>3274</v>
      </c>
      <c r="D35" s="539">
        <v>100</v>
      </c>
      <c r="E35" s="873" t="s">
        <v>3274</v>
      </c>
      <c r="F35" s="574">
        <f>SUMIF(107:107,E35,108:108)-SUMIF(107:107,C35,108:108)+100</f>
        <v>100</v>
      </c>
      <c r="G35" s="598" t="s">
        <v>3274</v>
      </c>
      <c r="H35" s="539">
        <f>SUMIF(107:107,G35,108:108)-SUMIF(107:107,C35,108:108)+100</f>
        <v>100</v>
      </c>
      <c r="I35" s="873" t="s">
        <v>3274</v>
      </c>
      <c r="J35" s="539">
        <f>SUMIF(107:107,I35,108:108)-SUMIF(107:107,C35,108:108)+100</f>
        <v>100</v>
      </c>
      <c r="K35" s="863">
        <v>2</v>
      </c>
      <c r="L35" s="2141"/>
      <c r="M35" s="2133"/>
      <c r="N35" s="2133"/>
      <c r="O35" s="2140"/>
      <c r="P35" s="3704"/>
      <c r="Q35" s="1571" t="str">
        <f t="shared" si="11"/>
        <v>建筑品质</v>
      </c>
      <c r="R35" s="1572" t="s">
        <v>11</v>
      </c>
      <c r="S35" s="1573">
        <f t="shared" si="12"/>
        <v>100</v>
      </c>
      <c r="T35" s="1572" t="s">
        <v>11</v>
      </c>
      <c r="U35" s="1573">
        <f t="shared" si="13"/>
        <v>100</v>
      </c>
      <c r="V35" s="1572" t="s">
        <v>11</v>
      </c>
      <c r="W35" s="1573">
        <f t="shared" si="14"/>
        <v>100</v>
      </c>
      <c r="X35" s="1566"/>
      <c r="Y35" s="3704"/>
      <c r="Z35" s="1574" t="str">
        <f t="shared" si="15"/>
        <v>建筑品质</v>
      </c>
      <c r="AA35" s="1575">
        <f t="shared" si="3"/>
        <v>1</v>
      </c>
      <c r="AB35" s="1575">
        <f t="shared" si="4"/>
        <v>1</v>
      </c>
      <c r="AC35" s="1575">
        <f t="shared" si="5"/>
        <v>1</v>
      </c>
    </row>
    <row r="36" spans="1:29" ht="15">
      <c r="A36" s="593"/>
      <c r="B36" s="526" t="s">
        <v>730</v>
      </c>
      <c r="C36" s="598" t="s">
        <v>3275</v>
      </c>
      <c r="D36" s="539">
        <v>100</v>
      </c>
      <c r="E36" s="873" t="s">
        <v>3275</v>
      </c>
      <c r="F36" s="574">
        <f>SUMIF(109:109,E36,110:110)-SUMIF(109:109,C36,110:110)+100</f>
        <v>100</v>
      </c>
      <c r="G36" s="598" t="s">
        <v>3275</v>
      </c>
      <c r="H36" s="539">
        <f>SUMIF(109:109,G36,110:110)-SUMIF(109:109,C36,110:110)+100</f>
        <v>100</v>
      </c>
      <c r="I36" s="873" t="s">
        <v>3275</v>
      </c>
      <c r="J36" s="539">
        <f>SUMIF(109:109,I36,110:110)-SUMIF(109:109,C36,110:110)+100</f>
        <v>100</v>
      </c>
      <c r="K36" s="863">
        <v>2</v>
      </c>
      <c r="L36" s="2141"/>
      <c r="M36" s="2133"/>
      <c r="N36" s="2133"/>
      <c r="O36" s="2140"/>
      <c r="P36" s="3704"/>
      <c r="Q36" s="1571" t="str">
        <f t="shared" si="11"/>
        <v>公共部分装修</v>
      </c>
      <c r="R36" s="1572" t="s">
        <v>11</v>
      </c>
      <c r="S36" s="1573">
        <f t="shared" si="12"/>
        <v>100</v>
      </c>
      <c r="T36" s="1572" t="s">
        <v>11</v>
      </c>
      <c r="U36" s="1573">
        <f t="shared" si="13"/>
        <v>100</v>
      </c>
      <c r="V36" s="1572" t="s">
        <v>11</v>
      </c>
      <c r="W36" s="1573">
        <f t="shared" si="14"/>
        <v>100</v>
      </c>
      <c r="X36" s="1566"/>
      <c r="Y36" s="3704"/>
      <c r="Z36" s="1574" t="str">
        <f t="shared" si="15"/>
        <v>公共部分装修</v>
      </c>
      <c r="AA36" s="1575">
        <f t="shared" si="3"/>
        <v>1</v>
      </c>
      <c r="AB36" s="1575">
        <f t="shared" si="4"/>
        <v>1</v>
      </c>
      <c r="AC36" s="1575">
        <f t="shared" si="5"/>
        <v>1</v>
      </c>
    </row>
    <row r="37" spans="1:29" s="1218" customFormat="1" ht="15">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4"/>
      <c r="M37" s="2135"/>
      <c r="N37" s="2135"/>
      <c r="O37" s="2136"/>
      <c r="P37" s="3704"/>
      <c r="Q37" s="1149" t="str">
        <f t="shared" si="11"/>
        <v>成新度</v>
      </c>
      <c r="R37" s="1567" t="s">
        <v>11</v>
      </c>
      <c r="S37" s="1568">
        <f t="shared" si="12"/>
        <v>100</v>
      </c>
      <c r="T37" s="1567" t="s">
        <v>11</v>
      </c>
      <c r="U37" s="1568">
        <f t="shared" si="13"/>
        <v>100</v>
      </c>
      <c r="V37" s="1567" t="s">
        <v>11</v>
      </c>
      <c r="W37" s="1568">
        <f t="shared" si="14"/>
        <v>100</v>
      </c>
      <c r="X37" s="1569"/>
      <c r="Y37" s="3704"/>
      <c r="Z37" s="1148" t="str">
        <f t="shared" si="15"/>
        <v>成新度</v>
      </c>
      <c r="AA37" s="1570">
        <f t="shared" si="3"/>
        <v>1</v>
      </c>
      <c r="AB37" s="1570">
        <f t="shared" si="4"/>
        <v>1</v>
      </c>
      <c r="AC37" s="1570">
        <f t="shared" si="5"/>
        <v>1</v>
      </c>
    </row>
    <row r="38" spans="1:29" ht="15">
      <c r="A38" s="593"/>
      <c r="B38" s="526" t="s">
        <v>732</v>
      </c>
      <c r="C38" s="598" t="s">
        <v>3276</v>
      </c>
      <c r="D38" s="539">
        <v>100</v>
      </c>
      <c r="E38" s="873" t="s">
        <v>3276</v>
      </c>
      <c r="F38" s="574">
        <f>SUMIF(114:114,E38,115:115)-SUMIF(114:114,C38,115:115)+100</f>
        <v>100</v>
      </c>
      <c r="G38" s="598" t="s">
        <v>3276</v>
      </c>
      <c r="H38" s="539">
        <f>SUMIF(114:114,G38,115:115)-SUMIF(114:114,C38,115:115)+100</f>
        <v>100</v>
      </c>
      <c r="I38" s="873" t="s">
        <v>3276</v>
      </c>
      <c r="J38" s="539">
        <f>SUMIF(114:114,I38,115:115)-SUMIF(114:114,C38,115:115)+100</f>
        <v>100</v>
      </c>
      <c r="K38" s="863">
        <v>2</v>
      </c>
      <c r="L38" s="2141"/>
      <c r="M38" s="2133"/>
      <c r="N38" s="2133"/>
      <c r="O38" s="2140"/>
      <c r="P38" s="3704" t="s">
        <v>551</v>
      </c>
      <c r="Q38" s="1571" t="str">
        <f t="shared" si="11"/>
        <v>物业管理</v>
      </c>
      <c r="R38" s="1572" t="s">
        <v>11</v>
      </c>
      <c r="S38" s="1573">
        <f t="shared" si="12"/>
        <v>100</v>
      </c>
      <c r="T38" s="1572" t="s">
        <v>11</v>
      </c>
      <c r="U38" s="1573">
        <f t="shared" si="13"/>
        <v>100</v>
      </c>
      <c r="V38" s="1572" t="s">
        <v>11</v>
      </c>
      <c r="W38" s="1573">
        <f t="shared" si="14"/>
        <v>100</v>
      </c>
      <c r="X38" s="1566"/>
      <c r="Y38" s="3704" t="s">
        <v>551</v>
      </c>
      <c r="Z38" s="1574" t="str">
        <f t="shared" si="15"/>
        <v>物业管理</v>
      </c>
      <c r="AA38" s="1575">
        <f t="shared" si="3"/>
        <v>1</v>
      </c>
      <c r="AB38" s="1575">
        <f t="shared" si="4"/>
        <v>1</v>
      </c>
      <c r="AC38" s="1575">
        <f t="shared" si="5"/>
        <v>1</v>
      </c>
    </row>
    <row r="39" spans="1:29" ht="15">
      <c r="A39" s="593"/>
      <c r="B39" s="1894" t="s">
        <v>2570</v>
      </c>
      <c r="C39" s="598" t="s">
        <v>3264</v>
      </c>
      <c r="D39" s="539">
        <v>100</v>
      </c>
      <c r="E39" s="873" t="s">
        <v>3264</v>
      </c>
      <c r="F39" s="574">
        <f>SUMIF(116:116,E39,117:117)-SUMIF(116:116,C39,117:117)+100</f>
        <v>100</v>
      </c>
      <c r="G39" s="598" t="s">
        <v>3264</v>
      </c>
      <c r="H39" s="539">
        <f>SUMIF(116:116,G39,117:117)-SUMIF(116:116,C39,117:117)+100</f>
        <v>100</v>
      </c>
      <c r="I39" s="873" t="s">
        <v>3264</v>
      </c>
      <c r="J39" s="539">
        <f>SUMIF(116:116,I39,117:117)-SUMIF(116:116,C39,117:117)+100</f>
        <v>100</v>
      </c>
      <c r="K39" s="863">
        <v>2</v>
      </c>
      <c r="L39" s="2141"/>
      <c r="M39" s="2133"/>
      <c r="N39" s="2133"/>
      <c r="O39" s="2140"/>
      <c r="P39" s="3704"/>
      <c r="Q39" s="1571" t="str">
        <f t="shared" si="11"/>
        <v>市政基础设施</v>
      </c>
      <c r="R39" s="1572" t="s">
        <v>11</v>
      </c>
      <c r="S39" s="1573">
        <f t="shared" si="12"/>
        <v>100</v>
      </c>
      <c r="T39" s="1572" t="s">
        <v>11</v>
      </c>
      <c r="U39" s="1573">
        <f t="shared" si="13"/>
        <v>100</v>
      </c>
      <c r="V39" s="1572" t="s">
        <v>11</v>
      </c>
      <c r="W39" s="1573">
        <f t="shared" si="14"/>
        <v>100</v>
      </c>
      <c r="X39" s="1566"/>
      <c r="Y39" s="3704"/>
      <c r="Z39" s="1574" t="str">
        <f t="shared" si="15"/>
        <v>市政基础设施</v>
      </c>
      <c r="AA39" s="1575">
        <f t="shared" si="3"/>
        <v>1</v>
      </c>
      <c r="AB39" s="1575">
        <f t="shared" si="4"/>
        <v>1</v>
      </c>
      <c r="AC39" s="1575">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704"/>
      <c r="Q40" s="1571" t="str">
        <f t="shared" si="11"/>
        <v>房型</v>
      </c>
      <c r="R40" s="1572" t="s">
        <v>11</v>
      </c>
      <c r="S40" s="1573">
        <f t="shared" si="12"/>
        <v>100</v>
      </c>
      <c r="T40" s="1572" t="s">
        <v>11</v>
      </c>
      <c r="U40" s="1573">
        <f t="shared" si="13"/>
        <v>100</v>
      </c>
      <c r="V40" s="1572" t="s">
        <v>11</v>
      </c>
      <c r="W40" s="1573">
        <f t="shared" si="14"/>
        <v>100</v>
      </c>
      <c r="X40" s="1566"/>
      <c r="Y40" s="3704"/>
      <c r="Z40" s="1574" t="str">
        <f t="shared" si="15"/>
        <v>房型</v>
      </c>
      <c r="AA40" s="1575">
        <f t="shared" si="3"/>
        <v>1</v>
      </c>
      <c r="AB40" s="1575">
        <f t="shared" si="4"/>
        <v>1</v>
      </c>
      <c r="AC40" s="1575">
        <f t="shared" si="5"/>
        <v>1</v>
      </c>
    </row>
    <row r="41" spans="1:29" s="1337"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704"/>
      <c r="Q41" s="1604" t="str">
        <f t="shared" si="11"/>
        <v>单套/主力户型建筑面积</v>
      </c>
      <c r="R41" s="1576" t="s">
        <v>11</v>
      </c>
      <c r="S41" s="1577">
        <f t="shared" si="12"/>
        <v>100</v>
      </c>
      <c r="T41" s="1576" t="s">
        <v>11</v>
      </c>
      <c r="U41" s="1577">
        <f t="shared" si="13"/>
        <v>100</v>
      </c>
      <c r="V41" s="1576" t="s">
        <v>11</v>
      </c>
      <c r="W41" s="1577">
        <f t="shared" si="14"/>
        <v>100</v>
      </c>
      <c r="X41" s="1578"/>
      <c r="Y41" s="3704"/>
      <c r="Z41" s="1579" t="str">
        <f t="shared" si="15"/>
        <v>单套/主力户型建筑面积</v>
      </c>
      <c r="AA41" s="1575">
        <f t="shared" si="3"/>
        <v>1</v>
      </c>
      <c r="AB41" s="1575">
        <f t="shared" si="4"/>
        <v>1</v>
      </c>
      <c r="AC41" s="1575">
        <f t="shared" si="5"/>
        <v>1</v>
      </c>
    </row>
    <row r="42" spans="1:29" ht="15">
      <c r="A42" s="593"/>
      <c r="B42" s="526" t="s">
        <v>735</v>
      </c>
      <c r="C42" s="598" t="s">
        <v>3275</v>
      </c>
      <c r="D42" s="539">
        <v>100</v>
      </c>
      <c r="E42" s="873" t="s">
        <v>3277</v>
      </c>
      <c r="F42" s="574">
        <f>SUMIF(122:122,E42,123:123)-SUMIF(122:122,C42,123:123)+100</f>
        <v>96</v>
      </c>
      <c r="G42" s="598" t="s">
        <v>3278</v>
      </c>
      <c r="H42" s="539">
        <f>SUMIF(122:122,G42,123:123)-SUMIF(122:122,C42,123:123)+100</f>
        <v>94</v>
      </c>
      <c r="I42" s="873" t="s">
        <v>3278</v>
      </c>
      <c r="J42" s="539">
        <f>SUMIF(122:122,I42,123:123)-SUMIF(122:122,C42,123:123)+100</f>
        <v>94</v>
      </c>
      <c r="K42" s="863">
        <v>2</v>
      </c>
      <c r="L42" s="2141"/>
      <c r="M42" s="2133"/>
      <c r="N42" s="2133"/>
      <c r="O42" s="2140"/>
      <c r="P42" s="3704"/>
      <c r="Q42" s="1571" t="str">
        <f t="shared" si="11"/>
        <v>内部装修</v>
      </c>
      <c r="R42" s="1572" t="s">
        <v>11</v>
      </c>
      <c r="S42" s="1573">
        <f t="shared" si="12"/>
        <v>96</v>
      </c>
      <c r="T42" s="1572" t="s">
        <v>11</v>
      </c>
      <c r="U42" s="1573">
        <f t="shared" si="13"/>
        <v>94</v>
      </c>
      <c r="V42" s="1572" t="s">
        <v>11</v>
      </c>
      <c r="W42" s="1573">
        <f t="shared" si="14"/>
        <v>94</v>
      </c>
      <c r="X42" s="1566"/>
      <c r="Y42" s="3704"/>
      <c r="Z42" s="1574" t="str">
        <f t="shared" si="15"/>
        <v>内部装修</v>
      </c>
      <c r="AA42" s="1575">
        <f t="shared" si="3"/>
        <v>1.0416666666666667</v>
      </c>
      <c r="AB42" s="1575">
        <f t="shared" si="4"/>
        <v>1.0638297872340425</v>
      </c>
      <c r="AC42" s="1575">
        <f t="shared" si="5"/>
        <v>1.0638297872340425</v>
      </c>
    </row>
    <row r="43" spans="1:29" ht="27">
      <c r="A43" s="593"/>
      <c r="B43" s="526" t="s">
        <v>736</v>
      </c>
      <c r="C43" s="598" t="s">
        <v>3271</v>
      </c>
      <c r="D43" s="539">
        <v>100</v>
      </c>
      <c r="E43" s="873" t="s">
        <v>3271</v>
      </c>
      <c r="F43" s="574">
        <f>SUMIF(124:124,E43,125:125)-SUMIF(124:124,C43,125:125)+100</f>
        <v>100</v>
      </c>
      <c r="G43" s="598" t="s">
        <v>3271</v>
      </c>
      <c r="H43" s="539">
        <f>SUMIF(124:124,G43,125:125)-SUMIF(124:124,C43,125:125)+100</f>
        <v>100</v>
      </c>
      <c r="I43" s="873" t="s">
        <v>3271</v>
      </c>
      <c r="J43" s="539">
        <f>SUMIF(124:124,I43,125:125)-SUMIF(124:124,C43,125:125)+100</f>
        <v>100</v>
      </c>
      <c r="K43" s="863">
        <v>2</v>
      </c>
      <c r="L43" s="2141"/>
      <c r="M43" s="2133"/>
      <c r="N43" s="2133"/>
      <c r="O43" s="2140"/>
      <c r="P43" s="3704"/>
      <c r="Q43" s="1571" t="str">
        <f t="shared" si="11"/>
        <v>内部装修维护情况</v>
      </c>
      <c r="R43" s="1572" t="s">
        <v>11</v>
      </c>
      <c r="S43" s="1573">
        <f t="shared" si="12"/>
        <v>100</v>
      </c>
      <c r="T43" s="1572" t="s">
        <v>11</v>
      </c>
      <c r="U43" s="1573">
        <f t="shared" si="13"/>
        <v>100</v>
      </c>
      <c r="V43" s="1572" t="s">
        <v>11</v>
      </c>
      <c r="W43" s="1573">
        <f t="shared" si="14"/>
        <v>100</v>
      </c>
      <c r="X43" s="1566"/>
      <c r="Y43" s="3704"/>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704"/>
      <c r="Q44" s="1149">
        <f t="shared" si="11"/>
        <v>111</v>
      </c>
      <c r="R44" s="1567" t="s">
        <v>11</v>
      </c>
      <c r="S44" s="1568">
        <f t="shared" si="12"/>
        <v>100</v>
      </c>
      <c r="T44" s="1567" t="s">
        <v>11</v>
      </c>
      <c r="U44" s="1568">
        <f t="shared" si="13"/>
        <v>100</v>
      </c>
      <c r="V44" s="1567" t="s">
        <v>11</v>
      </c>
      <c r="W44" s="1568">
        <f t="shared" si="14"/>
        <v>100</v>
      </c>
      <c r="X44" s="1569"/>
      <c r="Y44" s="3704"/>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04"/>
      <c r="Q45" s="1571">
        <f t="shared" si="11"/>
        <v>111</v>
      </c>
      <c r="R45" s="1572" t="s">
        <v>11</v>
      </c>
      <c r="S45" s="1573">
        <f t="shared" si="12"/>
        <v>100</v>
      </c>
      <c r="T45" s="1572" t="s">
        <v>11</v>
      </c>
      <c r="U45" s="1573">
        <f t="shared" si="13"/>
        <v>100</v>
      </c>
      <c r="V45" s="1572" t="s">
        <v>11</v>
      </c>
      <c r="W45" s="1573">
        <f t="shared" si="14"/>
        <v>100</v>
      </c>
      <c r="X45" s="1566"/>
      <c r="Y45" s="3704"/>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733"/>
      <c r="Q46" s="1571">
        <f t="shared" si="11"/>
        <v>111</v>
      </c>
      <c r="R46" s="1572" t="s">
        <v>10</v>
      </c>
      <c r="S46" s="1573">
        <f t="shared" si="12"/>
        <v>100</v>
      </c>
      <c r="T46" s="1572" t="s">
        <v>10</v>
      </c>
      <c r="U46" s="1573">
        <f t="shared" si="13"/>
        <v>100</v>
      </c>
      <c r="V46" s="1572" t="s">
        <v>10</v>
      </c>
      <c r="W46" s="1573">
        <f t="shared" si="14"/>
        <v>100</v>
      </c>
      <c r="X46" s="1566"/>
      <c r="Y46" s="3733"/>
      <c r="Z46" s="1574">
        <f t="shared" si="15"/>
        <v>111</v>
      </c>
      <c r="AA46" s="1575">
        <f t="shared" si="3"/>
        <v>1</v>
      </c>
      <c r="AB46" s="1575">
        <f t="shared" si="4"/>
        <v>1</v>
      </c>
      <c r="AC46" s="1575">
        <f t="shared" si="5"/>
        <v>1</v>
      </c>
    </row>
    <row r="47" spans="1:29" ht="15">
      <c r="A47" s="606" t="s">
        <v>737</v>
      </c>
      <c r="B47" s="886"/>
      <c r="C47" s="2648" t="s">
        <v>9</v>
      </c>
      <c r="D47" s="2649"/>
      <c r="E47" s="2650">
        <v>9900</v>
      </c>
      <c r="F47" s="2651"/>
      <c r="G47" s="2652">
        <v>9000</v>
      </c>
      <c r="H47" s="2653"/>
      <c r="I47" s="2650">
        <v>8500</v>
      </c>
      <c r="J47" s="2653"/>
      <c r="K47" s="1605"/>
      <c r="L47" s="2143"/>
      <c r="M47" s="2144"/>
      <c r="N47" s="2133"/>
      <c r="O47" s="2144"/>
      <c r="P47" s="3699" t="str">
        <f>A47</f>
        <v>成交单价（元/平方米）</v>
      </c>
      <c r="Q47" s="3699"/>
      <c r="R47" s="3732">
        <f>E47</f>
        <v>9900</v>
      </c>
      <c r="S47" s="3732"/>
      <c r="T47" s="3732">
        <f>G47</f>
        <v>9000</v>
      </c>
      <c r="U47" s="3732"/>
      <c r="V47" s="3732">
        <f>I47</f>
        <v>8500</v>
      </c>
      <c r="W47" s="3732"/>
      <c r="X47" s="1558"/>
      <c r="Y47" s="1580"/>
      <c r="Z47" s="1558"/>
      <c r="AA47" s="1558"/>
      <c r="AB47" s="1558"/>
      <c r="AC47" s="1558"/>
    </row>
    <row r="48" spans="1:29" ht="15.75" thickBot="1">
      <c r="A48" s="614" t="s">
        <v>2766</v>
      </c>
      <c r="B48" s="887"/>
      <c r="C48" s="2654">
        <f>R49</f>
        <v>10107</v>
      </c>
      <c r="D48" s="2655"/>
      <c r="E48" s="2656">
        <f>R48</f>
        <v>10417</v>
      </c>
      <c r="F48" s="2656"/>
      <c r="G48" s="2654">
        <f>T48</f>
        <v>10284</v>
      </c>
      <c r="H48" s="2655"/>
      <c r="I48" s="2656">
        <f>V48</f>
        <v>9620</v>
      </c>
      <c r="J48" s="2655"/>
      <c r="K48" s="1606"/>
      <c r="L48" s="2143"/>
      <c r="M48" s="2144"/>
      <c r="N48" s="2144"/>
      <c r="O48" s="2144"/>
      <c r="P48" s="3699" t="str">
        <f>A48</f>
        <v>比较价格（元/平方米）</v>
      </c>
      <c r="Q48" s="3699"/>
      <c r="R48" s="3732">
        <f>IF(F1="售价",ROUND(PRODUCT(R47,AA7:AA46),0),ROUND(PRODUCT(R47,AA7:AA46),1))</f>
        <v>10417</v>
      </c>
      <c r="S48" s="3732"/>
      <c r="T48" s="3732">
        <f>IF(F1="售价",ROUND(PRODUCT(T47,AB7:AB46),0),ROUND(PRODUCT(T47,AB7:AB46),1))</f>
        <v>10284</v>
      </c>
      <c r="U48" s="3732"/>
      <c r="V48" s="3732">
        <f>IF(F1="售价",ROUND(PRODUCT(V47,AC7:AC46),0),ROUND(PRODUCT(V47,AC7:AC46),1))</f>
        <v>9620</v>
      </c>
      <c r="W48" s="3732"/>
      <c r="X48" s="1558"/>
      <c r="Y48" s="1558"/>
      <c r="Z48" s="1558"/>
      <c r="AA48" s="1558"/>
      <c r="AB48" s="1558"/>
      <c r="AC48" s="1558"/>
    </row>
    <row r="49" spans="1:29" ht="15.75" thickBot="1">
      <c r="A49" s="620" t="s">
        <v>2939</v>
      </c>
      <c r="B49" s="621"/>
      <c r="C49" s="2657">
        <f>R49</f>
        <v>10107</v>
      </c>
      <c r="D49" s="2657"/>
      <c r="E49" s="2657"/>
      <c r="F49" s="2657"/>
      <c r="G49" s="2657"/>
      <c r="H49" s="2657"/>
      <c r="I49" s="2657"/>
      <c r="J49" s="2657"/>
      <c r="K49" s="1607"/>
      <c r="L49" s="2143"/>
      <c r="M49" s="2144"/>
      <c r="N49" s="2144"/>
      <c r="O49" s="2144"/>
      <c r="P49" s="3720" t="str">
        <f>A49</f>
        <v>估价对象XX用房的比较价格（楼面单价，元/平方米）</v>
      </c>
      <c r="Q49" s="3721"/>
      <c r="R49" s="3731">
        <f>IF(F1="售价",ROUND(AVERAGE(R48:V48),0),ROUND(AVERAGE(R48:V48),1))</f>
        <v>10107</v>
      </c>
      <c r="S49" s="3731"/>
      <c r="T49" s="3731"/>
      <c r="U49" s="3731"/>
      <c r="V49" s="3731"/>
      <c r="W49" s="373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5.222222222222217E-2</v>
      </c>
      <c r="F52" s="626" t="str">
        <f>IF(OR(E52&gt;=0.3,E52&lt;=-0.3),"超过30%","")</f>
        <v/>
      </c>
      <c r="G52" s="625">
        <f>IF(G47&lt;G48,G48/G47-1,G47/G48-1)</f>
        <v>0.14266666666666672</v>
      </c>
      <c r="H52" s="626" t="str">
        <f>IF(OR(G52&gt;=0.3,G52&lt;=-0.3),"超过30%","")</f>
        <v/>
      </c>
      <c r="I52" s="625">
        <f>IF(I47&lt;I48,I48/I47-1,I47/I48-1)</f>
        <v>0.13176470588235301</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1.2932711007390019E-2</v>
      </c>
      <c r="F53" s="626" t="str">
        <f>IF(OR(E53&gt;=0.2,E53&lt;=-0.2),"超过20%","")</f>
        <v/>
      </c>
      <c r="G53" s="625">
        <f>IF(G48&lt;I48,I48/G48-1,G48/I48-1)</f>
        <v>6.9022869022868916E-2</v>
      </c>
      <c r="H53" s="626" t="str">
        <f>IF(OR(G53&gt;=0.2,G53&lt;=-0.2),"超过20%","")</f>
        <v/>
      </c>
      <c r="I53" s="625">
        <f>IF(I48&lt;E48,E48/I48-1,I48/E48-1)</f>
        <v>8.284823284823295E-2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560</v>
      </c>
      <c r="D54" s="627"/>
      <c r="E54" s="625">
        <f>IF(E47&lt;G47,G47/E47-1,E47/G47-1)</f>
        <v>0.10000000000000009</v>
      </c>
      <c r="F54" s="626" t="str">
        <f>IF(OR(E54&gt;=0.3,E54&lt;=-0.3),"超过30%","")</f>
        <v/>
      </c>
      <c r="G54" s="625">
        <f>IF(G47&lt;I47,I47/G47-1,G47/I47-1)</f>
        <v>5.8823529411764719E-2</v>
      </c>
      <c r="H54" s="626" t="str">
        <f>IF(OR(G54&gt;=0.3,G54&lt;=-0.3),"超过30%","")</f>
        <v/>
      </c>
      <c r="I54" s="625">
        <f>IF(I47&lt;E47,E47/I47-1,I47/E47-1)</f>
        <v>0.16470588235294126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530</v>
      </c>
      <c r="B58" s="645"/>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7"/>
      <c r="Q59" s="1992"/>
      <c r="R59" s="1992"/>
      <c r="S59" s="1992"/>
      <c r="T59" s="1992"/>
      <c r="U59" s="1992"/>
      <c r="V59" s="1992"/>
      <c r="W59" s="1992"/>
      <c r="X59" s="1992"/>
      <c r="Y59" s="1992"/>
      <c r="Z59" s="1992"/>
      <c r="AA59" s="1992"/>
      <c r="AB59" s="1992"/>
      <c r="AC59" s="1992"/>
    </row>
    <row r="60" spans="1:29" s="1218"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2563</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8" t="s">
        <v>2564</v>
      </c>
      <c r="C82" s="2619" t="s">
        <v>2565</v>
      </c>
      <c r="D82" s="2619" t="s">
        <v>2566</v>
      </c>
      <c r="E82" s="2619" t="s">
        <v>2567</v>
      </c>
      <c r="F82" s="2619" t="s">
        <v>2568</v>
      </c>
      <c r="G82" s="2619" t="s">
        <v>2569</v>
      </c>
      <c r="H82" s="673"/>
      <c r="I82" s="673"/>
      <c r="J82" s="673"/>
      <c r="K82" s="673"/>
      <c r="L82" s="673"/>
      <c r="M82" s="2622"/>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2260</v>
      </c>
      <c r="C86" s="687"/>
      <c r="D86" s="687"/>
      <c r="E86" s="3504"/>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747</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3475" t="s">
        <v>3245</v>
      </c>
      <c r="D90" s="3475" t="s">
        <v>3246</v>
      </c>
      <c r="E90" s="3475" t="s">
        <v>3247</v>
      </c>
      <c r="F90" s="3475" t="s">
        <v>3248</v>
      </c>
      <c r="G90" s="3475" t="s">
        <v>3249</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0</v>
      </c>
      <c r="C92" s="687">
        <v>1</v>
      </c>
      <c r="D92" s="687">
        <v>2</v>
      </c>
      <c r="E92" s="3504" t="s">
        <v>3452</v>
      </c>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v>100</v>
      </c>
      <c r="D93" s="670">
        <v>70</v>
      </c>
      <c r="E93" s="670">
        <v>85</v>
      </c>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748</v>
      </c>
      <c r="C100" s="3476" t="s">
        <v>3251</v>
      </c>
      <c r="D100" s="3476"/>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749</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200000(含)-250000</v>
      </c>
      <c r="H102" s="707" t="str">
        <f t="shared" si="23"/>
        <v>250000(含)-300000</v>
      </c>
      <c r="I102" s="707" t="str">
        <f t="shared" si="23"/>
        <v>300000(含)-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v>
      </c>
      <c r="E103" s="729">
        <v>100000</v>
      </c>
      <c r="F103" s="729">
        <v>150000</v>
      </c>
      <c r="G103" s="729">
        <v>200000</v>
      </c>
      <c r="H103" s="729">
        <v>250000</v>
      </c>
      <c r="I103" s="729">
        <v>300000</v>
      </c>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91">
        <v>102</v>
      </c>
      <c r="F104" s="670">
        <v>103</v>
      </c>
      <c r="G104" s="691">
        <v>104</v>
      </c>
      <c r="H104" s="670">
        <v>105</v>
      </c>
      <c r="I104" s="691">
        <v>106</v>
      </c>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3475" t="s">
        <v>3252</v>
      </c>
      <c r="D105" s="3475" t="s">
        <v>3253</v>
      </c>
      <c r="E105" s="3477" t="s">
        <v>3254</v>
      </c>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3477" t="s">
        <v>3255</v>
      </c>
      <c r="D107" s="3477" t="s">
        <v>3256</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3475" t="s">
        <v>3257</v>
      </c>
      <c r="D109" s="3475" t="s">
        <v>3258</v>
      </c>
      <c r="E109" s="3475" t="s">
        <v>3259</v>
      </c>
      <c r="F109" s="3477" t="s">
        <v>3260</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754</v>
      </c>
      <c r="C114" s="3475" t="s">
        <v>3261</v>
      </c>
      <c r="D114" s="3475" t="s">
        <v>3262</v>
      </c>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2562</v>
      </c>
      <c r="C116" s="3475" t="s">
        <v>3263</v>
      </c>
      <c r="D116" s="3475" t="s">
        <v>3265</v>
      </c>
      <c r="E116" s="3475" t="s">
        <v>3266</v>
      </c>
      <c r="F116" s="3475" t="s">
        <v>3267</v>
      </c>
      <c r="G116" s="3475" t="s">
        <v>3268</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755</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734</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3475" t="s">
        <v>3257</v>
      </c>
      <c r="D122" s="3475" t="s">
        <v>3258</v>
      </c>
      <c r="E122" s="3475" t="s">
        <v>3259</v>
      </c>
      <c r="F122" s="3477" t="s">
        <v>3260</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C49" sqref="C4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758</v>
      </c>
      <c r="C1" s="503" t="s">
        <v>721</v>
      </c>
      <c r="D1" s="2367" t="s">
        <v>3215</v>
      </c>
      <c r="E1" s="505"/>
      <c r="F1" s="2829" t="s">
        <v>3242</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5800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520</v>
      </c>
      <c r="B3" s="509">
        <f>C49</f>
        <v>22527</v>
      </c>
      <c r="C3" s="851" t="s">
        <v>723</v>
      </c>
      <c r="D3" s="850">
        <f>SUMIF('数据-汇总表'!$C19:$C33,D1,'数据-汇总表'!$E19:$E33)</f>
        <v>2574.56</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522</v>
      </c>
      <c r="B4" s="512"/>
      <c r="C4" s="3705" t="s">
        <v>523</v>
      </c>
      <c r="D4" s="3706"/>
      <c r="E4" s="3729" t="s">
        <v>524</v>
      </c>
      <c r="F4" s="3730"/>
      <c r="G4" s="3705" t="s">
        <v>525</v>
      </c>
      <c r="H4" s="3706"/>
      <c r="I4" s="3705" t="s">
        <v>526</v>
      </c>
      <c r="J4" s="3706"/>
      <c r="K4" s="513" t="s">
        <v>527</v>
      </c>
      <c r="L4" s="2132"/>
      <c r="M4" s="2133"/>
      <c r="N4" s="2133"/>
      <c r="O4" s="2133"/>
      <c r="P4" s="3707" t="s">
        <v>528</v>
      </c>
      <c r="Q4" s="3708"/>
      <c r="R4" s="3693" t="s">
        <v>524</v>
      </c>
      <c r="S4" s="3694"/>
      <c r="T4" s="3693" t="s">
        <v>525</v>
      </c>
      <c r="U4" s="3694"/>
      <c r="V4" s="3713" t="s">
        <v>526</v>
      </c>
      <c r="W4" s="3713"/>
      <c r="X4" s="1566"/>
      <c r="Y4" s="3693" t="s">
        <v>528</v>
      </c>
      <c r="Z4" s="3694"/>
      <c r="AA4" s="3688" t="s">
        <v>524</v>
      </c>
      <c r="AB4" s="3713" t="s">
        <v>525</v>
      </c>
      <c r="AC4" s="3688" t="s">
        <v>526</v>
      </c>
    </row>
    <row r="5" spans="1:29" ht="15">
      <c r="A5" s="514"/>
      <c r="B5" s="515"/>
      <c r="C5" s="3716" t="s">
        <v>2933</v>
      </c>
      <c r="D5" s="3717"/>
      <c r="E5" s="3724" t="s">
        <v>3424</v>
      </c>
      <c r="F5" s="3725"/>
      <c r="G5" s="3726" t="s">
        <v>3426</v>
      </c>
      <c r="H5" s="3717"/>
      <c r="I5" s="3726" t="s">
        <v>3425</v>
      </c>
      <c r="J5" s="3717"/>
      <c r="K5" s="513"/>
      <c r="L5" s="2132"/>
      <c r="M5" s="2133"/>
      <c r="N5" s="2133"/>
      <c r="O5" s="2133"/>
      <c r="P5" s="3709"/>
      <c r="Q5" s="3710"/>
      <c r="R5" s="3695"/>
      <c r="S5" s="3696"/>
      <c r="T5" s="3695"/>
      <c r="U5" s="3696"/>
      <c r="V5" s="3713"/>
      <c r="W5" s="3713"/>
      <c r="X5" s="1566"/>
      <c r="Y5" s="3695"/>
      <c r="Z5" s="3696"/>
      <c r="AA5" s="3689"/>
      <c r="AB5" s="3713"/>
      <c r="AC5" s="3689"/>
    </row>
    <row r="6" spans="1:29" ht="15.75" thickBot="1">
      <c r="A6" s="516"/>
      <c r="B6" s="517"/>
      <c r="C6" s="3714" t="s">
        <v>2937</v>
      </c>
      <c r="D6" s="3715"/>
      <c r="E6" s="3727" t="s">
        <v>2937</v>
      </c>
      <c r="F6" s="3728"/>
      <c r="G6" s="3714" t="s">
        <v>2937</v>
      </c>
      <c r="H6" s="3715"/>
      <c r="I6" s="3714" t="s">
        <v>2937</v>
      </c>
      <c r="J6" s="3715"/>
      <c r="K6" s="513" t="s">
        <v>529</v>
      </c>
      <c r="L6" s="2132"/>
      <c r="M6" s="2133"/>
      <c r="N6" s="2133"/>
      <c r="O6" s="2133"/>
      <c r="P6" s="3711"/>
      <c r="Q6" s="3712"/>
      <c r="R6" s="3695"/>
      <c r="S6" s="3696"/>
      <c r="T6" s="3697"/>
      <c r="U6" s="3698"/>
      <c r="V6" s="3713"/>
      <c r="W6" s="3713"/>
      <c r="X6" s="1566"/>
      <c r="Y6" s="3697"/>
      <c r="Z6" s="3698"/>
      <c r="AA6" s="3690"/>
      <c r="AB6" s="3713"/>
      <c r="AC6" s="3690"/>
    </row>
    <row r="7" spans="1:29" s="1218" customFormat="1" ht="15.75" thickBot="1">
      <c r="A7" s="2933"/>
      <c r="B7" s="2940" t="s">
        <v>530</v>
      </c>
      <c r="C7" s="518">
        <f>'数据-取费表'!B2</f>
        <v>43206</v>
      </c>
      <c r="D7" s="519">
        <v>100</v>
      </c>
      <c r="E7" s="520">
        <f>C7</f>
        <v>43206</v>
      </c>
      <c r="F7" s="521">
        <f>SUMIF(58:58,YEAR(E7)&amp;"-"&amp;MONTH(E7),59:59)</f>
        <v>100</v>
      </c>
      <c r="G7" s="520">
        <f>C7</f>
        <v>43206</v>
      </c>
      <c r="H7" s="519">
        <f>SUMIF(58:58,YEAR(G7)&amp;"-"&amp;MONTH(G7),59:59)</f>
        <v>100</v>
      </c>
      <c r="I7" s="520">
        <f>C7</f>
        <v>43206</v>
      </c>
      <c r="J7" s="519">
        <f>SUMIF(58:58,YEAR(I7)&amp;"-"&amp;MONTH(I7),59:59)</f>
        <v>100</v>
      </c>
      <c r="K7" s="523"/>
      <c r="L7" s="2134"/>
      <c r="M7" s="2135"/>
      <c r="N7" s="2135"/>
      <c r="O7" s="2135"/>
      <c r="P7" s="3691" t="s">
        <v>531</v>
      </c>
      <c r="Q7" s="3700"/>
      <c r="R7" s="1567" t="s">
        <v>8</v>
      </c>
      <c r="S7" s="1568">
        <f t="shared" ref="S7:S15" si="0">F7</f>
        <v>100</v>
      </c>
      <c r="T7" s="1567" t="s">
        <v>8</v>
      </c>
      <c r="U7" s="1568">
        <f t="shared" ref="U7:U15" si="1">H7</f>
        <v>100</v>
      </c>
      <c r="V7" s="1567" t="s">
        <v>8</v>
      </c>
      <c r="W7" s="1568">
        <f t="shared" ref="W7:W15" si="2">J7</f>
        <v>100</v>
      </c>
      <c r="X7" s="1569"/>
      <c r="Y7" s="3691" t="s">
        <v>531</v>
      </c>
      <c r="Z7" s="3692"/>
      <c r="AA7" s="1570">
        <f>D7/F7</f>
        <v>1</v>
      </c>
      <c r="AB7" s="1570">
        <f>D7/H7</f>
        <v>1</v>
      </c>
      <c r="AC7" s="1570">
        <f>D7/J7</f>
        <v>1</v>
      </c>
    </row>
    <row r="8" spans="1:29" s="1218" customFormat="1" ht="15.75" thickBot="1">
      <c r="A8" s="2934"/>
      <c r="B8" s="2941" t="s">
        <v>532</v>
      </c>
      <c r="C8" s="524" t="s">
        <v>577</v>
      </c>
      <c r="D8" s="519">
        <v>100</v>
      </c>
      <c r="E8" s="524" t="s">
        <v>3244</v>
      </c>
      <c r="F8" s="521">
        <f>SUMIF(61:61,E8,62:62)-SUMIF(61:61,C8,62:62)+100</f>
        <v>100</v>
      </c>
      <c r="G8" s="524" t="s">
        <v>3244</v>
      </c>
      <c r="H8" s="519">
        <f>SUMIF(61:61,G8,62:62)-SUMIF(61:61,C8,62:62)+100</f>
        <v>100</v>
      </c>
      <c r="I8" s="524" t="s">
        <v>3244</v>
      </c>
      <c r="J8" s="519">
        <f>SUMIF(61:61,I8,62:62)-SUMIF(61:61,C8,62:62)+100</f>
        <v>100</v>
      </c>
      <c r="K8" s="523"/>
      <c r="L8" s="2134"/>
      <c r="M8" s="2135"/>
      <c r="N8" s="2135"/>
      <c r="O8" s="2135"/>
      <c r="P8" s="3691" t="s">
        <v>534</v>
      </c>
      <c r="Q8" s="3692"/>
      <c r="R8" s="1567" t="s">
        <v>8</v>
      </c>
      <c r="S8" s="1568">
        <f t="shared" si="0"/>
        <v>100</v>
      </c>
      <c r="T8" s="1567" t="s">
        <v>8</v>
      </c>
      <c r="U8" s="1568">
        <f t="shared" si="1"/>
        <v>100</v>
      </c>
      <c r="V8" s="1567" t="s">
        <v>8</v>
      </c>
      <c r="W8" s="1568">
        <f t="shared" si="2"/>
        <v>100</v>
      </c>
      <c r="X8" s="1569"/>
      <c r="Y8" s="3691" t="s">
        <v>534</v>
      </c>
      <c r="Z8" s="3692"/>
      <c r="AA8" s="1570">
        <f t="shared" ref="AA8:AA46" si="3">D8/F8</f>
        <v>1</v>
      </c>
      <c r="AB8" s="1570">
        <f t="shared" ref="AB8:AB46" si="4">D8/H8</f>
        <v>1</v>
      </c>
      <c r="AC8" s="1570">
        <f t="shared" ref="AC8:AC46" si="5">D8/J8</f>
        <v>1</v>
      </c>
    </row>
    <row r="9" spans="1:29" s="1218" customFormat="1" ht="15">
      <c r="A9" s="2935"/>
      <c r="B9" s="2942" t="s">
        <v>2762</v>
      </c>
      <c r="C9" s="3474" t="s">
        <v>3422</v>
      </c>
      <c r="D9" s="253">
        <v>100</v>
      </c>
      <c r="E9" s="859" t="s">
        <v>3215</v>
      </c>
      <c r="F9" s="253">
        <f>SUMIF(63:63,E9,64:64)-SUMIF(63:63,C9,64:64)+100</f>
        <v>100</v>
      </c>
      <c r="G9" s="857" t="s">
        <v>3215</v>
      </c>
      <c r="H9" s="253">
        <f>SUMIF(63:63,G9,64:64)-SUMIF(63:63,C9,64:64)+100</f>
        <v>100</v>
      </c>
      <c r="I9" s="857" t="s">
        <v>3215</v>
      </c>
      <c r="J9" s="253">
        <f>SUMIF(63:63,I9,64:64)-SUMIF(63:63,C9,64:64)+100</f>
        <v>100</v>
      </c>
      <c r="K9" s="523"/>
      <c r="L9" s="2134"/>
      <c r="M9" s="2135"/>
      <c r="N9" s="2135"/>
      <c r="O9" s="2136"/>
      <c r="P9" s="3699" t="s">
        <v>536</v>
      </c>
      <c r="Q9" s="1149" t="str">
        <f t="shared" ref="Q9:Q15" si="6">B9</f>
        <v>用途</v>
      </c>
      <c r="R9" s="1567" t="s">
        <v>8</v>
      </c>
      <c r="S9" s="1568">
        <f t="shared" si="0"/>
        <v>100</v>
      </c>
      <c r="T9" s="1567" t="s">
        <v>8</v>
      </c>
      <c r="U9" s="1568">
        <f t="shared" si="1"/>
        <v>100</v>
      </c>
      <c r="V9" s="1567" t="s">
        <v>8</v>
      </c>
      <c r="W9" s="1568">
        <f t="shared" si="2"/>
        <v>100</v>
      </c>
      <c r="X9" s="1569"/>
      <c r="Y9" s="3656" t="s">
        <v>537</v>
      </c>
      <c r="Z9" s="1148" t="str">
        <f t="shared" ref="Z9:Z15" si="7">Q9</f>
        <v>用途</v>
      </c>
      <c r="AA9" s="1570">
        <f t="shared" si="3"/>
        <v>1</v>
      </c>
      <c r="AB9" s="1570">
        <f t="shared" si="4"/>
        <v>1</v>
      </c>
      <c r="AC9" s="1570">
        <f t="shared" si="5"/>
        <v>1</v>
      </c>
    </row>
    <row r="10" spans="1:29" s="1336" customFormat="1" ht="27">
      <c r="A10" s="2936"/>
      <c r="B10" s="2941" t="s">
        <v>2763</v>
      </c>
      <c r="C10" s="860" t="s">
        <v>3423</v>
      </c>
      <c r="D10" s="254">
        <v>100</v>
      </c>
      <c r="E10" s="860" t="s">
        <v>3423</v>
      </c>
      <c r="F10" s="254">
        <f>SUMIF(65:65,E10,66:66)-SUMIF(65:65,C10,66:66)+100</f>
        <v>100</v>
      </c>
      <c r="G10" s="861" t="s">
        <v>3423</v>
      </c>
      <c r="H10" s="254">
        <f>SUMIF(65:65,G10,66:66)-SUMIF(65:65,C10,66:66)+100</f>
        <v>100</v>
      </c>
      <c r="I10" s="860" t="s">
        <v>3423</v>
      </c>
      <c r="J10" s="254">
        <f>SUMIF(65:65,I10,66:66)-SUMIF(65:65,C10,66:66)+100</f>
        <v>100</v>
      </c>
      <c r="K10" s="583">
        <v>2</v>
      </c>
      <c r="L10" s="2137"/>
      <c r="M10" s="2177"/>
      <c r="N10" s="2177"/>
      <c r="O10" s="2138"/>
      <c r="P10" s="3699"/>
      <c r="Q10" s="1149" t="str">
        <f t="shared" si="6"/>
        <v>土地使用年限（年）</v>
      </c>
      <c r="R10" s="1567" t="s">
        <v>8</v>
      </c>
      <c r="S10" s="1568">
        <f t="shared" si="0"/>
        <v>100</v>
      </c>
      <c r="T10" s="1567" t="s">
        <v>8</v>
      </c>
      <c r="U10" s="1568">
        <f t="shared" si="1"/>
        <v>100</v>
      </c>
      <c r="V10" s="1567" t="s">
        <v>8</v>
      </c>
      <c r="W10" s="1568">
        <f t="shared" si="2"/>
        <v>100</v>
      </c>
      <c r="X10" s="1569"/>
      <c r="Y10" s="3656"/>
      <c r="Z10" s="1148" t="str">
        <f t="shared" si="7"/>
        <v>土地使用年限（年）</v>
      </c>
      <c r="AA10" s="1570">
        <f t="shared" si="3"/>
        <v>1</v>
      </c>
      <c r="AB10" s="1570">
        <f t="shared" si="4"/>
        <v>1</v>
      </c>
      <c r="AC10" s="1570">
        <f t="shared" si="5"/>
        <v>1</v>
      </c>
    </row>
    <row r="11" spans="1:29" ht="15">
      <c r="A11" s="2937"/>
      <c r="B11" s="2941" t="s">
        <v>2764</v>
      </c>
      <c r="C11" s="532"/>
      <c r="D11" s="254">
        <v>100</v>
      </c>
      <c r="E11" s="532"/>
      <c r="F11" s="254">
        <f>LOOKUP(E11,68:68,69:69)-LOOKUP(C11,68:68,69:69)+100</f>
        <v>100</v>
      </c>
      <c r="G11" s="533"/>
      <c r="H11" s="254">
        <f>LOOKUP(G11,68:68,69:69)-LOOKUP(C11,68:68,69:69)+100</f>
        <v>100</v>
      </c>
      <c r="I11" s="532"/>
      <c r="J11" s="254">
        <f>LOOKUP(I11,68:68,69:69)-LOOKUP(C11,68:68,69:69)+100</f>
        <v>100</v>
      </c>
      <c r="K11" s="583"/>
      <c r="L11" s="2139"/>
      <c r="M11" s="2133"/>
      <c r="N11" s="2133"/>
      <c r="O11" s="2140"/>
      <c r="P11" s="3699"/>
      <c r="Q11" s="1149" t="str">
        <f t="shared" si="6"/>
        <v>容积率</v>
      </c>
      <c r="R11" s="1567" t="s">
        <v>8</v>
      </c>
      <c r="S11" s="1568">
        <f t="shared" si="0"/>
        <v>100</v>
      </c>
      <c r="T11" s="1567" t="s">
        <v>8</v>
      </c>
      <c r="U11" s="1568">
        <f t="shared" si="1"/>
        <v>100</v>
      </c>
      <c r="V11" s="1567" t="s">
        <v>8</v>
      </c>
      <c r="W11" s="1568">
        <f t="shared" si="2"/>
        <v>100</v>
      </c>
      <c r="X11" s="1569"/>
      <c r="Y11" s="3656"/>
      <c r="Z11" s="1148" t="str">
        <f t="shared" si="7"/>
        <v>容积率</v>
      </c>
      <c r="AA11" s="1570">
        <f t="shared" si="3"/>
        <v>1</v>
      </c>
      <c r="AB11" s="1570">
        <f t="shared" si="4"/>
        <v>1</v>
      </c>
      <c r="AC11" s="1570">
        <f t="shared" si="5"/>
        <v>1</v>
      </c>
    </row>
    <row r="12" spans="1:29" s="1218" customFormat="1" ht="15">
      <c r="A12" s="2938"/>
      <c r="B12" s="2944">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699"/>
      <c r="Q12" s="1149">
        <f t="shared" si="6"/>
        <v>111</v>
      </c>
      <c r="R12" s="1567" t="s">
        <v>8</v>
      </c>
      <c r="S12" s="1568">
        <f t="shared" si="0"/>
        <v>100</v>
      </c>
      <c r="T12" s="1567" t="s">
        <v>8</v>
      </c>
      <c r="U12" s="1568">
        <f t="shared" si="1"/>
        <v>100</v>
      </c>
      <c r="V12" s="1567" t="s">
        <v>8</v>
      </c>
      <c r="W12" s="1568">
        <f t="shared" si="2"/>
        <v>100</v>
      </c>
      <c r="X12" s="1569"/>
      <c r="Y12" s="3656"/>
      <c r="Z12" s="1148">
        <f t="shared" si="7"/>
        <v>111</v>
      </c>
      <c r="AA12" s="1570">
        <f>D12/F12</f>
        <v>1</v>
      </c>
      <c r="AB12" s="1570">
        <f>D12/H12</f>
        <v>1</v>
      </c>
      <c r="AC12" s="1570">
        <f>D12/J12</f>
        <v>1</v>
      </c>
    </row>
    <row r="13" spans="1:29" ht="15">
      <c r="A13" s="2938"/>
      <c r="B13" s="2944">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699"/>
      <c r="Q13" s="1149">
        <f t="shared" si="6"/>
        <v>111</v>
      </c>
      <c r="R13" s="1567" t="s">
        <v>8</v>
      </c>
      <c r="S13" s="1568">
        <f t="shared" si="0"/>
        <v>100</v>
      </c>
      <c r="T13" s="1567" t="s">
        <v>8</v>
      </c>
      <c r="U13" s="1568">
        <f t="shared" si="1"/>
        <v>100</v>
      </c>
      <c r="V13" s="1567" t="s">
        <v>8</v>
      </c>
      <c r="W13" s="1568">
        <f t="shared" si="2"/>
        <v>100</v>
      </c>
      <c r="X13" s="1569"/>
      <c r="Y13" s="3656"/>
      <c r="Z13" s="1148">
        <f t="shared" si="7"/>
        <v>111</v>
      </c>
      <c r="AA13" s="1570">
        <f t="shared" si="3"/>
        <v>1</v>
      </c>
      <c r="AB13" s="1570">
        <f t="shared" si="4"/>
        <v>1</v>
      </c>
      <c r="AC13" s="1570">
        <f t="shared" si="5"/>
        <v>1</v>
      </c>
    </row>
    <row r="14" spans="1:29" ht="15.75"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699"/>
      <c r="Q14" s="1149">
        <f t="shared" si="6"/>
        <v>111</v>
      </c>
      <c r="R14" s="1567" t="s">
        <v>8</v>
      </c>
      <c r="S14" s="1568">
        <f t="shared" si="0"/>
        <v>100</v>
      </c>
      <c r="T14" s="1567" t="s">
        <v>8</v>
      </c>
      <c r="U14" s="1568">
        <f t="shared" si="1"/>
        <v>100</v>
      </c>
      <c r="V14" s="1567" t="s">
        <v>8</v>
      </c>
      <c r="W14" s="1568">
        <f t="shared" si="2"/>
        <v>100</v>
      </c>
      <c r="X14" s="1569"/>
      <c r="Y14" s="3656"/>
      <c r="Z14" s="1148">
        <f t="shared" si="7"/>
        <v>111</v>
      </c>
      <c r="AA14" s="1570">
        <f t="shared" si="3"/>
        <v>1</v>
      </c>
      <c r="AB14" s="1570">
        <f t="shared" si="4"/>
        <v>1</v>
      </c>
      <c r="AC14" s="1570">
        <f t="shared" si="5"/>
        <v>1</v>
      </c>
    </row>
    <row r="15" spans="1:29" ht="71.25">
      <c r="A15" s="2931" t="s">
        <v>2760</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102</v>
      </c>
      <c r="I15" s="549"/>
      <c r="J15" s="548">
        <f>SUMIF(76:76,I16,77:77)-SUMIF(76:76,C16,77:77)+100</f>
        <v>102</v>
      </c>
      <c r="K15" s="897">
        <v>2</v>
      </c>
      <c r="L15" s="2141"/>
      <c r="M15" s="2133"/>
      <c r="N15" s="2133"/>
      <c r="O15" s="2140"/>
      <c r="P15" s="3701" t="s">
        <v>541</v>
      </c>
      <c r="Q15" s="1571" t="str">
        <f t="shared" si="6"/>
        <v>商业繁华度</v>
      </c>
      <c r="R15" s="1572" t="s">
        <v>8</v>
      </c>
      <c r="S15" s="1573">
        <f t="shared" si="0"/>
        <v>100</v>
      </c>
      <c r="T15" s="1572" t="s">
        <v>8</v>
      </c>
      <c r="U15" s="1573">
        <f t="shared" si="1"/>
        <v>102</v>
      </c>
      <c r="V15" s="1572" t="s">
        <v>8</v>
      </c>
      <c r="W15" s="1573">
        <f t="shared" si="2"/>
        <v>102</v>
      </c>
      <c r="X15" s="1566"/>
      <c r="Y15" s="3701" t="s">
        <v>541</v>
      </c>
      <c r="Z15" s="1574" t="str">
        <f t="shared" si="7"/>
        <v>商业繁华度</v>
      </c>
      <c r="AA15" s="1575">
        <f t="shared" si="3"/>
        <v>1</v>
      </c>
      <c r="AB15" s="1575">
        <f t="shared" si="4"/>
        <v>0.98039215686274506</v>
      </c>
      <c r="AC15" s="1575">
        <f t="shared" si="5"/>
        <v>0.98039215686274506</v>
      </c>
    </row>
    <row r="16" spans="1:29" ht="15">
      <c r="A16" s="531"/>
      <c r="B16" s="868"/>
      <c r="C16" s="575" t="s">
        <v>3270</v>
      </c>
      <c r="D16" s="554"/>
      <c r="E16" s="575" t="s">
        <v>3270</v>
      </c>
      <c r="F16" s="556"/>
      <c r="G16" s="575" t="s">
        <v>3271</v>
      </c>
      <c r="H16" s="558"/>
      <c r="I16" s="575" t="s">
        <v>3271</v>
      </c>
      <c r="J16" s="554"/>
      <c r="K16" s="898"/>
      <c r="L16" s="2141"/>
      <c r="M16" s="2133"/>
      <c r="N16" s="2133"/>
      <c r="O16" s="2140"/>
      <c r="P16" s="3702"/>
      <c r="Q16" s="1571"/>
      <c r="R16" s="1572"/>
      <c r="S16" s="1573"/>
      <c r="T16" s="1572"/>
      <c r="U16" s="1573"/>
      <c r="V16" s="1572"/>
      <c r="W16" s="1573"/>
      <c r="X16" s="1566"/>
      <c r="Y16" s="3702"/>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102</v>
      </c>
      <c r="I17" s="561"/>
      <c r="J17" s="564">
        <f>SUMIF(78:78,I18,79:79)-SUMIF(78:78,C18,79:79)+100</f>
        <v>102</v>
      </c>
      <c r="K17" s="897">
        <v>2</v>
      </c>
      <c r="L17" s="2141"/>
      <c r="M17" s="2133"/>
      <c r="N17" s="2133"/>
      <c r="O17" s="2140"/>
      <c r="P17" s="3702"/>
      <c r="Q17" s="1571" t="str">
        <f>B17</f>
        <v>交通便捷度</v>
      </c>
      <c r="R17" s="1572" t="s">
        <v>8</v>
      </c>
      <c r="S17" s="1573">
        <f>F17</f>
        <v>100</v>
      </c>
      <c r="T17" s="1572" t="s">
        <v>8</v>
      </c>
      <c r="U17" s="1573">
        <f>H17</f>
        <v>102</v>
      </c>
      <c r="V17" s="1572" t="s">
        <v>8</v>
      </c>
      <c r="W17" s="1573">
        <f>J17</f>
        <v>102</v>
      </c>
      <c r="X17" s="1566"/>
      <c r="Y17" s="3702"/>
      <c r="Z17" s="1574" t="str">
        <f>Q17</f>
        <v>交通便捷度</v>
      </c>
      <c r="AA17" s="1575">
        <f t="shared" si="3"/>
        <v>1</v>
      </c>
      <c r="AB17" s="1575">
        <f t="shared" si="4"/>
        <v>0.98039215686274506</v>
      </c>
      <c r="AC17" s="1575">
        <f t="shared" si="5"/>
        <v>0.98039215686274506</v>
      </c>
    </row>
    <row r="18" spans="1:29" ht="15">
      <c r="A18" s="531"/>
      <c r="B18" s="594"/>
      <c r="C18" s="872" t="s">
        <v>3270</v>
      </c>
      <c r="D18" s="558"/>
      <c r="E18" s="567" t="s">
        <v>3270</v>
      </c>
      <c r="F18" s="562"/>
      <c r="G18" s="568" t="s">
        <v>3271</v>
      </c>
      <c r="H18" s="554"/>
      <c r="I18" s="567" t="s">
        <v>3271</v>
      </c>
      <c r="J18" s="554"/>
      <c r="K18" s="898"/>
      <c r="L18" s="2141"/>
      <c r="M18" s="2133"/>
      <c r="N18" s="2133"/>
      <c r="O18" s="2140"/>
      <c r="P18" s="3702"/>
      <c r="Q18" s="1571"/>
      <c r="R18" s="1572"/>
      <c r="S18" s="1573"/>
      <c r="T18" s="1572"/>
      <c r="U18" s="1573"/>
      <c r="V18" s="1572"/>
      <c r="W18" s="1573"/>
      <c r="X18" s="1566"/>
      <c r="Y18" s="3702"/>
      <c r="Z18" s="1574"/>
      <c r="AA18" s="1575">
        <v>1</v>
      </c>
      <c r="AB18" s="1575">
        <v>1</v>
      </c>
      <c r="AC18" s="1575">
        <v>1</v>
      </c>
    </row>
    <row r="19" spans="1:29" ht="42.75">
      <c r="A19" s="531"/>
      <c r="B19" s="2621"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v>2</v>
      </c>
      <c r="L19" s="2141"/>
      <c r="M19" s="2133"/>
      <c r="N19" s="2133"/>
      <c r="O19" s="2140"/>
      <c r="P19" s="3702"/>
      <c r="Q19" s="1571" t="str">
        <f>B19</f>
        <v>公共配套设施</v>
      </c>
      <c r="R19" s="1572" t="s">
        <v>8</v>
      </c>
      <c r="S19" s="1573">
        <f>F19</f>
        <v>100</v>
      </c>
      <c r="T19" s="1572" t="s">
        <v>8</v>
      </c>
      <c r="U19" s="1573">
        <f>H19</f>
        <v>100</v>
      </c>
      <c r="V19" s="1572" t="s">
        <v>8</v>
      </c>
      <c r="W19" s="1573">
        <f>J19</f>
        <v>100</v>
      </c>
      <c r="X19" s="1566"/>
      <c r="Y19" s="3702"/>
      <c r="Z19" s="1574" t="str">
        <f>Q19</f>
        <v>公共配套设施</v>
      </c>
      <c r="AA19" s="1575">
        <f t="shared" si="3"/>
        <v>1</v>
      </c>
      <c r="AB19" s="1575">
        <f t="shared" si="4"/>
        <v>1</v>
      </c>
      <c r="AC19" s="1575">
        <f t="shared" si="5"/>
        <v>1</v>
      </c>
    </row>
    <row r="20" spans="1:29" ht="15">
      <c r="A20" s="531"/>
      <c r="B20" s="594"/>
      <c r="C20" s="575" t="s">
        <v>3271</v>
      </c>
      <c r="D20" s="554"/>
      <c r="E20" s="555" t="s">
        <v>3271</v>
      </c>
      <c r="F20" s="556"/>
      <c r="G20" s="557" t="s">
        <v>3271</v>
      </c>
      <c r="H20" s="554"/>
      <c r="I20" s="555" t="s">
        <v>3271</v>
      </c>
      <c r="J20" s="554"/>
      <c r="K20" s="898"/>
      <c r="L20" s="2141"/>
      <c r="M20" s="2133"/>
      <c r="N20" s="2133"/>
      <c r="O20" s="2140"/>
      <c r="P20" s="3702"/>
      <c r="Q20" s="1571"/>
      <c r="R20" s="1572"/>
      <c r="S20" s="1573"/>
      <c r="T20" s="1572"/>
      <c r="U20" s="1573"/>
      <c r="V20" s="1572"/>
      <c r="W20" s="1573"/>
      <c r="X20" s="1566"/>
      <c r="Y20" s="3702"/>
      <c r="Z20" s="1574"/>
      <c r="AA20" s="1575">
        <v>1</v>
      </c>
      <c r="AB20" s="1575">
        <v>1</v>
      </c>
      <c r="AC20" s="1575">
        <v>1</v>
      </c>
    </row>
    <row r="21" spans="1:29" ht="28.5">
      <c r="A21" s="531"/>
      <c r="B21" s="2614"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v>2</v>
      </c>
      <c r="L21" s="2141"/>
      <c r="M21" s="2133"/>
      <c r="N21" s="2133"/>
      <c r="O21" s="2140"/>
      <c r="P21" s="3702"/>
      <c r="Q21" s="2600" t="str">
        <f>B21</f>
        <v>基础设施水平</v>
      </c>
      <c r="R21" s="1572" t="s">
        <v>8</v>
      </c>
      <c r="S21" s="1573">
        <f>F21</f>
        <v>100</v>
      </c>
      <c r="T21" s="1572" t="s">
        <v>8</v>
      </c>
      <c r="U21" s="1573">
        <f>H21</f>
        <v>100</v>
      </c>
      <c r="V21" s="1572" t="s">
        <v>8</v>
      </c>
      <c r="W21" s="1573">
        <f>J21</f>
        <v>100</v>
      </c>
      <c r="X21" s="2602"/>
      <c r="Y21" s="3702"/>
      <c r="Z21" s="2601" t="str">
        <f>Q21</f>
        <v>基础设施水平</v>
      </c>
      <c r="AA21" s="1575">
        <f t="shared" ref="AA21" si="8">D21/F21</f>
        <v>1</v>
      </c>
      <c r="AB21" s="1575">
        <f t="shared" ref="AB21" si="9">D21/H21</f>
        <v>1</v>
      </c>
      <c r="AC21" s="1575">
        <f t="shared" ref="AC21" si="10">D21/J21</f>
        <v>1</v>
      </c>
    </row>
    <row r="22" spans="1:29" ht="15">
      <c r="A22" s="531"/>
      <c r="B22" s="921"/>
      <c r="C22" s="872" t="s">
        <v>3264</v>
      </c>
      <c r="D22" s="554"/>
      <c r="E22" s="575" t="s">
        <v>3264</v>
      </c>
      <c r="F22" s="556"/>
      <c r="G22" s="575" t="s">
        <v>3264</v>
      </c>
      <c r="H22" s="554"/>
      <c r="I22" s="575" t="s">
        <v>3264</v>
      </c>
      <c r="J22" s="554"/>
      <c r="K22" s="2623"/>
      <c r="L22" s="2141"/>
      <c r="M22" s="2133"/>
      <c r="N22" s="2133"/>
      <c r="O22" s="2140"/>
      <c r="P22" s="3702"/>
      <c r="Q22" s="2600"/>
      <c r="R22" s="1572"/>
      <c r="S22" s="1573"/>
      <c r="T22" s="1572"/>
      <c r="U22" s="1573"/>
      <c r="V22" s="1572"/>
      <c r="W22" s="1573"/>
      <c r="X22" s="2602"/>
      <c r="Y22" s="3702"/>
      <c r="Z22" s="2601"/>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104</v>
      </c>
      <c r="I23" s="561"/>
      <c r="J23" s="558">
        <f>SUMIF(84:84,I24,85:85)-SUMIF(84:84,C24,85:85)+100</f>
        <v>104</v>
      </c>
      <c r="K23" s="897">
        <v>2</v>
      </c>
      <c r="L23" s="2141"/>
      <c r="M23" s="2133"/>
      <c r="N23" s="2133"/>
      <c r="O23" s="2140"/>
      <c r="P23" s="3702"/>
      <c r="Q23" s="1571" t="str">
        <f>B23</f>
        <v>自然及人文环境</v>
      </c>
      <c r="R23" s="1572" t="s">
        <v>8</v>
      </c>
      <c r="S23" s="1573">
        <f>F23</f>
        <v>100</v>
      </c>
      <c r="T23" s="1572" t="s">
        <v>8</v>
      </c>
      <c r="U23" s="1573">
        <f>H23</f>
        <v>104</v>
      </c>
      <c r="V23" s="1572" t="s">
        <v>8</v>
      </c>
      <c r="W23" s="1573">
        <f>J23</f>
        <v>104</v>
      </c>
      <c r="X23" s="1566"/>
      <c r="Y23" s="3702"/>
      <c r="Z23" s="1574" t="str">
        <f>Q23</f>
        <v>自然及人文环境</v>
      </c>
      <c r="AA23" s="1575">
        <f t="shared" si="3"/>
        <v>1</v>
      </c>
      <c r="AB23" s="1575">
        <f t="shared" si="4"/>
        <v>0.96153846153846156</v>
      </c>
      <c r="AC23" s="1575">
        <f t="shared" si="5"/>
        <v>0.96153846153846156</v>
      </c>
    </row>
    <row r="24" spans="1:29" ht="15">
      <c r="A24" s="531"/>
      <c r="B24" s="594"/>
      <c r="C24" s="575" t="s">
        <v>3441</v>
      </c>
      <c r="D24" s="554"/>
      <c r="E24" s="555" t="s">
        <v>3441</v>
      </c>
      <c r="F24" s="556"/>
      <c r="G24" s="557" t="s">
        <v>3271</v>
      </c>
      <c r="H24" s="554"/>
      <c r="I24" s="555" t="s">
        <v>3271</v>
      </c>
      <c r="J24" s="554"/>
      <c r="K24" s="898"/>
      <c r="L24" s="2141"/>
      <c r="M24" s="2133"/>
      <c r="N24" s="2133"/>
      <c r="O24" s="2140"/>
      <c r="P24" s="3702"/>
      <c r="Q24" s="1571"/>
      <c r="R24" s="1572"/>
      <c r="S24" s="1573"/>
      <c r="T24" s="1572"/>
      <c r="U24" s="1573"/>
      <c r="V24" s="1572"/>
      <c r="W24" s="1573"/>
      <c r="X24" s="1566"/>
      <c r="Y24" s="3702"/>
      <c r="Z24" s="1574"/>
      <c r="AA24" s="1575">
        <v>1</v>
      </c>
      <c r="AB24" s="1575">
        <v>1</v>
      </c>
      <c r="AC24" s="1575">
        <v>1</v>
      </c>
    </row>
    <row r="25" spans="1:29" ht="15">
      <c r="A25" s="531"/>
      <c r="B25" s="526" t="s">
        <v>548</v>
      </c>
      <c r="C25" s="582" t="s">
        <v>3442</v>
      </c>
      <c r="D25" s="539">
        <v>100</v>
      </c>
      <c r="E25" s="582" t="s">
        <v>3387</v>
      </c>
      <c r="F25" s="574">
        <f>SUMIF(86:86,E25,87:87)-SUMIF(86:86,C25,87:87)+100</f>
        <v>110</v>
      </c>
      <c r="G25" s="582" t="s">
        <v>3385</v>
      </c>
      <c r="H25" s="539">
        <f>SUMIF(86:86,G25,87:87)-SUMIF(86:86,C25,87:87)+100</f>
        <v>115</v>
      </c>
      <c r="I25" s="582" t="s">
        <v>3385</v>
      </c>
      <c r="J25" s="539">
        <f>SUMIF(86:86,I25,87:87)-SUMIF(86:86,C25,87:87)+100</f>
        <v>115</v>
      </c>
      <c r="K25" s="3503">
        <v>5</v>
      </c>
      <c r="L25" s="2141"/>
      <c r="M25" s="2133"/>
      <c r="N25" s="2133"/>
      <c r="O25" s="2140"/>
      <c r="P25" s="3702"/>
      <c r="Q25" s="1571" t="str">
        <f t="shared" ref="Q25:Q46" si="11">B25</f>
        <v>临街状况</v>
      </c>
      <c r="R25" s="1572" t="s">
        <v>8</v>
      </c>
      <c r="S25" s="1573">
        <f>F25</f>
        <v>110</v>
      </c>
      <c r="T25" s="1572" t="s">
        <v>8</v>
      </c>
      <c r="U25" s="1573">
        <f>H25</f>
        <v>115</v>
      </c>
      <c r="V25" s="1572" t="s">
        <v>8</v>
      </c>
      <c r="W25" s="1573">
        <f>J25</f>
        <v>115</v>
      </c>
      <c r="X25" s="1566"/>
      <c r="Y25" s="3702"/>
      <c r="Z25" s="1574" t="str">
        <f>Q25</f>
        <v>临街状况</v>
      </c>
      <c r="AA25" s="1575">
        <f t="shared" si="3"/>
        <v>0.90909090909090906</v>
      </c>
      <c r="AB25" s="1575">
        <f t="shared" si="4"/>
        <v>0.86956521739130432</v>
      </c>
      <c r="AC25" s="1575">
        <f t="shared" si="5"/>
        <v>0.86956521739130432</v>
      </c>
    </row>
    <row r="26" spans="1:29" ht="15">
      <c r="A26" s="531"/>
      <c r="B26" s="876" t="s">
        <v>759</v>
      </c>
      <c r="C26" s="3486" t="s">
        <v>3427</v>
      </c>
      <c r="D26" s="539">
        <v>100</v>
      </c>
      <c r="E26" s="3486" t="s">
        <v>3428</v>
      </c>
      <c r="F26" s="574">
        <f>SUMIF(88:88,E26,89:89)-SUMIF(88:88,C26,89:89)+100</f>
        <v>101</v>
      </c>
      <c r="G26" s="3486" t="s">
        <v>3428</v>
      </c>
      <c r="H26" s="539">
        <f>SUMIF(88:88,G26,89:89)-SUMIF(88:88,C26,89:89)+100</f>
        <v>101</v>
      </c>
      <c r="I26" s="3486" t="s">
        <v>3429</v>
      </c>
      <c r="J26" s="539">
        <f>SUMIF(88:88,I26,89:89)-SUMIF(88:88,C26,89:89)+100</f>
        <v>101</v>
      </c>
      <c r="K26" s="580"/>
      <c r="L26" s="2141"/>
      <c r="M26" s="2133"/>
      <c r="N26" s="2133"/>
      <c r="O26" s="2140"/>
      <c r="P26" s="3702"/>
      <c r="Q26" s="1571" t="str">
        <f t="shared" si="11"/>
        <v>平面位置/可视性</v>
      </c>
      <c r="R26" s="1572" t="s">
        <v>8</v>
      </c>
      <c r="S26" s="1573">
        <f>F26</f>
        <v>101</v>
      </c>
      <c r="T26" s="1572" t="s">
        <v>8</v>
      </c>
      <c r="U26" s="1573">
        <f>H26</f>
        <v>101</v>
      </c>
      <c r="V26" s="1572" t="s">
        <v>8</v>
      </c>
      <c r="W26" s="1573">
        <f>J26</f>
        <v>101</v>
      </c>
      <c r="X26" s="1566"/>
      <c r="Y26" s="3702"/>
      <c r="Z26" s="1574" t="str">
        <f>Q26</f>
        <v>平面位置/可视性</v>
      </c>
      <c r="AA26" s="1575">
        <f t="shared" si="3"/>
        <v>0.99009900990099009</v>
      </c>
      <c r="AB26" s="1575">
        <f t="shared" si="4"/>
        <v>0.99009900990099009</v>
      </c>
      <c r="AC26" s="1575">
        <f t="shared" si="5"/>
        <v>0.99009900990099009</v>
      </c>
    </row>
    <row r="27" spans="1:29" s="1218" customFormat="1" ht="15">
      <c r="A27" s="535"/>
      <c r="B27" s="870" t="s">
        <v>760</v>
      </c>
      <c r="C27" s="900" t="s">
        <v>3270</v>
      </c>
      <c r="D27" s="874">
        <v>100</v>
      </c>
      <c r="E27" s="900" t="s">
        <v>3270</v>
      </c>
      <c r="F27" s="875">
        <f>SUMIF(90:90,E27,91:91)-SUMIF(90:90,C27,91:91)+100</f>
        <v>100</v>
      </c>
      <c r="G27" s="900" t="s">
        <v>3270</v>
      </c>
      <c r="H27" s="874">
        <f>SUMIF(90:90,G27,91:91)-SUMIF(90:90,C27,91:91)+100</f>
        <v>100</v>
      </c>
      <c r="I27" s="900" t="s">
        <v>3270</v>
      </c>
      <c r="J27" s="874">
        <f>SUMIF(90:90,I27,91:91)-SUMIF(90:90,C27,91:91)+100</f>
        <v>100</v>
      </c>
      <c r="K27" s="583">
        <v>2</v>
      </c>
      <c r="L27" s="2134"/>
      <c r="M27" s="2135"/>
      <c r="N27" s="2135"/>
      <c r="O27" s="2136"/>
      <c r="P27" s="3702"/>
      <c r="Q27" s="1149" t="str">
        <f t="shared" si="11"/>
        <v>人流量</v>
      </c>
      <c r="R27" s="1567" t="s">
        <v>8</v>
      </c>
      <c r="S27" s="1568">
        <f>F27</f>
        <v>100</v>
      </c>
      <c r="T27" s="1567" t="s">
        <v>8</v>
      </c>
      <c r="U27" s="1568">
        <f>H27</f>
        <v>100</v>
      </c>
      <c r="V27" s="1567" t="s">
        <v>8</v>
      </c>
      <c r="W27" s="1568">
        <f>J27</f>
        <v>100</v>
      </c>
      <c r="X27" s="1569"/>
      <c r="Y27" s="3702"/>
      <c r="Z27" s="1148" t="str">
        <f>Q27</f>
        <v>人流量</v>
      </c>
      <c r="AA27" s="1575">
        <f>D27/F27</f>
        <v>1</v>
      </c>
      <c r="AB27" s="1575">
        <f>D27/H27</f>
        <v>1</v>
      </c>
      <c r="AC27" s="1575">
        <f>D27/J27</f>
        <v>1</v>
      </c>
    </row>
    <row r="28" spans="1:29" ht="15">
      <c r="A28" s="531"/>
      <c r="B28" s="526" t="s">
        <v>762</v>
      </c>
      <c r="C28" s="582" t="s">
        <v>3430</v>
      </c>
      <c r="D28" s="539">
        <v>100</v>
      </c>
      <c r="E28" s="582" t="s">
        <v>3430</v>
      </c>
      <c r="F28" s="574">
        <f>SUMIF(92:92,E28,93:93)-SUMIF(92:92,C28,93:93)+100</f>
        <v>100</v>
      </c>
      <c r="G28" s="582" t="s">
        <v>3430</v>
      </c>
      <c r="H28" s="539">
        <f>SUMIF(92:92,G28,93:93)-SUMIF(92:92,C28,93:93)+100</f>
        <v>100</v>
      </c>
      <c r="I28" s="582" t="s">
        <v>3430</v>
      </c>
      <c r="J28" s="539">
        <f>SUMIF(92:92,I28,93:93)-SUMIF(92:92,C28,93:93)+100</f>
        <v>100</v>
      </c>
      <c r="K28" s="580"/>
      <c r="L28" s="2141"/>
      <c r="M28" s="2133"/>
      <c r="N28" s="2133"/>
      <c r="O28" s="2140"/>
      <c r="P28" s="370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0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02"/>
      <c r="Q29" s="1571">
        <f t="shared" si="11"/>
        <v>111</v>
      </c>
      <c r="R29" s="1572" t="s">
        <v>8</v>
      </c>
      <c r="S29" s="1573">
        <f t="shared" si="12"/>
        <v>100</v>
      </c>
      <c r="T29" s="1572" t="s">
        <v>8</v>
      </c>
      <c r="U29" s="1573">
        <f t="shared" si="13"/>
        <v>100</v>
      </c>
      <c r="V29" s="1572" t="s">
        <v>8</v>
      </c>
      <c r="W29" s="1573">
        <f t="shared" si="14"/>
        <v>100</v>
      </c>
      <c r="X29" s="1566"/>
      <c r="Y29" s="370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02"/>
      <c r="Q30" s="1571">
        <f t="shared" si="11"/>
        <v>111</v>
      </c>
      <c r="R30" s="1572" t="s">
        <v>8</v>
      </c>
      <c r="S30" s="1573">
        <f t="shared" si="12"/>
        <v>100</v>
      </c>
      <c r="T30" s="1572" t="s">
        <v>8</v>
      </c>
      <c r="U30" s="1573">
        <f t="shared" si="13"/>
        <v>100</v>
      </c>
      <c r="V30" s="1572" t="s">
        <v>8</v>
      </c>
      <c r="W30" s="1573">
        <f t="shared" si="14"/>
        <v>100</v>
      </c>
      <c r="X30" s="1566"/>
      <c r="Y30" s="370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02"/>
      <c r="Q31" s="1571">
        <f t="shared" si="11"/>
        <v>111</v>
      </c>
      <c r="R31" s="1572" t="s">
        <v>8</v>
      </c>
      <c r="S31" s="1573">
        <f t="shared" si="12"/>
        <v>100</v>
      </c>
      <c r="T31" s="1572" t="s">
        <v>8</v>
      </c>
      <c r="U31" s="1573">
        <f t="shared" si="13"/>
        <v>100</v>
      </c>
      <c r="V31" s="1572" t="s">
        <v>8</v>
      </c>
      <c r="W31" s="1573">
        <f t="shared" si="14"/>
        <v>100</v>
      </c>
      <c r="X31" s="1566"/>
      <c r="Y31" s="3702"/>
      <c r="Z31" s="1574">
        <f t="shared" si="15"/>
        <v>111</v>
      </c>
      <c r="AA31" s="1575">
        <f t="shared" si="3"/>
        <v>1</v>
      </c>
      <c r="AB31" s="1575">
        <f t="shared" si="4"/>
        <v>1</v>
      </c>
      <c r="AC31" s="1575">
        <f t="shared" si="5"/>
        <v>1</v>
      </c>
    </row>
    <row r="32" spans="1:29" ht="15">
      <c r="A32" s="2929" t="s">
        <v>2761</v>
      </c>
      <c r="B32" s="172" t="s">
        <v>763</v>
      </c>
      <c r="C32" s="3487" t="s">
        <v>3233</v>
      </c>
      <c r="D32" s="596">
        <v>100</v>
      </c>
      <c r="E32" s="877" t="s">
        <v>3431</v>
      </c>
      <c r="F32" s="574">
        <f>SUMIF(100:100,E32,101:101)-SUMIF(100:100,C32,101:101)+100</f>
        <v>105</v>
      </c>
      <c r="G32" s="877" t="s">
        <v>3431</v>
      </c>
      <c r="H32" s="539">
        <f>SUMIF(100:100,G32,101:101)-SUMIF(100:100,C32,101:101)+100</f>
        <v>105</v>
      </c>
      <c r="I32" s="877" t="s">
        <v>3431</v>
      </c>
      <c r="J32" s="596">
        <f>SUMIF(100:100,I32,101:101)-SUMIF(100:100,C32,101:101)+100</f>
        <v>105</v>
      </c>
      <c r="K32" s="583">
        <v>5</v>
      </c>
      <c r="L32" s="2141"/>
      <c r="M32" s="2133"/>
      <c r="N32" s="2133"/>
      <c r="O32" s="2140"/>
      <c r="P32" s="3703" t="s">
        <v>551</v>
      </c>
      <c r="Q32" s="1571" t="str">
        <f t="shared" si="11"/>
        <v>商业类型</v>
      </c>
      <c r="R32" s="1572" t="s">
        <v>8</v>
      </c>
      <c r="S32" s="1573">
        <f t="shared" si="12"/>
        <v>105</v>
      </c>
      <c r="T32" s="1572" t="s">
        <v>8</v>
      </c>
      <c r="U32" s="1573">
        <f t="shared" si="13"/>
        <v>105</v>
      </c>
      <c r="V32" s="1572" t="s">
        <v>8</v>
      </c>
      <c r="W32" s="1573">
        <f t="shared" si="14"/>
        <v>105</v>
      </c>
      <c r="X32" s="1566"/>
      <c r="Y32" s="3704" t="s">
        <v>551</v>
      </c>
      <c r="Z32" s="1574" t="str">
        <f t="shared" si="15"/>
        <v>商业类型</v>
      </c>
      <c r="AA32" s="1575">
        <f t="shared" si="3"/>
        <v>0.95238095238095233</v>
      </c>
      <c r="AB32" s="1575">
        <f t="shared" si="4"/>
        <v>0.95238095238095233</v>
      </c>
      <c r="AC32" s="1575">
        <f t="shared" si="5"/>
        <v>0.95238095238095233</v>
      </c>
    </row>
    <row r="33" spans="1:29" s="1337" customFormat="1" ht="15">
      <c r="A33" s="602"/>
      <c r="B33" s="526" t="s">
        <v>727</v>
      </c>
      <c r="C33" s="3488">
        <f>D3/2</f>
        <v>1287.28</v>
      </c>
      <c r="D33" s="254">
        <v>100</v>
      </c>
      <c r="E33" s="533">
        <v>46</v>
      </c>
      <c r="F33" s="862">
        <f>LOOKUP(E33,103:103,104:104)-LOOKUP(C33,103:103,104:104)+100</f>
        <v>102</v>
      </c>
      <c r="G33" s="532">
        <v>68</v>
      </c>
      <c r="H33" s="254">
        <f>LOOKUP(G33,103:103,104:104)-LOOKUP(C33,103:103,104:104)+100</f>
        <v>102</v>
      </c>
      <c r="I33" s="532">
        <v>34</v>
      </c>
      <c r="J33" s="254">
        <f>LOOKUP(I33,103:103,104:104)-LOOKUP(C33,103:103,104:104)+100</f>
        <v>102</v>
      </c>
      <c r="K33" s="580"/>
      <c r="L33" s="2139"/>
      <c r="M33" s="2170"/>
      <c r="N33" s="2170"/>
      <c r="O33" s="2142"/>
      <c r="P33" s="3704"/>
      <c r="Q33" s="1604" t="str">
        <f t="shared" si="11"/>
        <v>项目建筑规模</v>
      </c>
      <c r="R33" s="1576" t="s">
        <v>8</v>
      </c>
      <c r="S33" s="1577">
        <f t="shared" si="12"/>
        <v>102</v>
      </c>
      <c r="T33" s="1576" t="s">
        <v>8</v>
      </c>
      <c r="U33" s="1577">
        <f t="shared" si="13"/>
        <v>102</v>
      </c>
      <c r="V33" s="1576" t="s">
        <v>8</v>
      </c>
      <c r="W33" s="1577">
        <f t="shared" si="14"/>
        <v>102</v>
      </c>
      <c r="X33" s="1578"/>
      <c r="Y33" s="3704"/>
      <c r="Z33" s="1579" t="str">
        <f t="shared" si="15"/>
        <v>项目建筑规模</v>
      </c>
      <c r="AA33" s="1575">
        <f t="shared" si="3"/>
        <v>0.98039215686274506</v>
      </c>
      <c r="AB33" s="1575">
        <f t="shared" si="4"/>
        <v>0.98039215686274506</v>
      </c>
      <c r="AC33" s="1575">
        <f t="shared" si="5"/>
        <v>0.98039215686274506</v>
      </c>
    </row>
    <row r="34" spans="1:29" ht="15">
      <c r="A34" s="593"/>
      <c r="B34" s="526" t="s">
        <v>728</v>
      </c>
      <c r="C34" s="880" t="s">
        <v>3273</v>
      </c>
      <c r="D34" s="539">
        <v>100</v>
      </c>
      <c r="E34" s="881" t="s">
        <v>3273</v>
      </c>
      <c r="F34" s="574">
        <f>SUMIF(105:105,E34,106:106)-SUMIF(105:105,C34,106:106)+100</f>
        <v>100</v>
      </c>
      <c r="G34" s="880" t="s">
        <v>3273</v>
      </c>
      <c r="H34" s="539">
        <f>SUMIF(105:105,G34,106:106)-SUMIF(105:105,C34,106:106)+100</f>
        <v>100</v>
      </c>
      <c r="I34" s="880" t="s">
        <v>3273</v>
      </c>
      <c r="J34" s="539">
        <f>SUMIF(105:105,I34,106:106)-SUMIF(105:105,C34,106:106)+100</f>
        <v>100</v>
      </c>
      <c r="K34" s="583">
        <v>2</v>
      </c>
      <c r="L34" s="2141"/>
      <c r="M34" s="2133"/>
      <c r="N34" s="2133"/>
      <c r="O34" s="2140"/>
      <c r="P34" s="3704"/>
      <c r="Q34" s="1571" t="str">
        <f t="shared" si="11"/>
        <v>建筑结构</v>
      </c>
      <c r="R34" s="1572" t="s">
        <v>8</v>
      </c>
      <c r="S34" s="1573">
        <f t="shared" si="12"/>
        <v>100</v>
      </c>
      <c r="T34" s="1572" t="s">
        <v>8</v>
      </c>
      <c r="U34" s="1573">
        <f t="shared" si="13"/>
        <v>100</v>
      </c>
      <c r="V34" s="1572" t="s">
        <v>8</v>
      </c>
      <c r="W34" s="1573">
        <f t="shared" si="14"/>
        <v>100</v>
      </c>
      <c r="X34" s="1566"/>
      <c r="Y34" s="3704"/>
      <c r="Z34" s="1574" t="str">
        <f t="shared" si="15"/>
        <v>建筑结构</v>
      </c>
      <c r="AA34" s="1575">
        <f t="shared" si="3"/>
        <v>1</v>
      </c>
      <c r="AB34" s="1575">
        <f t="shared" si="4"/>
        <v>1</v>
      </c>
      <c r="AC34" s="1575">
        <f t="shared" si="5"/>
        <v>1</v>
      </c>
    </row>
    <row r="35" spans="1:29" ht="15">
      <c r="A35" s="593"/>
      <c r="B35" s="526" t="s">
        <v>764</v>
      </c>
      <c r="C35" s="598" t="s">
        <v>3275</v>
      </c>
      <c r="D35" s="539">
        <v>100</v>
      </c>
      <c r="E35" s="598" t="s">
        <v>3275</v>
      </c>
      <c r="F35" s="574">
        <f>SUMIF(107:107,E35,108:108)-SUMIF(107:107,C35,108:108)+100</f>
        <v>100</v>
      </c>
      <c r="G35" s="598" t="s">
        <v>3275</v>
      </c>
      <c r="H35" s="539">
        <f>SUMIF(107:107,G35,108:108)-SUMIF(107:107,C35,108:108)+100</f>
        <v>100</v>
      </c>
      <c r="I35" s="598" t="s">
        <v>3275</v>
      </c>
      <c r="J35" s="539">
        <f>SUMIF(107:107,I35,108:108)-SUMIF(107:107,C35,108:108)+100</f>
        <v>100</v>
      </c>
      <c r="K35" s="583">
        <v>2</v>
      </c>
      <c r="L35" s="2141"/>
      <c r="M35" s="2133"/>
      <c r="N35" s="2133"/>
      <c r="O35" s="2140"/>
      <c r="P35" s="3704"/>
      <c r="Q35" s="1571" t="str">
        <f t="shared" si="11"/>
        <v>公共部分装修</v>
      </c>
      <c r="R35" s="1572" t="s">
        <v>8</v>
      </c>
      <c r="S35" s="1573">
        <f t="shared" si="12"/>
        <v>100</v>
      </c>
      <c r="T35" s="1572" t="s">
        <v>8</v>
      </c>
      <c r="U35" s="1573">
        <f t="shared" si="13"/>
        <v>100</v>
      </c>
      <c r="V35" s="1572" t="s">
        <v>8</v>
      </c>
      <c r="W35" s="1573">
        <f t="shared" si="14"/>
        <v>100</v>
      </c>
      <c r="X35" s="1566"/>
      <c r="Y35" s="3704"/>
      <c r="Z35" s="1574" t="str">
        <f t="shared" si="15"/>
        <v>公共部分装修</v>
      </c>
      <c r="AA35" s="1575">
        <f t="shared" si="3"/>
        <v>1</v>
      </c>
      <c r="AB35" s="1575">
        <f t="shared" si="4"/>
        <v>1</v>
      </c>
      <c r="AC35" s="1575">
        <f t="shared" si="5"/>
        <v>1</v>
      </c>
    </row>
    <row r="36" spans="1:29" ht="15">
      <c r="A36" s="593"/>
      <c r="B36" s="526" t="s">
        <v>765</v>
      </c>
      <c r="C36" s="882">
        <v>1</v>
      </c>
      <c r="D36" s="539">
        <v>100</v>
      </c>
      <c r="E36" s="882">
        <v>0.9</v>
      </c>
      <c r="F36" s="574">
        <f>LOOKUP(E36,110:110,111:111)-LOOKUP(C36,110:110,111:111)+100</f>
        <v>100</v>
      </c>
      <c r="G36" s="882">
        <v>0.9</v>
      </c>
      <c r="H36" s="574">
        <f>LOOKUP(G36,110:110,111:111)-LOOKUP(C36,110:110,111:111)+100</f>
        <v>100</v>
      </c>
      <c r="I36" s="882">
        <v>0.9</v>
      </c>
      <c r="J36" s="539">
        <f>LOOKUP(I36,110:110,111:111)-LOOKUP(C36,110:110,111:111)+100</f>
        <v>100</v>
      </c>
      <c r="K36" s="583">
        <v>2</v>
      </c>
      <c r="L36" s="2141"/>
      <c r="M36" s="2133"/>
      <c r="N36" s="2133"/>
      <c r="O36" s="2140"/>
      <c r="P36" s="3704"/>
      <c r="Q36" s="1571" t="str">
        <f t="shared" si="11"/>
        <v>成新度</v>
      </c>
      <c r="R36" s="1572" t="s">
        <v>8</v>
      </c>
      <c r="S36" s="1573">
        <f t="shared" si="12"/>
        <v>100</v>
      </c>
      <c r="T36" s="1572" t="s">
        <v>8</v>
      </c>
      <c r="U36" s="1573">
        <f t="shared" si="13"/>
        <v>100</v>
      </c>
      <c r="V36" s="1572" t="s">
        <v>8</v>
      </c>
      <c r="W36" s="1573">
        <f t="shared" si="14"/>
        <v>100</v>
      </c>
      <c r="X36" s="1566"/>
      <c r="Y36" s="3704"/>
      <c r="Z36" s="1574" t="str">
        <f t="shared" si="15"/>
        <v>成新度</v>
      </c>
      <c r="AA36" s="1575">
        <f t="shared" si="3"/>
        <v>1</v>
      </c>
      <c r="AB36" s="1575">
        <f t="shared" si="4"/>
        <v>1</v>
      </c>
      <c r="AC36" s="1575">
        <f t="shared" si="5"/>
        <v>1</v>
      </c>
    </row>
    <row r="37" spans="1:29" s="1218" customFormat="1" ht="15">
      <c r="A37" s="599"/>
      <c r="B37" s="1894" t="s">
        <v>2571</v>
      </c>
      <c r="C37" s="598" t="s">
        <v>3264</v>
      </c>
      <c r="D37" s="254">
        <v>100</v>
      </c>
      <c r="E37" s="598" t="s">
        <v>3432</v>
      </c>
      <c r="F37" s="574">
        <f>SUMIF(112:112,E37,113:113)-SUMIF(112:112,C37,113:113)+100</f>
        <v>98</v>
      </c>
      <c r="G37" s="598" t="s">
        <v>3432</v>
      </c>
      <c r="H37" s="539">
        <f>SUMIF(112:112,G37,113:113)-SUMIF(112:112,C37,113:113)+100</f>
        <v>98</v>
      </c>
      <c r="I37" s="598" t="s">
        <v>3432</v>
      </c>
      <c r="J37" s="539">
        <f>SUMIF(112:112,I37,113:113)-SUMIF(112:112,C37,113:113)+100</f>
        <v>98</v>
      </c>
      <c r="K37" s="583">
        <v>2</v>
      </c>
      <c r="L37" s="2134"/>
      <c r="M37" s="2135"/>
      <c r="N37" s="2135"/>
      <c r="O37" s="2136"/>
      <c r="P37" s="3704"/>
      <c r="Q37" s="1149" t="str">
        <f t="shared" si="11"/>
        <v>市政基础设施</v>
      </c>
      <c r="R37" s="1567" t="s">
        <v>8</v>
      </c>
      <c r="S37" s="1568">
        <f t="shared" si="12"/>
        <v>98</v>
      </c>
      <c r="T37" s="1567" t="s">
        <v>8</v>
      </c>
      <c r="U37" s="1568">
        <f t="shared" si="13"/>
        <v>98</v>
      </c>
      <c r="V37" s="1567" t="s">
        <v>8</v>
      </c>
      <c r="W37" s="1568">
        <f t="shared" si="14"/>
        <v>98</v>
      </c>
      <c r="X37" s="1569"/>
      <c r="Y37" s="3704"/>
      <c r="Z37" s="1148" t="str">
        <f t="shared" si="15"/>
        <v>市政基础设施</v>
      </c>
      <c r="AA37" s="1570">
        <f t="shared" si="3"/>
        <v>1.0204081632653061</v>
      </c>
      <c r="AB37" s="1570">
        <f t="shared" si="4"/>
        <v>1.0204081632653061</v>
      </c>
      <c r="AC37" s="1570">
        <f t="shared" si="5"/>
        <v>1.0204081632653061</v>
      </c>
    </row>
    <row r="38" spans="1:29" ht="15">
      <c r="A38" s="593"/>
      <c r="B38" s="526" t="s">
        <v>766</v>
      </c>
      <c r="C38" s="598" t="s">
        <v>3433</v>
      </c>
      <c r="D38" s="539">
        <v>100</v>
      </c>
      <c r="E38" s="598" t="s">
        <v>3433</v>
      </c>
      <c r="F38" s="574">
        <f>SUMIF(114:114,E38,115:115)-SUMIF(114:114,C38,115:115)+100</f>
        <v>100</v>
      </c>
      <c r="G38" s="598" t="s">
        <v>3433</v>
      </c>
      <c r="H38" s="539">
        <f>SUMIF(114:114,G38,115:115)-SUMIF(114:114,C38,115:115)+100</f>
        <v>100</v>
      </c>
      <c r="I38" s="598" t="s">
        <v>3433</v>
      </c>
      <c r="J38" s="539">
        <f>SUMIF(114:114,I38,115:115)-SUMIF(114:114,C38,115:115)+100</f>
        <v>100</v>
      </c>
      <c r="K38" s="583">
        <v>2</v>
      </c>
      <c r="L38" s="2141"/>
      <c r="M38" s="2133"/>
      <c r="N38" s="2133"/>
      <c r="O38" s="2140"/>
      <c r="P38" s="3704" t="s">
        <v>767</v>
      </c>
      <c r="Q38" s="1571" t="str">
        <f t="shared" si="11"/>
        <v>业态</v>
      </c>
      <c r="R38" s="1572" t="s">
        <v>8</v>
      </c>
      <c r="S38" s="1573">
        <f t="shared" si="12"/>
        <v>100</v>
      </c>
      <c r="T38" s="1572" t="s">
        <v>8</v>
      </c>
      <c r="U38" s="1573">
        <f t="shared" si="13"/>
        <v>100</v>
      </c>
      <c r="V38" s="1572" t="s">
        <v>8</v>
      </c>
      <c r="W38" s="1573">
        <f t="shared" si="14"/>
        <v>100</v>
      </c>
      <c r="X38" s="1566"/>
      <c r="Y38" s="3704" t="s">
        <v>767</v>
      </c>
      <c r="Z38" s="1574" t="str">
        <f t="shared" si="15"/>
        <v>业态</v>
      </c>
      <c r="AA38" s="1575">
        <f t="shared" si="3"/>
        <v>1</v>
      </c>
      <c r="AB38" s="1575">
        <f t="shared" si="4"/>
        <v>1</v>
      </c>
      <c r="AC38" s="1575">
        <f t="shared" si="5"/>
        <v>1</v>
      </c>
    </row>
    <row r="39" spans="1:29" ht="15">
      <c r="A39" s="593"/>
      <c r="B39" s="526" t="s">
        <v>768</v>
      </c>
      <c r="C39" s="598" t="s">
        <v>3434</v>
      </c>
      <c r="D39" s="539">
        <v>100</v>
      </c>
      <c r="E39" s="598" t="s">
        <v>3434</v>
      </c>
      <c r="F39" s="574">
        <f>SUMIF(116:116,E39,117:117)-SUMIF(116:116,C39,117:117)+100</f>
        <v>100</v>
      </c>
      <c r="G39" s="598" t="s">
        <v>3434</v>
      </c>
      <c r="H39" s="539">
        <f>SUMIF(116:116,G39,117:117)-SUMIF(116:116,C39,117:117)+100</f>
        <v>100</v>
      </c>
      <c r="I39" s="598" t="s">
        <v>3434</v>
      </c>
      <c r="J39" s="539">
        <f>SUMIF(116:116,I39,117:117)-SUMIF(116:116,C39,117:117)+100</f>
        <v>100</v>
      </c>
      <c r="K39" s="583">
        <v>2</v>
      </c>
      <c r="L39" s="2141"/>
      <c r="M39" s="2133"/>
      <c r="N39" s="2133"/>
      <c r="O39" s="2140"/>
      <c r="P39" s="3704"/>
      <c r="Q39" s="1571" t="str">
        <f t="shared" si="11"/>
        <v>层高</v>
      </c>
      <c r="R39" s="1572" t="s">
        <v>8</v>
      </c>
      <c r="S39" s="1573">
        <f t="shared" si="12"/>
        <v>100</v>
      </c>
      <c r="T39" s="1572" t="s">
        <v>8</v>
      </c>
      <c r="U39" s="1573">
        <f t="shared" si="13"/>
        <v>100</v>
      </c>
      <c r="V39" s="1572" t="s">
        <v>8</v>
      </c>
      <c r="W39" s="1573">
        <f t="shared" si="14"/>
        <v>100</v>
      </c>
      <c r="X39" s="1566"/>
      <c r="Y39" s="3704"/>
      <c r="Z39" s="1574" t="str">
        <f t="shared" si="15"/>
        <v>层高</v>
      </c>
      <c r="AA39" s="1575">
        <f t="shared" si="3"/>
        <v>1</v>
      </c>
      <c r="AB39" s="1575">
        <f t="shared" si="4"/>
        <v>1</v>
      </c>
      <c r="AC39" s="1575">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704"/>
      <c r="Q40" s="1571" t="str">
        <f t="shared" si="11"/>
        <v>单套建筑面积</v>
      </c>
      <c r="R40" s="1572" t="s">
        <v>8</v>
      </c>
      <c r="S40" s="1573">
        <f t="shared" si="12"/>
        <v>100</v>
      </c>
      <c r="T40" s="1572" t="s">
        <v>8</v>
      </c>
      <c r="U40" s="1573">
        <f t="shared" si="13"/>
        <v>100</v>
      </c>
      <c r="V40" s="1572" t="s">
        <v>8</v>
      </c>
      <c r="W40" s="1573">
        <f t="shared" si="14"/>
        <v>100</v>
      </c>
      <c r="X40" s="1566"/>
      <c r="Y40" s="3704"/>
      <c r="Z40" s="1574" t="str">
        <f t="shared" si="15"/>
        <v>单套建筑面积</v>
      </c>
      <c r="AA40" s="1575">
        <f t="shared" si="3"/>
        <v>1</v>
      </c>
      <c r="AB40" s="1575">
        <f t="shared" si="4"/>
        <v>1</v>
      </c>
      <c r="AC40" s="1575">
        <f t="shared" si="5"/>
        <v>1</v>
      </c>
    </row>
    <row r="41" spans="1:29" s="1337" customFormat="1" ht="15">
      <c r="A41" s="602"/>
      <c r="B41" s="903" t="s">
        <v>770</v>
      </c>
      <c r="C41" s="582" t="s">
        <v>3366</v>
      </c>
      <c r="D41" s="539">
        <v>100</v>
      </c>
      <c r="E41" s="582" t="s">
        <v>3366</v>
      </c>
      <c r="F41" s="574">
        <f>SUMIF(120:120,E41,121:121)-SUMIF(120:120,C41,121:121)+100</f>
        <v>100</v>
      </c>
      <c r="G41" s="582" t="s">
        <v>3366</v>
      </c>
      <c r="H41" s="539">
        <f>SUMIF(120:120,G41,121:121)-SUMIF(120:120,C41,121:121)+100</f>
        <v>100</v>
      </c>
      <c r="I41" s="582" t="s">
        <v>3366</v>
      </c>
      <c r="J41" s="539">
        <f>SUMIF(120:120,I41,121:121)-SUMIF(120:120,C41,121:121)+100</f>
        <v>100</v>
      </c>
      <c r="K41" s="583">
        <v>2</v>
      </c>
      <c r="L41" s="2139"/>
      <c r="M41" s="2170"/>
      <c r="N41" s="2170"/>
      <c r="O41" s="2142"/>
      <c r="P41" s="3704"/>
      <c r="Q41" s="1604" t="str">
        <f t="shared" si="11"/>
        <v>进深比</v>
      </c>
      <c r="R41" s="1576" t="s">
        <v>8</v>
      </c>
      <c r="S41" s="1577">
        <f t="shared" si="12"/>
        <v>100</v>
      </c>
      <c r="T41" s="1576" t="s">
        <v>8</v>
      </c>
      <c r="U41" s="1577">
        <f t="shared" si="13"/>
        <v>100</v>
      </c>
      <c r="V41" s="1576" t="s">
        <v>8</v>
      </c>
      <c r="W41" s="1577">
        <f t="shared" si="14"/>
        <v>100</v>
      </c>
      <c r="X41" s="1578"/>
      <c r="Y41" s="3704"/>
      <c r="Z41" s="1579" t="str">
        <f t="shared" si="15"/>
        <v>进深比</v>
      </c>
      <c r="AA41" s="1575">
        <f t="shared" si="3"/>
        <v>1</v>
      </c>
      <c r="AB41" s="1575">
        <f t="shared" si="4"/>
        <v>1</v>
      </c>
      <c r="AC41" s="1575">
        <f t="shared" si="5"/>
        <v>1</v>
      </c>
    </row>
    <row r="42" spans="1:29" ht="15">
      <c r="A42" s="593"/>
      <c r="B42" s="526" t="s">
        <v>771</v>
      </c>
      <c r="C42" s="598" t="s">
        <v>3275</v>
      </c>
      <c r="D42" s="539">
        <v>100</v>
      </c>
      <c r="E42" s="598" t="s">
        <v>3435</v>
      </c>
      <c r="F42" s="574">
        <f>SUMIF(122:122,E42,123:123)-SUMIF(122:122,C42,123:123)+100</f>
        <v>98</v>
      </c>
      <c r="G42" s="598" t="s">
        <v>3435</v>
      </c>
      <c r="H42" s="539">
        <f>SUMIF(122:122,G42,123:123)-SUMIF(122:122,C42,123:123)+100</f>
        <v>98</v>
      </c>
      <c r="I42" s="598" t="s">
        <v>3435</v>
      </c>
      <c r="J42" s="539">
        <f>SUMIF(122:122,I42,123:123)-SUMIF(122:122,C42,123:123)+100</f>
        <v>98</v>
      </c>
      <c r="K42" s="583">
        <v>2</v>
      </c>
      <c r="L42" s="2141"/>
      <c r="M42" s="2133"/>
      <c r="N42" s="2133"/>
      <c r="O42" s="2140"/>
      <c r="P42" s="3704"/>
      <c r="Q42" s="1571" t="str">
        <f t="shared" si="11"/>
        <v>内部装修</v>
      </c>
      <c r="R42" s="1572" t="s">
        <v>8</v>
      </c>
      <c r="S42" s="1573">
        <f t="shared" si="12"/>
        <v>98</v>
      </c>
      <c r="T42" s="1572" t="s">
        <v>8</v>
      </c>
      <c r="U42" s="1573">
        <f t="shared" si="13"/>
        <v>98</v>
      </c>
      <c r="V42" s="1572" t="s">
        <v>8</v>
      </c>
      <c r="W42" s="1573">
        <f t="shared" si="14"/>
        <v>98</v>
      </c>
      <c r="X42" s="1566"/>
      <c r="Y42" s="3704"/>
      <c r="Z42" s="1574" t="str">
        <f t="shared" si="15"/>
        <v>内部装修</v>
      </c>
      <c r="AA42" s="1575">
        <f t="shared" si="3"/>
        <v>1.0204081632653061</v>
      </c>
      <c r="AB42" s="1575">
        <f t="shared" si="4"/>
        <v>1.0204081632653061</v>
      </c>
      <c r="AC42" s="1575">
        <f t="shared" si="5"/>
        <v>1.0204081632653061</v>
      </c>
    </row>
    <row r="43" spans="1:29" ht="27">
      <c r="A43" s="593"/>
      <c r="B43" s="526" t="s">
        <v>736</v>
      </c>
      <c r="C43" s="598" t="s">
        <v>3271</v>
      </c>
      <c r="D43" s="539">
        <v>100</v>
      </c>
      <c r="E43" s="598" t="s">
        <v>3271</v>
      </c>
      <c r="F43" s="574">
        <f>SUMIF(124:124,E43,125:125)-SUMIF(124:124,C43,125:125)+100</f>
        <v>100</v>
      </c>
      <c r="G43" s="598" t="s">
        <v>3271</v>
      </c>
      <c r="H43" s="539">
        <f>SUMIF(124:124,G43,125:125)-SUMIF(124:124,C43,125:125)+100</f>
        <v>100</v>
      </c>
      <c r="I43" s="598" t="s">
        <v>3271</v>
      </c>
      <c r="J43" s="539">
        <f>SUMIF(124:124,I43,125:125)-SUMIF(124:124,C43,125:125)+100</f>
        <v>100</v>
      </c>
      <c r="K43" s="583">
        <v>2</v>
      </c>
      <c r="L43" s="2141"/>
      <c r="M43" s="2133"/>
      <c r="N43" s="2133"/>
      <c r="O43" s="2140"/>
      <c r="P43" s="3704"/>
      <c r="Q43" s="1571" t="str">
        <f t="shared" si="11"/>
        <v>内部装修维护情况</v>
      </c>
      <c r="R43" s="1572" t="s">
        <v>8</v>
      </c>
      <c r="S43" s="1573">
        <f t="shared" si="12"/>
        <v>100</v>
      </c>
      <c r="T43" s="1572" t="s">
        <v>8</v>
      </c>
      <c r="U43" s="1573">
        <f t="shared" si="13"/>
        <v>100</v>
      </c>
      <c r="V43" s="1572" t="s">
        <v>8</v>
      </c>
      <c r="W43" s="1573">
        <f t="shared" si="14"/>
        <v>100</v>
      </c>
      <c r="X43" s="1566"/>
      <c r="Y43" s="3704"/>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04"/>
      <c r="Q44" s="1149">
        <f t="shared" si="11"/>
        <v>111</v>
      </c>
      <c r="R44" s="1567" t="s">
        <v>8</v>
      </c>
      <c r="S44" s="1568">
        <f t="shared" si="12"/>
        <v>100</v>
      </c>
      <c r="T44" s="1567" t="s">
        <v>8</v>
      </c>
      <c r="U44" s="1568">
        <f t="shared" si="13"/>
        <v>100</v>
      </c>
      <c r="V44" s="1567" t="s">
        <v>8</v>
      </c>
      <c r="W44" s="1568">
        <f t="shared" si="14"/>
        <v>100</v>
      </c>
      <c r="X44" s="1569"/>
      <c r="Y44" s="3704"/>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04"/>
      <c r="Q45" s="1571">
        <f t="shared" si="11"/>
        <v>111</v>
      </c>
      <c r="R45" s="1572" t="s">
        <v>8</v>
      </c>
      <c r="S45" s="1573">
        <f t="shared" si="12"/>
        <v>100</v>
      </c>
      <c r="T45" s="1572" t="s">
        <v>8</v>
      </c>
      <c r="U45" s="1573">
        <f t="shared" si="13"/>
        <v>100</v>
      </c>
      <c r="V45" s="1572" t="s">
        <v>8</v>
      </c>
      <c r="W45" s="1573">
        <f t="shared" si="14"/>
        <v>100</v>
      </c>
      <c r="X45" s="1566"/>
      <c r="Y45" s="370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733"/>
      <c r="Q46" s="1571">
        <f t="shared" si="11"/>
        <v>111</v>
      </c>
      <c r="R46" s="1572" t="s">
        <v>8</v>
      </c>
      <c r="S46" s="1573">
        <f t="shared" si="12"/>
        <v>100</v>
      </c>
      <c r="T46" s="1572" t="s">
        <v>8</v>
      </c>
      <c r="U46" s="1573">
        <f t="shared" si="13"/>
        <v>100</v>
      </c>
      <c r="V46" s="1572" t="s">
        <v>8</v>
      </c>
      <c r="W46" s="1573">
        <f t="shared" si="14"/>
        <v>100</v>
      </c>
      <c r="X46" s="1566"/>
      <c r="Y46" s="3733"/>
      <c r="Z46" s="1574">
        <f t="shared" si="15"/>
        <v>111</v>
      </c>
      <c r="AA46" s="1575">
        <f t="shared" si="3"/>
        <v>1</v>
      </c>
      <c r="AB46" s="1575">
        <f t="shared" si="4"/>
        <v>1</v>
      </c>
      <c r="AC46" s="1575">
        <f t="shared" si="5"/>
        <v>1</v>
      </c>
    </row>
    <row r="47" spans="1:29" ht="15">
      <c r="A47" s="606" t="s">
        <v>737</v>
      </c>
      <c r="B47" s="886"/>
      <c r="C47" s="2648" t="s">
        <v>1</v>
      </c>
      <c r="D47" s="2649"/>
      <c r="E47" s="2650">
        <v>27826</v>
      </c>
      <c r="F47" s="2651"/>
      <c r="G47" s="2652">
        <v>29412</v>
      </c>
      <c r="H47" s="2653"/>
      <c r="I47" s="2650">
        <v>26471</v>
      </c>
      <c r="J47" s="2653"/>
      <c r="K47" s="1610"/>
      <c r="L47" s="2143"/>
      <c r="M47" s="2144"/>
      <c r="N47" s="2133"/>
      <c r="O47" s="2144"/>
      <c r="P47" s="3699" t="str">
        <f>A47</f>
        <v>成交单价（元/平方米）</v>
      </c>
      <c r="Q47" s="3699"/>
      <c r="R47" s="3732">
        <f>E47</f>
        <v>27826</v>
      </c>
      <c r="S47" s="3732"/>
      <c r="T47" s="3732">
        <f>G47</f>
        <v>29412</v>
      </c>
      <c r="U47" s="3732"/>
      <c r="V47" s="3732">
        <f>I47</f>
        <v>26471</v>
      </c>
      <c r="W47" s="3732"/>
      <c r="X47" s="1558"/>
      <c r="Y47" s="1580"/>
      <c r="Z47" s="1558"/>
      <c r="AA47" s="1558"/>
      <c r="AB47" s="1558"/>
      <c r="AC47" s="1558"/>
    </row>
    <row r="48" spans="1:29" ht="15.75" thickBot="1">
      <c r="A48" s="614" t="s">
        <v>2766</v>
      </c>
      <c r="B48" s="887"/>
      <c r="C48" s="2654">
        <f>R49</f>
        <v>22527</v>
      </c>
      <c r="D48" s="2655"/>
      <c r="E48" s="2656">
        <f>R48</f>
        <v>24350</v>
      </c>
      <c r="F48" s="2656"/>
      <c r="G48" s="2654">
        <f>T48</f>
        <v>22753</v>
      </c>
      <c r="H48" s="2655"/>
      <c r="I48" s="2656">
        <f>V48</f>
        <v>20477</v>
      </c>
      <c r="J48" s="2655"/>
      <c r="K48" s="1611"/>
      <c r="L48" s="2143"/>
      <c r="M48" s="2144"/>
      <c r="N48" s="2133"/>
      <c r="O48" s="2144"/>
      <c r="P48" s="3699" t="str">
        <f>A48</f>
        <v>比较价格（元/平方米）</v>
      </c>
      <c r="Q48" s="3699"/>
      <c r="R48" s="3732">
        <f>IF(F1="售价",ROUND(PRODUCT(R47,AA7:AA46),0),ROUND(PRODUCT(R47,AA7:AA46),1))</f>
        <v>24350</v>
      </c>
      <c r="S48" s="3732"/>
      <c r="T48" s="3732">
        <f>IF(F1="售价",ROUND(PRODUCT(T47,AB7:AB46),0),ROUND(PRODUCT(T47,AB7:AB46),1))</f>
        <v>22753</v>
      </c>
      <c r="U48" s="3732"/>
      <c r="V48" s="3732">
        <f>IF(F1="售价",ROUND(PRODUCT(V47,AC7:AC46),0),ROUND(PRODUCT(V47,AC7:AC46),1))</f>
        <v>20477</v>
      </c>
      <c r="W48" s="3732"/>
      <c r="X48" s="1558"/>
      <c r="Y48" s="1558"/>
      <c r="Z48" s="1558"/>
      <c r="AA48" s="1558"/>
      <c r="AB48" s="1558"/>
      <c r="AC48" s="1558"/>
    </row>
    <row r="49" spans="1:29" ht="15.75" thickBot="1">
      <c r="A49" s="620" t="s">
        <v>2939</v>
      </c>
      <c r="B49" s="621"/>
      <c r="C49" s="2657">
        <f>R49</f>
        <v>22527</v>
      </c>
      <c r="D49" s="2657"/>
      <c r="E49" s="2657"/>
      <c r="F49" s="2657"/>
      <c r="G49" s="2657"/>
      <c r="H49" s="2657"/>
      <c r="I49" s="2657"/>
      <c r="J49" s="2657"/>
      <c r="K49" s="1612"/>
      <c r="L49" s="2143"/>
      <c r="M49" s="2144"/>
      <c r="N49" s="2133"/>
      <c r="O49" s="2144"/>
      <c r="P49" s="3720" t="str">
        <f>A49</f>
        <v>估价对象XX用房的比较价格（楼面单价，元/平方米）</v>
      </c>
      <c r="Q49" s="3721"/>
      <c r="R49" s="3731">
        <f>IF(F1="售价",ROUND(AVERAGE(R48:V48),0),ROUND(AVERAGE(R48:V48),1))</f>
        <v>22527</v>
      </c>
      <c r="S49" s="3731"/>
      <c r="T49" s="3731"/>
      <c r="U49" s="3731"/>
      <c r="V49" s="3731"/>
      <c r="W49" s="373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0.14275154004106771</v>
      </c>
      <c r="F52" s="626" t="str">
        <f>IF(OR(E52&gt;=0.3,E52&lt;=-0.3),"超过30%","")</f>
        <v/>
      </c>
      <c r="G52" s="625">
        <f>IF(G47&lt;G48,G48/G47-1,G47/G48-1)</f>
        <v>0.29266470355557517</v>
      </c>
      <c r="H52" s="626" t="str">
        <f>IF(OR(G52&gt;=0.3,G52&lt;=-0.3),"超过30%","")</f>
        <v/>
      </c>
      <c r="I52" s="625">
        <f>IF(I47&lt;I48,I48/I47-1,I47/I48-1)</f>
        <v>0.29271865995995516</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7.0188546565288057E-2</v>
      </c>
      <c r="F53" s="626" t="str">
        <f>IF(OR(E53&gt;=0.2,E53&lt;=-0.2),"超过20%","")</f>
        <v/>
      </c>
      <c r="G53" s="625">
        <f>IF(G48&lt;I48,I48/G48-1,G48/I48-1)</f>
        <v>0.11114909410558194</v>
      </c>
      <c r="H53" s="626" t="str">
        <f>IF(OR(G53&gt;=0.2,G53&lt;=-0.2),"超过20%","")</f>
        <v/>
      </c>
      <c r="I53" s="625">
        <f>IF(I48&lt;E48,E48/I48-1,I48/E48-1)</f>
        <v>0.1891390340381891</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560</v>
      </c>
      <c r="D54" s="627"/>
      <c r="E54" s="625">
        <f>IF(E47&lt;G47,G47/E47-1,E47/G47-1)</f>
        <v>5.6997053115791063E-2</v>
      </c>
      <c r="F54" s="626" t="str">
        <f>IF(OR(E54&gt;=0.3,E54&lt;=-0.3),"超过30%","")</f>
        <v/>
      </c>
      <c r="G54" s="625">
        <f>IF(G47&lt;I47,I47/G47-1,G47/I47-1)</f>
        <v>0.11110271617997047</v>
      </c>
      <c r="H54" s="626" t="str">
        <f>IF(OR(G54&gt;=0.3,G54&lt;=-0.3),"超过30%","")</f>
        <v/>
      </c>
      <c r="I54" s="625">
        <f>IF(I47&lt;E47,E47/I47-1,I47/E47-1)</f>
        <v>5.1188092629670168E-2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530</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7"/>
      <c r="Q59" s="1992"/>
      <c r="R59" s="1992"/>
      <c r="S59" s="1992"/>
      <c r="T59" s="1992"/>
      <c r="U59" s="1992"/>
      <c r="V59" s="1992"/>
      <c r="W59" s="1992"/>
      <c r="X59" s="1992"/>
      <c r="Y59" s="1992"/>
      <c r="Z59" s="1992"/>
      <c r="AA59" s="1992"/>
      <c r="AB59" s="1992"/>
      <c r="AC59" s="1992"/>
    </row>
    <row r="60" spans="1:29" s="1218"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578</v>
      </c>
      <c r="B63" s="664" t="s">
        <v>535</v>
      </c>
      <c r="C63" s="703" t="str">
        <f>C9</f>
        <v>商业</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0（含）-1</v>
      </c>
      <c r="D67" s="681" t="str">
        <f t="shared" ref="D67:L67" si="17">D68&amp;"（含）"&amp;"-"&amp;E68</f>
        <v>1（含）-2</v>
      </c>
      <c r="E67" s="681" t="str">
        <f t="shared" si="17"/>
        <v>2（含）-3</v>
      </c>
      <c r="F67" s="681" t="str">
        <f t="shared" si="17"/>
        <v>3（含）-4</v>
      </c>
      <c r="G67" s="681" t="str">
        <f t="shared" si="17"/>
        <v>4（含）-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2563</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8" t="s">
        <v>2564</v>
      </c>
      <c r="C82" s="2619" t="s">
        <v>2565</v>
      </c>
      <c r="D82" s="2619" t="s">
        <v>2566</v>
      </c>
      <c r="E82" s="2619" t="s">
        <v>2567</v>
      </c>
      <c r="F82" s="2619" t="s">
        <v>2568</v>
      </c>
      <c r="G82" s="2619" t="s">
        <v>2569</v>
      </c>
      <c r="H82" s="673"/>
      <c r="I82" s="673"/>
      <c r="J82" s="673"/>
      <c r="K82" s="673"/>
      <c r="L82" s="673"/>
      <c r="M82" s="2622"/>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772</v>
      </c>
      <c r="C86" s="3475" t="s">
        <v>3390</v>
      </c>
      <c r="D86" s="3475" t="s">
        <v>3391</v>
      </c>
      <c r="E86" s="3475" t="s">
        <v>3392</v>
      </c>
      <c r="F86" s="3475" t="s">
        <v>3393</v>
      </c>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95</v>
      </c>
      <c r="E87" s="678">
        <f t="shared" si="19"/>
        <v>90</v>
      </c>
      <c r="F87" s="678">
        <f t="shared" si="19"/>
        <v>85</v>
      </c>
      <c r="G87" s="678">
        <f t="shared" si="19"/>
        <v>80</v>
      </c>
      <c r="H87" s="678">
        <f t="shared" si="19"/>
        <v>75</v>
      </c>
      <c r="I87" s="678">
        <f t="shared" si="19"/>
        <v>70</v>
      </c>
      <c r="J87" s="678">
        <f t="shared" si="19"/>
        <v>65</v>
      </c>
      <c r="K87" s="678">
        <f t="shared" si="19"/>
        <v>60</v>
      </c>
      <c r="L87" s="678">
        <f t="shared" si="19"/>
        <v>55</v>
      </c>
      <c r="M87" s="678">
        <f t="shared" si="19"/>
        <v>50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3475" t="s">
        <v>3394</v>
      </c>
      <c r="D88" s="3475" t="s">
        <v>3395</v>
      </c>
      <c r="E88" s="3475" t="s">
        <v>3396</v>
      </c>
      <c r="F88" s="3485" t="s">
        <v>3379</v>
      </c>
      <c r="G88" s="3475" t="s">
        <v>3397</v>
      </c>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v>100</v>
      </c>
      <c r="D89" s="670">
        <v>99</v>
      </c>
      <c r="E89" s="670">
        <v>98</v>
      </c>
      <c r="F89" s="691">
        <v>97</v>
      </c>
      <c r="G89" s="670">
        <v>96</v>
      </c>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3475" t="s">
        <v>3394</v>
      </c>
      <c r="D90" s="3475" t="s">
        <v>3395</v>
      </c>
      <c r="E90" s="3475" t="s">
        <v>3396</v>
      </c>
      <c r="F90" s="3475" t="s">
        <v>3398</v>
      </c>
      <c r="G90" s="3475" t="s">
        <v>3399</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t="s">
        <v>3400</v>
      </c>
      <c r="D92" s="687" t="s">
        <v>3401</v>
      </c>
      <c r="E92" s="687" t="s">
        <v>3402</v>
      </c>
      <c r="F92" s="687" t="s">
        <v>3436</v>
      </c>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v>100</v>
      </c>
      <c r="D93" s="670">
        <v>75</v>
      </c>
      <c r="E93" s="670">
        <v>60</v>
      </c>
      <c r="F93" s="670">
        <v>85</v>
      </c>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773</v>
      </c>
      <c r="C100" s="3476" t="s">
        <v>3403</v>
      </c>
      <c r="D100" s="3476" t="s">
        <v>3404</v>
      </c>
      <c r="E100" s="3476" t="s">
        <v>3405</v>
      </c>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95</v>
      </c>
      <c r="E101" s="678">
        <f t="shared" si="21"/>
        <v>90</v>
      </c>
      <c r="F101" s="678">
        <f t="shared" si="21"/>
        <v>85</v>
      </c>
      <c r="G101" s="678">
        <f t="shared" si="21"/>
        <v>80</v>
      </c>
      <c r="H101" s="678">
        <f t="shared" si="21"/>
        <v>75</v>
      </c>
      <c r="I101" s="678">
        <f t="shared" si="21"/>
        <v>70</v>
      </c>
      <c r="J101" s="678">
        <f t="shared" si="21"/>
        <v>65</v>
      </c>
      <c r="K101" s="678">
        <f t="shared" si="21"/>
        <v>60</v>
      </c>
      <c r="L101" s="678">
        <f t="shared" si="21"/>
        <v>55</v>
      </c>
      <c r="M101" s="679">
        <f t="shared" si="21"/>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749</v>
      </c>
      <c r="C102" s="707" t="str">
        <f>C103&amp;"(含)"&amp;"-"&amp;D103</f>
        <v>0(含)-500</v>
      </c>
      <c r="D102" s="707" t="str">
        <f t="shared" ref="D102:L102" si="22">D103&amp;"(含)"&amp;"-"&amp;E103</f>
        <v>500(含)-1000</v>
      </c>
      <c r="E102" s="707" t="str">
        <f t="shared" si="22"/>
        <v>1000(含)-1500</v>
      </c>
      <c r="F102" s="707" t="str">
        <f t="shared" si="22"/>
        <v>1500(含)-2000</v>
      </c>
      <c r="G102" s="707" t="str">
        <f t="shared" si="22"/>
        <v>2000(含)-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v>
      </c>
      <c r="E103" s="729">
        <v>1000</v>
      </c>
      <c r="F103" s="729">
        <v>1500</v>
      </c>
      <c r="G103" s="729">
        <v>2000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99</v>
      </c>
      <c r="E104" s="691">
        <v>98</v>
      </c>
      <c r="F104" s="670">
        <v>97</v>
      </c>
      <c r="G104" s="670">
        <v>96</v>
      </c>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3475" t="s">
        <v>3406</v>
      </c>
      <c r="D105" s="3475" t="s">
        <v>3407</v>
      </c>
      <c r="E105" s="3477" t="s">
        <v>3408</v>
      </c>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752</v>
      </c>
      <c r="C107" s="3475" t="s">
        <v>3257</v>
      </c>
      <c r="D107" s="3475" t="s">
        <v>3258</v>
      </c>
      <c r="E107" s="3475" t="s">
        <v>3259</v>
      </c>
      <c r="F107" s="3477" t="s">
        <v>3260</v>
      </c>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2562</v>
      </c>
      <c r="C112" s="3475" t="s">
        <v>3409</v>
      </c>
      <c r="D112" s="3475" t="s">
        <v>3410</v>
      </c>
      <c r="E112" s="3475" t="s">
        <v>3411</v>
      </c>
      <c r="F112" s="3475" t="s">
        <v>3412</v>
      </c>
      <c r="G112" s="3475" t="s">
        <v>3413</v>
      </c>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774</v>
      </c>
      <c r="C114" s="3475" t="s">
        <v>3414</v>
      </c>
      <c r="D114" s="3475" t="s">
        <v>3415</v>
      </c>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775</v>
      </c>
      <c r="C116" s="3475" t="s">
        <v>3416</v>
      </c>
      <c r="D116" s="3475" t="s">
        <v>3417</v>
      </c>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776</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777</v>
      </c>
      <c r="C120" s="3477" t="s">
        <v>3418</v>
      </c>
      <c r="D120" s="3477" t="s">
        <v>3419</v>
      </c>
      <c r="E120" s="3477" t="s">
        <v>3420</v>
      </c>
      <c r="F120" s="3477" t="s">
        <v>3421</v>
      </c>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3475" t="s">
        <v>3257</v>
      </c>
      <c r="D122" s="3475" t="s">
        <v>3258</v>
      </c>
      <c r="E122" s="3475" t="s">
        <v>3259</v>
      </c>
      <c r="F122" s="3477" t="s">
        <v>3260</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4" zoomScale="80" zoomScaleNormal="80" workbookViewId="0">
      <selection activeCell="C14" sqref="C1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1727</v>
      </c>
      <c r="B1" s="737"/>
      <c r="C1" s="772" t="s">
        <v>35</v>
      </c>
      <c r="D1" s="3153" t="s">
        <v>3458</v>
      </c>
      <c r="E1" s="2408" t="s">
        <v>2378</v>
      </c>
      <c r="F1" s="2409">
        <f ca="1">J53</f>
        <v>46.85</v>
      </c>
      <c r="G1" s="773">
        <f>MATCH(C1,'数据-取费表'!A6:A16,0)+5</f>
        <v>8</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2" t="s">
        <v>1728</v>
      </c>
      <c r="B2" s="774">
        <f ca="1">C40+J29+L46</f>
        <v>39932</v>
      </c>
      <c r="C2" s="2056"/>
      <c r="D2" s="2054"/>
      <c r="E2" s="2055"/>
      <c r="F2" s="2055"/>
      <c r="G2" s="1589"/>
      <c r="H2" s="2056"/>
      <c r="I2" s="2056"/>
      <c r="J2" s="2056"/>
      <c r="K2" s="2057"/>
      <c r="L2" s="2056"/>
      <c r="M2" s="2056"/>
    </row>
    <row r="3" spans="1:33" ht="18" customHeight="1" thickBot="1">
      <c r="A3" s="832" t="s">
        <v>1729</v>
      </c>
      <c r="B3" s="833">
        <f ca="1">IF(ISERROR(B2*10000/F43),0,ROUND(B2*10000/F43,0))</f>
        <v>3429</v>
      </c>
      <c r="C3" s="2056"/>
      <c r="D3" s="2054"/>
      <c r="E3" s="2055"/>
      <c r="F3" s="2055"/>
      <c r="G3" s="1589"/>
      <c r="H3" s="775" t="s">
        <v>696</v>
      </c>
      <c r="I3" s="1361"/>
      <c r="J3" s="1361"/>
      <c r="K3" s="1590"/>
      <c r="L3" s="1361"/>
      <c r="M3" s="1361"/>
    </row>
    <row r="4" spans="1:33" ht="18" customHeight="1">
      <c r="A4" s="776" t="s">
        <v>1730</v>
      </c>
      <c r="B4" s="777" t="s">
        <v>1731</v>
      </c>
      <c r="C4" s="777" t="s">
        <v>1732</v>
      </c>
      <c r="D4" s="777" t="s">
        <v>634</v>
      </c>
      <c r="E4" s="778" t="s">
        <v>1733</v>
      </c>
      <c r="F4" s="779"/>
      <c r="G4" s="1591"/>
      <c r="H4" s="776" t="s">
        <v>1734</v>
      </c>
      <c r="I4" s="777" t="s">
        <v>1735</v>
      </c>
      <c r="J4" s="777" t="s">
        <v>1736</v>
      </c>
      <c r="K4" s="777" t="s">
        <v>1737</v>
      </c>
      <c r="L4" s="778" t="s">
        <v>1738</v>
      </c>
      <c r="M4" s="779"/>
    </row>
    <row r="5" spans="1:33" ht="18" customHeight="1">
      <c r="A5" s="780">
        <v>1</v>
      </c>
      <c r="B5" s="781" t="s">
        <v>2463</v>
      </c>
      <c r="C5" s="55">
        <f ca="1">C6+C10+C12</f>
        <v>2677</v>
      </c>
      <c r="D5" s="2517" t="s">
        <v>2466</v>
      </c>
      <c r="E5" s="2511"/>
      <c r="F5" s="2512"/>
      <c r="G5" s="1591"/>
      <c r="H5" s="780">
        <v>1</v>
      </c>
      <c r="I5" s="781" t="s">
        <v>2463</v>
      </c>
      <c r="J5" s="55">
        <f ca="1">J6+J10+J12</f>
        <v>0</v>
      </c>
      <c r="K5" s="2517" t="s">
        <v>2466</v>
      </c>
      <c r="L5" s="2511"/>
      <c r="M5" s="2512"/>
    </row>
    <row r="6" spans="1:33" ht="18" customHeight="1">
      <c r="A6" s="1829" t="s">
        <v>1826</v>
      </c>
      <c r="B6" s="3736" t="s">
        <v>2468</v>
      </c>
      <c r="C6" s="782">
        <f ca="1">ROUND(F6*F8*F7*(1-F9)/10000,0)</f>
        <v>2677</v>
      </c>
      <c r="D6" s="2518" t="s">
        <v>2467</v>
      </c>
      <c r="E6" s="783" t="s">
        <v>1740</v>
      </c>
      <c r="F6" s="784">
        <f ca="1">INDIRECT("'数据-取费表'!u"&amp;$G$1)</f>
        <v>0.7</v>
      </c>
      <c r="G6" s="1591"/>
      <c r="H6" s="2525" t="s">
        <v>2474</v>
      </c>
      <c r="I6" s="3736" t="s">
        <v>2468</v>
      </c>
      <c r="J6" s="782">
        <f ca="1">ROUND(M6*M8*M7*(1-M9)/10000,0)</f>
        <v>0</v>
      </c>
      <c r="K6" s="340" t="s">
        <v>1739</v>
      </c>
      <c r="L6" s="783" t="s">
        <v>1740</v>
      </c>
      <c r="M6" s="784">
        <f ca="1">INDIRECT("'数据-取费表'!z"&amp;$G$1)</f>
        <v>0</v>
      </c>
    </row>
    <row r="7" spans="1:33" ht="18" customHeight="1">
      <c r="A7" s="2521"/>
      <c r="B7" s="3737"/>
      <c r="C7" s="787"/>
      <c r="D7" s="788"/>
      <c r="E7" s="783" t="s">
        <v>1741</v>
      </c>
      <c r="F7" s="784">
        <f ca="1">IF(INDIRECT("'数据-取费表'!ah"&amp;$G$1)="",INDIRECT("'数据-取费表'!k"&amp;$G$1),INDIRECT("'数据-取费表'!ah"&amp;$G$1))</f>
        <v>116438</v>
      </c>
      <c r="G7" s="1591"/>
      <c r="H7" s="2510"/>
      <c r="I7" s="3737"/>
      <c r="J7" s="787"/>
      <c r="K7" s="788"/>
      <c r="L7" s="783" t="s">
        <v>1741</v>
      </c>
      <c r="M7" s="784">
        <f ca="1">F7</f>
        <v>116438</v>
      </c>
    </row>
    <row r="8" spans="1:33" ht="18" customHeight="1">
      <c r="A8" s="2514"/>
      <c r="B8" s="3738"/>
      <c r="C8" s="787"/>
      <c r="D8" s="788"/>
      <c r="E8" s="783" t="s">
        <v>1742</v>
      </c>
      <c r="F8" s="784">
        <f ca="1">INDIRECT("'数据-取费表'!ai"&amp;$G$1)</f>
        <v>365</v>
      </c>
      <c r="G8" s="1591"/>
      <c r="H8" s="2510"/>
      <c r="I8" s="3738"/>
      <c r="J8" s="787"/>
      <c r="K8" s="788"/>
      <c r="L8" s="783" t="s">
        <v>1742</v>
      </c>
      <c r="M8" s="784">
        <f ca="1">INDIRECT("'数据-取费表'!ai"&amp;$G$1)</f>
        <v>365</v>
      </c>
    </row>
    <row r="9" spans="1:33" ht="18" customHeight="1">
      <c r="A9" s="785"/>
      <c r="B9" s="3739"/>
      <c r="C9" s="787"/>
      <c r="D9" s="788"/>
      <c r="E9" s="783" t="s">
        <v>1743</v>
      </c>
      <c r="F9" s="793">
        <f ca="1">INDIRECT("'数据-取费表'!w"&amp;$G$1)</f>
        <v>0.1</v>
      </c>
      <c r="G9" s="1591"/>
      <c r="H9" s="2526"/>
      <c r="I9" s="3738"/>
      <c r="J9" s="787"/>
      <c r="K9" s="788"/>
      <c r="L9" s="794" t="s">
        <v>1743</v>
      </c>
      <c r="M9" s="795">
        <f ca="1">INDIRECT("'数据-取费表'!ab"&amp;$G$1)</f>
        <v>0</v>
      </c>
    </row>
    <row r="10" spans="1:33" ht="18" customHeight="1">
      <c r="A10" s="1829" t="s">
        <v>2472</v>
      </c>
      <c r="B10" s="2515" t="s">
        <v>2464</v>
      </c>
      <c r="C10" s="798">
        <f ca="1">ROUND(IF(F10="押一",F6*F8*F7/12*F11,IF(F10="押二",F6*F8*F7/12*2*F11,IF(F10="押三",F6*F8*F7/12*3*F11,C11*F11)))/10000,0)</f>
        <v>0</v>
      </c>
      <c r="D10" s="2522" t="s">
        <v>2471</v>
      </c>
      <c r="E10" s="2519" t="s">
        <v>2469</v>
      </c>
      <c r="F10" s="2642" t="s">
        <v>3389</v>
      </c>
      <c r="G10" s="1591"/>
      <c r="H10" s="2582" t="s">
        <v>2475</v>
      </c>
      <c r="I10" s="2587" t="s">
        <v>2464</v>
      </c>
      <c r="J10" s="782">
        <f ca="1">ROUND(IF(M10="押一",M6*M8*M7/12*M11,IF(M10="押二",M6*M8*M7/12*2*M11,IF(M10="押三",M6*M8*M7/12*3*M11,J11*M11)))/10000,0)</f>
        <v>0</v>
      </c>
      <c r="K10" s="2522" t="s">
        <v>2471</v>
      </c>
      <c r="L10" s="2519" t="s">
        <v>2469</v>
      </c>
      <c r="M10" s="2642"/>
    </row>
    <row r="11" spans="1:33" ht="18" customHeight="1">
      <c r="A11" s="789"/>
      <c r="B11" s="2516" t="s">
        <v>2579</v>
      </c>
      <c r="C11" s="2520"/>
      <c r="D11" s="788"/>
      <c r="E11" s="2519" t="s">
        <v>2470</v>
      </c>
      <c r="F11" s="795">
        <f ca="1">'数据-取费表'!B39</f>
        <v>1.4999999999999999E-2</v>
      </c>
      <c r="G11" s="1591"/>
      <c r="H11" s="2583"/>
      <c r="I11" s="2516" t="s">
        <v>2579</v>
      </c>
      <c r="J11" s="2520"/>
      <c r="K11" s="2584"/>
      <c r="L11" s="2519" t="s">
        <v>2470</v>
      </c>
      <c r="M11" s="2513">
        <f ca="1">'数据-取费表'!B39</f>
        <v>1.4999999999999999E-2</v>
      </c>
    </row>
    <row r="12" spans="1:33" ht="18" customHeight="1" thickBot="1">
      <c r="A12" s="2558" t="s">
        <v>2473</v>
      </c>
      <c r="B12" s="2559" t="s">
        <v>2465</v>
      </c>
      <c r="C12" s="2560"/>
      <c r="D12" s="2561"/>
      <c r="E12" s="2562"/>
      <c r="F12" s="2563"/>
      <c r="G12" s="1591"/>
      <c r="H12" s="2572" t="s">
        <v>2476</v>
      </c>
      <c r="I12" s="2585" t="s">
        <v>2465</v>
      </c>
      <c r="J12" s="2586"/>
      <c r="K12" s="2561"/>
      <c r="L12" s="2562"/>
      <c r="M12" s="2575"/>
    </row>
    <row r="13" spans="1:33" ht="18" customHeight="1" thickTop="1">
      <c r="A13" s="1828">
        <v>2</v>
      </c>
      <c r="B13" s="1826" t="s">
        <v>1744</v>
      </c>
      <c r="C13" s="791">
        <f ca="1">ROUND(C29*F13,0)</f>
        <v>35589</v>
      </c>
      <c r="D13" s="1833" t="s">
        <v>2300</v>
      </c>
      <c r="E13" s="1833" t="s">
        <v>1746</v>
      </c>
      <c r="F13" s="2557">
        <f ca="1">INDIRECT("'数据-取费表'!y"&amp;$G$1)</f>
        <v>1</v>
      </c>
      <c r="G13" s="1591"/>
      <c r="H13" s="1828">
        <v>2</v>
      </c>
      <c r="I13" s="1826" t="s">
        <v>1744</v>
      </c>
      <c r="J13" s="1818">
        <f ca="1">ROUND(J14*J15,0)</f>
        <v>0</v>
      </c>
      <c r="K13" s="1820" t="s">
        <v>1745</v>
      </c>
      <c r="L13" s="2573"/>
      <c r="M13" s="2574"/>
    </row>
    <row r="14" spans="1:33" ht="18" customHeight="1">
      <c r="A14" s="1647" t="s">
        <v>1886</v>
      </c>
      <c r="B14" s="783" t="s">
        <v>646</v>
      </c>
      <c r="C14" s="803">
        <f ca="1">INDIRECT("'数据-取费表'!m"&amp;$G$1)+INDIRECT("'数据-取费表'!t"&amp;$G$1)</f>
        <v>26092</v>
      </c>
      <c r="D14" s="1978" t="s">
        <v>1747</v>
      </c>
      <c r="E14" s="1979"/>
      <c r="F14" s="804"/>
      <c r="G14" s="1591"/>
      <c r="H14" s="1648" t="s">
        <v>1832</v>
      </c>
      <c r="I14" s="2230" t="s">
        <v>2832</v>
      </c>
      <c r="J14" s="53">
        <f ca="1">C29</f>
        <v>35589</v>
      </c>
      <c r="K14" s="26"/>
      <c r="L14" s="800"/>
      <c r="M14" s="801"/>
    </row>
    <row r="15" spans="1:33" s="2063" customFormat="1" ht="18" customHeight="1" thickBot="1">
      <c r="A15" s="1647" t="s">
        <v>1887</v>
      </c>
      <c r="B15" s="783" t="s">
        <v>648</v>
      </c>
      <c r="C15" s="53">
        <f ca="1">ROUND(C14*F15,0)</f>
        <v>783</v>
      </c>
      <c r="D15" s="805" t="s">
        <v>1748</v>
      </c>
      <c r="E15" s="805" t="s">
        <v>1749</v>
      </c>
      <c r="F15" s="806">
        <f>'数据-取费表'!B33</f>
        <v>0.03</v>
      </c>
      <c r="G15" s="1592"/>
      <c r="H15" s="2572" t="s">
        <v>1891</v>
      </c>
      <c r="I15" s="2567" t="s">
        <v>1746</v>
      </c>
      <c r="J15" s="2576">
        <f ca="1">INDIRECT("'数据-取费表'!ad"&amp;$G$1)</f>
        <v>0</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3" t="s">
        <v>651</v>
      </c>
      <c r="C16" s="53">
        <f ca="1">ROUND(INDIRECT("'数据-取费表'!m"&amp;$G$1)*F16,0)</f>
        <v>0</v>
      </c>
      <c r="D16" s="783" t="s">
        <v>1748</v>
      </c>
      <c r="E16" s="783" t="s">
        <v>1749</v>
      </c>
      <c r="F16" s="808">
        <f ca="1">IF(INDIRECT("'数据-取费表'!c"&amp;$G$1)="住宅",'数据-取费表'!B34,0)</f>
        <v>0</v>
      </c>
      <c r="G16" s="1591"/>
      <c r="H16" s="1828" t="s">
        <v>1750</v>
      </c>
      <c r="I16" s="1826" t="s">
        <v>1751</v>
      </c>
      <c r="J16" s="791">
        <f ca="1">ROUND(J17+J22+J23+J24,0)</f>
        <v>848</v>
      </c>
      <c r="K16" s="1820" t="s">
        <v>1752</v>
      </c>
      <c r="L16" s="2507"/>
      <c r="M16" s="2512"/>
    </row>
    <row r="17" spans="1:33" s="2063" customFormat="1" ht="18" customHeight="1">
      <c r="A17" s="1647" t="s">
        <v>1889</v>
      </c>
      <c r="B17" s="783" t="s">
        <v>654</v>
      </c>
      <c r="C17" s="53">
        <f ca="1">ROUND(F17*(F43+INDIRECT("'数据-取费表'!S"&amp;$G$1))/10000,0)</f>
        <v>2376</v>
      </c>
      <c r="D17" s="783" t="s">
        <v>1753</v>
      </c>
      <c r="E17" s="783" t="s">
        <v>1754</v>
      </c>
      <c r="F17" s="56">
        <f>'数据-取费表'!B35</f>
        <v>200</v>
      </c>
      <c r="G17" s="1592"/>
      <c r="H17" s="1648" t="s">
        <v>1832</v>
      </c>
      <c r="I17" s="783" t="s">
        <v>657</v>
      </c>
      <c r="J17" s="53">
        <f ca="1">ROUND(IF(项目基本情况!B11="自然人",J5*M17,J18+J19+J20),0)</f>
        <v>314</v>
      </c>
      <c r="K17" s="2506" t="s">
        <v>1755</v>
      </c>
      <c r="L17" s="2505" t="s">
        <v>1756</v>
      </c>
      <c r="M17" s="809"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3" t="s">
        <v>660</v>
      </c>
      <c r="C18" s="53">
        <f ca="1">ROUND(C14*F18,0)</f>
        <v>391</v>
      </c>
      <c r="D18" s="783" t="s">
        <v>1748</v>
      </c>
      <c r="E18" s="783" t="s">
        <v>1749</v>
      </c>
      <c r="F18" s="808">
        <f>'数据-取费表'!B36</f>
        <v>1.4999999999999999E-2</v>
      </c>
      <c r="G18" s="1592"/>
      <c r="H18" s="1647" t="s">
        <v>1886</v>
      </c>
      <c r="I18" s="783" t="s">
        <v>1757</v>
      </c>
      <c r="J18" s="53">
        <f ca="1">ROUND(J5*M18/1.05,1)</f>
        <v>0</v>
      </c>
      <c r="K18" s="2505" t="s">
        <v>1758</v>
      </c>
      <c r="L18" s="783" t="s">
        <v>1749</v>
      </c>
      <c r="M18" s="808">
        <f>'数据-取费表'!B41</f>
        <v>5.5000000000000007E-2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3" t="s">
        <v>663</v>
      </c>
      <c r="C19" s="53">
        <f ca="1">SUM(C14:C18)</f>
        <v>29642</v>
      </c>
      <c r="D19" s="260" t="s">
        <v>1759</v>
      </c>
      <c r="E19" s="1981"/>
      <c r="F19" s="56"/>
      <c r="G19" s="1591"/>
      <c r="H19" s="1647" t="s">
        <v>1887</v>
      </c>
      <c r="I19" s="783" t="s">
        <v>1760</v>
      </c>
      <c r="J19" s="53">
        <f ca="1">IF(K19="按租金收入计税",ROUND(J5*M19,1),ROUND(C29*F33*0.7,1))</f>
        <v>298.89999999999998</v>
      </c>
      <c r="K19" s="810" t="s">
        <v>666</v>
      </c>
      <c r="L19" s="783" t="s">
        <v>1749</v>
      </c>
      <c r="M19" s="808">
        <f>IF(K19="按租金收入计税",'数据-取费表'!B51,'数据-取费表'!B50)</f>
        <v>1.2E-2</v>
      </c>
    </row>
    <row r="20" spans="1:33" s="2063" customFormat="1" ht="18" customHeight="1">
      <c r="A20" s="1648" t="s">
        <v>1891</v>
      </c>
      <c r="B20" s="783" t="s">
        <v>667</v>
      </c>
      <c r="C20" s="53">
        <f ca="1">ROUND(C19*F20,0)</f>
        <v>593</v>
      </c>
      <c r="D20" s="811" t="s">
        <v>1761</v>
      </c>
      <c r="E20" s="783" t="s">
        <v>1749</v>
      </c>
      <c r="F20" s="808">
        <f>'数据-取费表'!B37</f>
        <v>0.02</v>
      </c>
      <c r="G20" s="1592"/>
      <c r="H20" s="1650" t="s">
        <v>1882</v>
      </c>
      <c r="I20" s="340" t="s">
        <v>1762</v>
      </c>
      <c r="J20" s="54">
        <f ca="1">ROUND(M20*M21/10000,0)</f>
        <v>15</v>
      </c>
      <c r="K20" s="813" t="s">
        <v>1763</v>
      </c>
      <c r="L20" s="783" t="s">
        <v>1764</v>
      </c>
      <c r="M20" s="639">
        <f>'数据-取费表'!B52</f>
        <v>4</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3" t="s">
        <v>1765</v>
      </c>
      <c r="C21" s="53" t="s">
        <v>1766</v>
      </c>
      <c r="D21" s="811" t="s">
        <v>2301</v>
      </c>
      <c r="E21" s="783" t="s">
        <v>1767</v>
      </c>
      <c r="F21" s="808">
        <f>'数据-取费表'!B38</f>
        <v>0.02</v>
      </c>
      <c r="G21" s="1592"/>
      <c r="H21" s="2527"/>
      <c r="I21" s="792"/>
      <c r="J21" s="69"/>
      <c r="K21" s="815"/>
      <c r="L21" s="783" t="s">
        <v>1768</v>
      </c>
      <c r="M21" s="784">
        <f ca="1">INDIRECT("'数据-取费表'!r"&amp;$G$1)</f>
        <v>37038.11</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3" t="s">
        <v>1769</v>
      </c>
      <c r="C22" s="53"/>
      <c r="D22" s="2593" t="str">
        <f>IF(F23&lt;=1,"单利计息。","复利计息。")&amp;"建造成本、管理费用、销售费用产生的利息。"</f>
        <v>复利计息。建造成本、管理费用、销售费用产生的利息。</v>
      </c>
      <c r="E22" s="1981"/>
      <c r="F22" s="56"/>
      <c r="G22" s="1591"/>
      <c r="H22" s="1648" t="s">
        <v>1891</v>
      </c>
      <c r="I22" s="783" t="s">
        <v>1770</v>
      </c>
      <c r="J22" s="53">
        <f ca="1">ROUND(J14*M22,0)</f>
        <v>534</v>
      </c>
      <c r="K22" s="2505" t="s">
        <v>1771</v>
      </c>
      <c r="L22" s="783" t="s">
        <v>1749</v>
      </c>
      <c r="M22" s="816">
        <f ca="1">INDIRECT("'数据-取费表'!Ak"&amp;$G$1)</f>
        <v>1.4999999999999999E-2</v>
      </c>
    </row>
    <row r="23" spans="1:33" s="2063" customFormat="1" ht="18" customHeight="1">
      <c r="A23" s="1647" t="s">
        <v>1833</v>
      </c>
      <c r="B23" s="783" t="s">
        <v>2541</v>
      </c>
      <c r="C23" s="53">
        <f ca="1">ROUND(IF('数据-取费表'!B22&lt;=1,(C19+C20)*F24*F23/2,(C19+C20)*(POWER((1+F24),F23/2)-1)),0)</f>
        <v>1806</v>
      </c>
      <c r="D23" s="2592" t="str">
        <f>IF(F23&lt;=1,"(建造成本+管理费用)×利率×(建设周期÷2)","(建造成本+管理费用)×((1+利率)^(建设周期÷2)-1)")</f>
        <v>(建造成本+管理费用)×((1+利率)^(建设周期÷2)-1)</v>
      </c>
      <c r="E23" s="783" t="s">
        <v>1772</v>
      </c>
      <c r="F23" s="639">
        <f>'数据-取费表'!B20</f>
        <v>2.5</v>
      </c>
      <c r="G23" s="1592"/>
      <c r="H23" s="1648" t="s">
        <v>1892</v>
      </c>
      <c r="I23" s="783" t="s">
        <v>680</v>
      </c>
      <c r="J23" s="53">
        <f ca="1">ROUND(J13*M23,0)</f>
        <v>0</v>
      </c>
      <c r="K23" s="2505" t="s">
        <v>1773</v>
      </c>
      <c r="L23" s="783" t="s">
        <v>1749</v>
      </c>
      <c r="M23" s="817">
        <f ca="1">INDIRECT("'数据-取费表'!Al"&amp;$G$1)</f>
        <v>1.5E-3</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3" t="s">
        <v>1774</v>
      </c>
      <c r="C24" s="53">
        <f ca="1">ROUND(IF('数据-取费表'!B22&lt;=1,F21*F24*F23/2,F21*(POWER((1+F24),F23/2)-1)),4)</f>
        <v>1.1999999999999999E-3</v>
      </c>
      <c r="D24" s="2592" t="str">
        <f>IF(F23&lt;=1,"销售费用×利率×(建设周期÷2)","销售费用×((1+利率)^(建设周期÷2)-1)")</f>
        <v>销售费用×((1+利率)^(建设周期÷2)-1)</v>
      </c>
      <c r="E24" s="783" t="s">
        <v>1775</v>
      </c>
      <c r="F24" s="818">
        <f ca="1">'数据-取费表'!B40</f>
        <v>4.7500000000000001E-2</v>
      </c>
      <c r="G24" s="1592"/>
      <c r="H24" s="2572" t="s">
        <v>1893</v>
      </c>
      <c r="I24" s="2567" t="s">
        <v>667</v>
      </c>
      <c r="J24" s="2565">
        <f ca="1">ROUND(J5*M24,0)</f>
        <v>0</v>
      </c>
      <c r="K24" s="2566" t="s">
        <v>1776</v>
      </c>
      <c r="L24" s="2567" t="s">
        <v>1749</v>
      </c>
      <c r="M24" s="2563">
        <f ca="1">INDIRECT("'数据-取费表'!Am"&amp;$G$1)</f>
        <v>0.01</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3" t="s">
        <v>685</v>
      </c>
      <c r="C25" s="53"/>
      <c r="D25" s="260" t="s">
        <v>1777</v>
      </c>
      <c r="E25" s="1981"/>
      <c r="F25" s="56"/>
      <c r="G25" s="1591"/>
      <c r="H25" s="1828" t="s">
        <v>1778</v>
      </c>
      <c r="I25" s="3031" t="s">
        <v>2828</v>
      </c>
      <c r="J25" s="791">
        <f ca="1">J5-J16</f>
        <v>-848</v>
      </c>
      <c r="K25" s="2569" t="s">
        <v>1779</v>
      </c>
      <c r="L25" s="2570"/>
      <c r="M25" s="2571"/>
    </row>
    <row r="26" spans="1:33" ht="18" customHeight="1">
      <c r="A26" s="1647" t="s">
        <v>1833</v>
      </c>
      <c r="B26" s="783" t="s">
        <v>2442</v>
      </c>
      <c r="C26" s="53">
        <f ca="1">ROUND((C19+C20)*F26,0)</f>
        <v>907</v>
      </c>
      <c r="D26" s="811" t="s">
        <v>1780</v>
      </c>
      <c r="E26" s="794" t="s">
        <v>1781</v>
      </c>
      <c r="F26" s="793">
        <f ca="1">INDIRECT("'数据-取费表'!q"&amp;$G$1)</f>
        <v>0.03</v>
      </c>
      <c r="G26" s="1591"/>
      <c r="H26" s="2523" t="s">
        <v>1782</v>
      </c>
      <c r="I26" s="2231" t="s">
        <v>2833</v>
      </c>
      <c r="J26" s="782">
        <f ca="1">IF(J5&lt;&gt;0,ROUND(J25*(1-((1+M28)/(1+M26))^M27)/(M26-M28),0),0)</f>
        <v>0</v>
      </c>
      <c r="K26" s="813" t="s">
        <v>1783</v>
      </c>
      <c r="L26" s="783" t="s">
        <v>2423</v>
      </c>
      <c r="M26" s="793">
        <f ca="1">INDIRECT("'数据-取费表'!I"&amp;$G$1)</f>
        <v>4.4999999999999998E-2</v>
      </c>
    </row>
    <row r="27" spans="1:33" ht="18" customHeight="1">
      <c r="A27" s="1647" t="s">
        <v>1834</v>
      </c>
      <c r="B27" s="783" t="s">
        <v>687</v>
      </c>
      <c r="C27" s="53">
        <f ca="1">ROUND(F21*F26,4)</f>
        <v>5.9999999999999995E-4</v>
      </c>
      <c r="D27" s="811" t="s">
        <v>1784</v>
      </c>
      <c r="E27" s="805"/>
      <c r="F27" s="806"/>
      <c r="G27" s="1591"/>
      <c r="H27" s="2524"/>
      <c r="I27" s="786"/>
      <c r="J27" s="787"/>
      <c r="K27" s="820" t="s">
        <v>1785</v>
      </c>
      <c r="L27" s="783" t="s">
        <v>1786</v>
      </c>
      <c r="M27" s="821">
        <f ca="1">INDIRECT("'数据-取费表'!ag"&amp;$G$1)</f>
        <v>0</v>
      </c>
    </row>
    <row r="28" spans="1:33" s="2063" customFormat="1" ht="18" customHeight="1">
      <c r="A28" s="1649" t="s">
        <v>1843</v>
      </c>
      <c r="B28" s="783" t="s">
        <v>688</v>
      </c>
      <c r="C28" s="53">
        <f>ROUND(F28/(1+'数据-取费表'!C42),4)</f>
        <v>5.2400000000000002E-2</v>
      </c>
      <c r="D28" s="811" t="s">
        <v>2302</v>
      </c>
      <c r="E28" s="783" t="s">
        <v>1787</v>
      </c>
      <c r="F28" s="808">
        <f>'数据-取费表'!B41</f>
        <v>5.5000000000000007E-2</v>
      </c>
      <c r="G28" s="1592"/>
      <c r="H28" s="1828"/>
      <c r="I28" s="790"/>
      <c r="J28" s="791"/>
      <c r="K28" s="815"/>
      <c r="L28" s="783" t="s">
        <v>1788</v>
      </c>
      <c r="M28" s="793">
        <f ca="1">INDIRECT("'数据-取费表'!aa"&amp;$G$1)</f>
        <v>0</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2303</v>
      </c>
      <c r="C29" s="2565">
        <f ca="1">ROUND((C19+C20+C23+C26)/(1-F21-C24-C27-C28),0)</f>
        <v>35589</v>
      </c>
      <c r="D29" s="2566"/>
      <c r="E29" s="2567"/>
      <c r="F29" s="2568"/>
      <c r="G29" s="1592"/>
      <c r="H29" s="822" t="s">
        <v>1789</v>
      </c>
      <c r="I29" s="823" t="s">
        <v>1790</v>
      </c>
      <c r="J29" s="824">
        <f ca="1">ROUND(J26/(1+F40)^F41,0)</f>
        <v>0</v>
      </c>
      <c r="K29" s="825" t="s">
        <v>1791</v>
      </c>
      <c r="L29" s="826"/>
      <c r="M29" s="827">
        <f ca="1">INDIRECT("'数据-取费表'!k"&amp;$G$1)</f>
        <v>116438</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1">
        <f ca="1">ROUND(C31+C36+C37+C38,0)</f>
        <v>1068</v>
      </c>
      <c r="D30" s="1820" t="s">
        <v>1793</v>
      </c>
      <c r="E30" s="2507"/>
      <c r="F30" s="2512"/>
      <c r="G30" s="2061"/>
      <c r="H30" s="2064"/>
      <c r="I30" s="2065"/>
      <c r="J30" s="2066"/>
      <c r="K30" s="2067"/>
      <c r="L30" s="2068"/>
      <c r="M30" s="2069"/>
    </row>
    <row r="31" spans="1:33" ht="18" customHeight="1">
      <c r="A31" s="1648" t="s">
        <v>1832</v>
      </c>
      <c r="B31" s="783" t="s">
        <v>657</v>
      </c>
      <c r="C31" s="53">
        <f ca="1">ROUND(IF(项目基本情况!B11="自然人",C5*F31,C32+C33+C34),1)</f>
        <v>453.9</v>
      </c>
      <c r="D31" s="1978" t="s">
        <v>1794</v>
      </c>
      <c r="E31" s="1976" t="s">
        <v>1795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3" t="s">
        <v>1796</v>
      </c>
      <c r="C32" s="53">
        <f ca="1">ROUND(C5*F32/1.05,1)</f>
        <v>140.19999999999999</v>
      </c>
      <c r="D32" s="1976" t="s">
        <v>1797</v>
      </c>
      <c r="E32" s="783" t="s">
        <v>1798</v>
      </c>
      <c r="F32" s="808">
        <f>'数据-取费表'!B41</f>
        <v>5.5000000000000007E-2</v>
      </c>
      <c r="G32" s="2061"/>
      <c r="H32" s="2070"/>
      <c r="I32" s="2071"/>
      <c r="J32" s="2072"/>
      <c r="K32" s="2073"/>
      <c r="L32" s="2074"/>
      <c r="M32" s="2075"/>
    </row>
    <row r="33" spans="1:18" ht="18" customHeight="1">
      <c r="A33" s="1647" t="s">
        <v>1834</v>
      </c>
      <c r="B33" s="783" t="s">
        <v>1799</v>
      </c>
      <c r="C33" s="53">
        <f ca="1">IF(D33="按租金收入计税",ROUND(C5*F33,1),IF(D33="按房产原值计税",ROUND(C29*F33*0.7,1),INDIRECT("'数据-取费表'!Aj"&amp;$G$1)))</f>
        <v>298.89999999999998</v>
      </c>
      <c r="D33" s="810" t="s">
        <v>1682</v>
      </c>
      <c r="E33" s="783" t="s">
        <v>1798</v>
      </c>
      <c r="F33" s="808">
        <f>IF(D33="按租金收入计税",'数据-取费表'!B51,'数据-取费表'!B50)</f>
        <v>1.2E-2</v>
      </c>
      <c r="G33" s="2061"/>
      <c r="H33" s="2076"/>
      <c r="I33" s="2076"/>
      <c r="J33" s="2076"/>
      <c r="K33" s="2077"/>
      <c r="L33" s="2076"/>
      <c r="M33" s="2076"/>
    </row>
    <row r="34" spans="1:18" ht="18" customHeight="1">
      <c r="A34" s="1650" t="s">
        <v>1835</v>
      </c>
      <c r="B34" s="340" t="s">
        <v>1800</v>
      </c>
      <c r="C34" s="54">
        <f ca="1">ROUND(F34*F35/10000,1)</f>
        <v>14.8</v>
      </c>
      <c r="D34" s="813" t="s">
        <v>1801</v>
      </c>
      <c r="E34" s="783" t="s">
        <v>1802</v>
      </c>
      <c r="F34" s="639">
        <f>'数据-取费表'!B52</f>
        <v>4</v>
      </c>
      <c r="G34" s="2061"/>
      <c r="H34" s="2064"/>
      <c r="I34" s="834" t="s">
        <v>1815</v>
      </c>
      <c r="J34" s="835"/>
      <c r="K34" s="2079"/>
      <c r="L34" s="2078"/>
      <c r="M34" s="2078"/>
    </row>
    <row r="35" spans="1:18" ht="18" customHeight="1">
      <c r="A35" s="814"/>
      <c r="B35" s="792"/>
      <c r="C35" s="69"/>
      <c r="D35" s="815"/>
      <c r="E35" s="783" t="s">
        <v>1803</v>
      </c>
      <c r="F35" s="784">
        <f ca="1">INDIRECT("'数据-取费表'!r"&amp;$G$1)</f>
        <v>37038.11</v>
      </c>
      <c r="G35" s="2061"/>
      <c r="H35" s="2064"/>
      <c r="I35" s="836" t="s">
        <v>1816</v>
      </c>
      <c r="J35" s="837">
        <f ca="1">ROUND(C13*J36,0)</f>
        <v>3025</v>
      </c>
      <c r="K35" s="2077"/>
      <c r="L35" s="2076"/>
      <c r="M35" s="2076"/>
    </row>
    <row r="36" spans="1:18" ht="18" customHeight="1">
      <c r="A36" s="1648" t="s">
        <v>1891</v>
      </c>
      <c r="B36" s="783" t="s">
        <v>1804</v>
      </c>
      <c r="C36" s="53">
        <f ca="1">ROUND(C29*F36,1)</f>
        <v>533.79999999999995</v>
      </c>
      <c r="D36" s="1976" t="s">
        <v>1805</v>
      </c>
      <c r="E36" s="783" t="s">
        <v>1798</v>
      </c>
      <c r="F36" s="816">
        <f ca="1">INDIRECT("'数据-取费表'!Ak"&amp;$G$1)</f>
        <v>1.4999999999999999E-2</v>
      </c>
      <c r="G36" s="2061"/>
      <c r="H36" s="2076"/>
      <c r="I36" s="838" t="s">
        <v>1817</v>
      </c>
      <c r="J36" s="839">
        <f ca="1">INDIRECT("'数据-取费表'!j"&amp;$G$1)</f>
        <v>8.5000000000000006E-2</v>
      </c>
      <c r="K36" s="2081"/>
      <c r="L36" s="2076"/>
      <c r="M36" s="2076"/>
    </row>
    <row r="37" spans="1:18" ht="18" customHeight="1">
      <c r="A37" s="1648" t="s">
        <v>1892</v>
      </c>
      <c r="B37" s="783" t="s">
        <v>680</v>
      </c>
      <c r="C37" s="53">
        <f ca="1">ROUND(C13*F37,1)</f>
        <v>53.4</v>
      </c>
      <c r="D37" s="1976" t="s">
        <v>1806</v>
      </c>
      <c r="E37" s="783" t="s">
        <v>1798</v>
      </c>
      <c r="F37" s="817">
        <f ca="1">INDIRECT("'数据-取费表'!Al"&amp;$G$1)</f>
        <v>1.5E-3</v>
      </c>
      <c r="G37" s="2061"/>
      <c r="H37" s="2076"/>
      <c r="I37" s="840" t="s">
        <v>1818</v>
      </c>
      <c r="J37" s="841"/>
      <c r="K37" s="2081"/>
      <c r="L37" s="2076"/>
      <c r="M37" s="2076"/>
    </row>
    <row r="38" spans="1:18" ht="18" customHeight="1" thickBot="1">
      <c r="A38" s="2572" t="s">
        <v>1893</v>
      </c>
      <c r="B38" s="2567" t="s">
        <v>667</v>
      </c>
      <c r="C38" s="2565">
        <f ca="1">ROUND(C5*F38,1)</f>
        <v>26.8</v>
      </c>
      <c r="D38" s="2566" t="s">
        <v>1807</v>
      </c>
      <c r="E38" s="2567" t="s">
        <v>1798</v>
      </c>
      <c r="F38" s="2563">
        <f ca="1">INDIRECT("'数据-取费表'!Am"&amp;$G$1)</f>
        <v>0.01</v>
      </c>
      <c r="G38" s="2061"/>
      <c r="H38" s="2076"/>
      <c r="I38" s="842" t="s">
        <v>1819</v>
      </c>
      <c r="J38" s="843"/>
      <c r="K38" s="2082"/>
      <c r="L38" s="2076"/>
      <c r="M38" s="2076"/>
    </row>
    <row r="39" spans="1:18" ht="24.6" customHeight="1" thickTop="1">
      <c r="A39" s="1828" t="s">
        <v>1896</v>
      </c>
      <c r="B39" s="3031" t="s">
        <v>2828</v>
      </c>
      <c r="C39" s="791">
        <f ca="1">C5-C30</f>
        <v>1609</v>
      </c>
      <c r="D39" s="2569" t="s">
        <v>1808</v>
      </c>
      <c r="E39" s="2570"/>
      <c r="F39" s="2571"/>
      <c r="G39" s="2061"/>
      <c r="H39" s="2076"/>
      <c r="I39" s="836" t="s">
        <v>1820</v>
      </c>
      <c r="J39" s="844">
        <f ca="1">ROUND(J35/C39,3)</f>
        <v>1.88</v>
      </c>
      <c r="K39" s="2082"/>
      <c r="L39" s="2076"/>
      <c r="M39" s="2076"/>
    </row>
    <row r="40" spans="1:18" ht="18" customHeight="1">
      <c r="A40" s="780" t="s">
        <v>1897</v>
      </c>
      <c r="B40" s="2231" t="s">
        <v>2304</v>
      </c>
      <c r="C40" s="782">
        <f ca="1">ROUND(C39*(1-((1+F42)/(1+F40))^F41)/(F40-F42),0)</f>
        <v>39932</v>
      </c>
      <c r="D40" s="813" t="s">
        <v>1809</v>
      </c>
      <c r="E40" s="783" t="s">
        <v>2423</v>
      </c>
      <c r="F40" s="793">
        <f ca="1">INDIRECT("'数据-取费表'!I"&amp;$G$1)</f>
        <v>4.4999999999999998E-2</v>
      </c>
      <c r="G40" s="2061"/>
      <c r="H40" s="2061"/>
      <c r="I40" s="836" t="s">
        <v>1821</v>
      </c>
      <c r="J40" s="844">
        <f ca="1">1-J39</f>
        <v>-0.87999999999999989</v>
      </c>
      <c r="K40" s="2082"/>
      <c r="L40" s="2061"/>
      <c r="M40" s="2061"/>
    </row>
    <row r="41" spans="1:18" ht="18" customHeight="1">
      <c r="A41" s="785"/>
      <c r="B41" s="786"/>
      <c r="C41" s="787"/>
      <c r="D41" s="820" t="s">
        <v>1810</v>
      </c>
      <c r="E41" s="783" t="s">
        <v>2971</v>
      </c>
      <c r="F41" s="821">
        <f ca="1">IF(INDIRECT("'数据-取费表'!af"&amp;$G$1)=0,INDIRECT("'数据-取费表'!ae"&amp;$G$1),INDIRECT("'数据-取费表'!af"&amp;$G$1))</f>
        <v>46.85</v>
      </c>
      <c r="G41" s="2061"/>
      <c r="H41" s="1987"/>
      <c r="I41" s="842" t="s">
        <v>1822</v>
      </c>
      <c r="J41" s="845"/>
      <c r="K41" s="2081"/>
      <c r="L41" s="1987"/>
      <c r="M41" s="1987"/>
    </row>
    <row r="42" spans="1:18" ht="18" customHeight="1">
      <c r="A42" s="789"/>
      <c r="B42" s="790"/>
      <c r="C42" s="791"/>
      <c r="D42" s="815"/>
      <c r="E42" s="783" t="s">
        <v>1811</v>
      </c>
      <c r="F42" s="793">
        <f ca="1">INDIRECT("'数据-取费表'!v"&amp;$G$1)</f>
        <v>1.4999999999999999E-2</v>
      </c>
      <c r="G42" s="2061"/>
      <c r="H42" s="1987"/>
      <c r="I42" s="846" t="s">
        <v>1823</v>
      </c>
      <c r="J42" s="844">
        <f ca="1">ROUND(C13/C40,3)</f>
        <v>0.89100000000000001</v>
      </c>
      <c r="K42" s="2081"/>
      <c r="L42" s="1987"/>
      <c r="M42" s="1987"/>
    </row>
    <row r="43" spans="1:18" ht="18" customHeight="1" thickBot="1">
      <c r="A43" s="822" t="s">
        <v>1789</v>
      </c>
      <c r="B43" s="823" t="s">
        <v>1812</v>
      </c>
      <c r="C43" s="824">
        <f ca="1">ROUND(C40*10000/F43,0)</f>
        <v>3429</v>
      </c>
      <c r="D43" s="825" t="s">
        <v>1813</v>
      </c>
      <c r="E43" s="826" t="s">
        <v>1814</v>
      </c>
      <c r="F43" s="827">
        <f ca="1">INDIRECT("'数据-取费表'!k"&amp;$G$1)</f>
        <v>116438</v>
      </c>
      <c r="G43" s="2061"/>
      <c r="H43" s="1987"/>
      <c r="I43" s="846" t="s">
        <v>1824</v>
      </c>
      <c r="J43" s="847">
        <f ca="1">1-J42</f>
        <v>0.10899999999999999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95">
        <f ca="1">C67-C40</f>
        <v>-57408</v>
      </c>
      <c r="D46" s="2084"/>
      <c r="E46" s="2084"/>
      <c r="F46" s="2084"/>
      <c r="I46" s="2375" t="s">
        <v>2346</v>
      </c>
      <c r="J46" s="2376"/>
      <c r="K46" s="2377"/>
      <c r="L46" s="2378" t="str">
        <f ca="1">IF(M47="住宅",0,IF(L48&gt;J51,L60,J60))</f>
        <v>0</v>
      </c>
      <c r="O46" s="2415" t="s">
        <v>2414</v>
      </c>
      <c r="P46" s="1591"/>
      <c r="Q46" s="1603"/>
      <c r="R46" s="1591"/>
    </row>
    <row r="47" spans="1:18" s="2058" customFormat="1" ht="18" customHeight="1" thickBot="1">
      <c r="A47" s="2369">
        <v>1</v>
      </c>
      <c r="B47" s="2370" t="s">
        <v>636</v>
      </c>
      <c r="C47" s="2595">
        <f ca="1">C48+C52+C54</f>
        <v>0</v>
      </c>
      <c r="D47" s="2084"/>
      <c r="E47" s="2084"/>
      <c r="F47" s="2084"/>
      <c r="I47" s="2379" t="s">
        <v>2347</v>
      </c>
      <c r="J47" s="2384" t="s">
        <v>3273</v>
      </c>
      <c r="K47" s="2385" t="s">
        <v>2353</v>
      </c>
      <c r="L47" s="2386">
        <f ca="1">INDIRECT("'数据-取费表'!d"&amp;$G$1)</f>
        <v>50</v>
      </c>
      <c r="M47" s="1603" t="str">
        <f>IF(ISNUMBER(FIND("住宅",C1)),"住宅","非住宅")</f>
        <v>非住宅</v>
      </c>
      <c r="O47" s="2416" t="s">
        <v>2379</v>
      </c>
      <c r="P47" s="2417" t="s">
        <v>2380</v>
      </c>
      <c r="Q47" s="2418" t="s">
        <v>2381</v>
      </c>
      <c r="R47" s="2417" t="s">
        <v>2382</v>
      </c>
    </row>
    <row r="48" spans="1:18" s="2058" customFormat="1" ht="18" customHeight="1" thickBot="1">
      <c r="A48" s="2664" t="s">
        <v>2543</v>
      </c>
      <c r="B48" s="2665" t="s">
        <v>2544</v>
      </c>
      <c r="C48" s="2371">
        <f ca="1">ROUND(F48*F50*F49*(1-F51)/10000,0)</f>
        <v>0</v>
      </c>
      <c r="D48" s="2372" t="s">
        <v>637</v>
      </c>
      <c r="E48" s="2373" t="s">
        <v>2299</v>
      </c>
      <c r="F48" s="2374"/>
      <c r="G48" s="2089"/>
      <c r="I48" s="2380" t="s">
        <v>2348</v>
      </c>
      <c r="J48" s="2387" t="s">
        <v>2354</v>
      </c>
      <c r="K48" s="2388" t="s">
        <v>2355</v>
      </c>
      <c r="L48" s="2389">
        <f ca="1">INDIRECT("'数据-取费表'!f"&amp;$G$1)</f>
        <v>49.35</v>
      </c>
      <c r="O48" s="2419" t="s">
        <v>2383</v>
      </c>
      <c r="P48" s="2420" t="s">
        <v>2409</v>
      </c>
      <c r="Q48" s="2421">
        <f ca="1">C40+J29</f>
        <v>39932</v>
      </c>
      <c r="R48" s="2420" t="s">
        <v>2384</v>
      </c>
    </row>
    <row r="49" spans="1:18" s="2058" customFormat="1" ht="18" customHeight="1" thickBot="1">
      <c r="A49" s="785"/>
      <c r="B49" s="786"/>
      <c r="C49" s="787"/>
      <c r="D49" s="788"/>
      <c r="E49" s="783" t="s">
        <v>1741</v>
      </c>
      <c r="F49" s="784">
        <f ca="1">F7</f>
        <v>116438</v>
      </c>
      <c r="G49" s="2089"/>
      <c r="H49" s="2092"/>
      <c r="I49" s="2380" t="s">
        <v>2349</v>
      </c>
      <c r="J49" s="2390"/>
      <c r="K49" s="2391" t="s">
        <v>2356</v>
      </c>
      <c r="L49" s="2392"/>
      <c r="O49" s="2419" t="s">
        <v>2385</v>
      </c>
      <c r="P49" s="2420" t="s">
        <v>2410</v>
      </c>
      <c r="Q49" s="2421" t="str">
        <f ca="1">J60</f>
        <v>0</v>
      </c>
      <c r="R49" s="2420" t="s">
        <v>2386</v>
      </c>
    </row>
    <row r="50" spans="1:18" s="2058" customFormat="1" ht="18" customHeight="1" thickBot="1">
      <c r="A50" s="785"/>
      <c r="B50" s="786"/>
      <c r="C50" s="787"/>
      <c r="D50" s="788"/>
      <c r="E50" s="783" t="s">
        <v>1742</v>
      </c>
      <c r="F50" s="784">
        <f ca="1">F8</f>
        <v>365</v>
      </c>
      <c r="G50" s="2094"/>
      <c r="H50" s="2092"/>
      <c r="I50" s="2380" t="s">
        <v>2350</v>
      </c>
      <c r="J50" s="2393">
        <f>SUMPRODUCT((I63:I65=J47)*(J62:L62=J48)*(J63:L65))</f>
        <v>60</v>
      </c>
      <c r="K50" s="2391" t="s">
        <v>2357</v>
      </c>
      <c r="L50" s="2392"/>
      <c r="O50" s="2422" t="s">
        <v>2387</v>
      </c>
      <c r="P50" s="2420" t="s">
        <v>2411</v>
      </c>
      <c r="Q50" s="2421">
        <f ca="1">C29</f>
        <v>35589</v>
      </c>
      <c r="R50" s="2420" t="s">
        <v>2384</v>
      </c>
    </row>
    <row r="51" spans="1:18" s="2058" customFormat="1" ht="18" customHeight="1" thickBot="1">
      <c r="A51" s="785"/>
      <c r="B51" s="786"/>
      <c r="C51" s="787"/>
      <c r="D51" s="788"/>
      <c r="E51" s="783" t="s">
        <v>641</v>
      </c>
      <c r="F51" s="2368"/>
      <c r="H51" s="2092"/>
      <c r="I51" s="2381" t="s">
        <v>2351</v>
      </c>
      <c r="J51" s="2394">
        <f>IF(J49="",J50,J49+J50-YEAR('数据-取费表'!B2))</f>
        <v>60</v>
      </c>
      <c r="K51" s="2380" t="s">
        <v>2358</v>
      </c>
      <c r="L51" s="2395">
        <f ca="1">ROUND(-PV(INDIRECT("'数据-取费表'!h"&amp;$G$1),L48,(C39-C13*J36),0),0)</f>
        <v>-30292</v>
      </c>
      <c r="O51" s="2422" t="s">
        <v>2388</v>
      </c>
      <c r="P51" s="2420" t="s">
        <v>2389</v>
      </c>
      <c r="Q51" s="2423" t="e">
        <f ca="1">J58</f>
        <v>#VALUE!</v>
      </c>
      <c r="R51" s="2424"/>
    </row>
    <row r="52" spans="1:18" s="2058" customFormat="1" ht="18" customHeight="1" thickBot="1">
      <c r="A52" s="780" t="s">
        <v>2542</v>
      </c>
      <c r="B52" s="2515" t="s">
        <v>2464</v>
      </c>
      <c r="C52" s="798">
        <f ca="1">ROUND(IF(F52="押一",F48*F50*F49/12*F11,IF(F52="押二",F48*F50*F49/12*2*F11,IF(F52="押三",F48*F50*F49/12*3*F11,C53*F11)))/10000,0)</f>
        <v>0</v>
      </c>
      <c r="D52" s="2522" t="s">
        <v>2471</v>
      </c>
      <c r="E52" s="2519" t="s">
        <v>2469</v>
      </c>
      <c r="F52" s="2642"/>
      <c r="I52" s="2382" t="s">
        <v>2425</v>
      </c>
      <c r="J52" s="2396"/>
      <c r="K52" s="2382" t="s">
        <v>2424</v>
      </c>
      <c r="L52" s="2396"/>
      <c r="O52" s="2422" t="s">
        <v>2390</v>
      </c>
      <c r="P52" s="2420" t="s">
        <v>2391</v>
      </c>
      <c r="Q52" s="2423">
        <f>J52</f>
        <v>0</v>
      </c>
      <c r="R52" s="2424"/>
    </row>
    <row r="53" spans="1:18" s="2058" customFormat="1" ht="39.75" customHeight="1" thickBot="1">
      <c r="A53" s="785"/>
      <c r="B53" s="2516" t="s">
        <v>2579</v>
      </c>
      <c r="C53" s="2520"/>
      <c r="D53" s="2522"/>
      <c r="E53" s="2519"/>
      <c r="F53" s="799"/>
      <c r="I53" s="2383" t="s">
        <v>2352</v>
      </c>
      <c r="J53" s="2397">
        <f ca="1">IF(M47="住宅",J51,IF(D1="——",MIN(J51,L48),IF(D1="土地（套用方法）",MIN(J51,L48-'数据-取费表'!B20))))</f>
        <v>46.85</v>
      </c>
      <c r="K53" s="3734" t="s">
        <v>2973</v>
      </c>
      <c r="L53" s="3735"/>
      <c r="O53" s="2422" t="s">
        <v>2392</v>
      </c>
      <c r="P53" s="2420" t="s">
        <v>2393</v>
      </c>
      <c r="Q53" s="2421">
        <f ca="1">J53</f>
        <v>46.85</v>
      </c>
      <c r="R53" s="2420" t="s">
        <v>2394</v>
      </c>
    </row>
    <row r="54" spans="1:18" s="2058" customFormat="1" ht="18" customHeight="1" thickBot="1">
      <c r="A54" s="2558" t="s">
        <v>2473</v>
      </c>
      <c r="B54" s="2559" t="s">
        <v>2465</v>
      </c>
      <c r="C54" s="2560"/>
      <c r="D54" s="2522"/>
      <c r="E54" s="2519"/>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19" t="s">
        <v>2395</v>
      </c>
      <c r="P54" s="2420" t="s">
        <v>2412</v>
      </c>
      <c r="Q54" s="2421">
        <f ca="1">Q48+Q49</f>
        <v>39932</v>
      </c>
      <c r="R54" s="2424" t="s">
        <v>2396</v>
      </c>
    </row>
    <row r="55" spans="1:18" s="2058" customFormat="1" ht="18" customHeight="1" thickTop="1" thickBot="1">
      <c r="A55" s="796">
        <v>2</v>
      </c>
      <c r="B55" s="797" t="s">
        <v>645</v>
      </c>
      <c r="C55" s="798">
        <f ca="1">C13</f>
        <v>35589</v>
      </c>
      <c r="D55" s="794"/>
      <c r="E55" s="794"/>
      <c r="F55" s="799"/>
      <c r="I55" s="3124" t="s">
        <v>2359</v>
      </c>
      <c r="J55" s="3123" t="e">
        <f ca="1">ROUND(IF(J47="钢混",J57/J50,1-(1-2%)*(J50-J57)/J50),3)</f>
        <v>#VALUE!</v>
      </c>
      <c r="K55" s="2398" t="s">
        <v>2360</v>
      </c>
      <c r="L55" s="2399"/>
      <c r="O55" s="2425" t="s">
        <v>2415</v>
      </c>
      <c r="P55" s="1591"/>
      <c r="Q55" s="1603"/>
      <c r="R55" s="1591"/>
    </row>
    <row r="56" spans="1:18" s="2058" customFormat="1" ht="42.75" customHeight="1" thickBot="1">
      <c r="A56" s="1649"/>
      <c r="B56" s="2230" t="s">
        <v>2305</v>
      </c>
      <c r="C56" s="53">
        <f ca="1">C29</f>
        <v>35589</v>
      </c>
      <c r="D56" s="2661"/>
      <c r="E56" s="783"/>
      <c r="F56" s="808"/>
      <c r="I56" s="2400" t="s">
        <v>2361</v>
      </c>
      <c r="J56" s="3147" t="s">
        <v>1680</v>
      </c>
      <c r="K56" s="2380" t="s">
        <v>2366</v>
      </c>
      <c r="L56" s="2389" t="str">
        <f ca="1">IF(L48&lt;J51,"——",L48-J51)</f>
        <v>——</v>
      </c>
      <c r="O56" s="2416" t="s">
        <v>2379</v>
      </c>
      <c r="P56" s="2417" t="s">
        <v>2380</v>
      </c>
      <c r="Q56" s="2418" t="s">
        <v>2381</v>
      </c>
      <c r="R56" s="2417" t="s">
        <v>2382</v>
      </c>
    </row>
    <row r="57" spans="1:18" s="2058" customFormat="1" ht="28.5" customHeight="1" thickBot="1">
      <c r="A57" s="796" t="s">
        <v>1750</v>
      </c>
      <c r="B57" s="797" t="s">
        <v>652</v>
      </c>
      <c r="C57" s="798">
        <f ca="1">ROUND(C58+C63+C64+C65,0)</f>
        <v>901</v>
      </c>
      <c r="D57" s="26" t="s">
        <v>1752</v>
      </c>
      <c r="E57" s="2662"/>
      <c r="F57" s="56"/>
      <c r="I57" s="2401" t="s">
        <v>2362</v>
      </c>
      <c r="J57" s="2403" t="str">
        <f ca="1">IF(OR(M47="住宅",J51&lt;L48,J56="是"),"——",J51-L48)</f>
        <v>——</v>
      </c>
      <c r="K57" s="2380" t="s">
        <v>2367</v>
      </c>
      <c r="L57" s="2389" t="str">
        <f ca="1">IF(L48&lt;J51,"——",IF(L55="比较法",L49,IF(L55="基准地价",L50,L51)))</f>
        <v>——</v>
      </c>
      <c r="O57" s="2419" t="s">
        <v>2383</v>
      </c>
      <c r="P57" s="2420" t="s">
        <v>2413</v>
      </c>
      <c r="Q57" s="2421">
        <f ca="1">C40+J29</f>
        <v>39932</v>
      </c>
      <c r="R57" s="2420" t="s">
        <v>2384</v>
      </c>
    </row>
    <row r="58" spans="1:18" s="2058" customFormat="1" ht="28.5" customHeight="1" thickBot="1">
      <c r="A58" s="1648" t="s">
        <v>1826</v>
      </c>
      <c r="B58" s="783" t="s">
        <v>657</v>
      </c>
      <c r="C58" s="53">
        <f ca="1">ROUND(IF(项目基本情况!B11="自然人",C47*F58,C59+C60+C61),1)</f>
        <v>313.7</v>
      </c>
      <c r="D58" s="2660" t="s">
        <v>658</v>
      </c>
      <c r="E58" s="2661" t="s">
        <v>691</v>
      </c>
      <c r="F58" s="809" t="str">
        <f ca="1">IF(项目基本情况!B11="企业","",IF(INDIRECT("'数据-取费表'!c"&amp;$G$1)="住宅",5%,IF(F48*F49*F50/12/(1+'数据-取费表'!C42)&gt;20000,12%,7%)))</f>
        <v/>
      </c>
      <c r="I58" s="2401" t="s">
        <v>2363</v>
      </c>
      <c r="J58" s="3125" t="e">
        <f ca="1">IF(J55&lt;0.4,0.4,J55)</f>
        <v>#VALUE!</v>
      </c>
      <c r="K58" s="2380" t="s">
        <v>2368</v>
      </c>
      <c r="L58" s="2389" t="e">
        <f ca="1">ROUND(POWER(1+L52,L47-L48)*(POWER(1+L52,L48)-1)/(POWER(1+L52,L47)-1),4)</f>
        <v>#DIV/0!</v>
      </c>
      <c r="O58" s="2419" t="s">
        <v>2385</v>
      </c>
      <c r="P58" s="2420" t="s">
        <v>2416</v>
      </c>
      <c r="Q58" s="2421">
        <f ca="1">L60</f>
        <v>0</v>
      </c>
      <c r="R58" s="2424" t="s">
        <v>2418</v>
      </c>
    </row>
    <row r="59" spans="1:18" s="2058" customFormat="1" ht="28.5" customHeight="1" thickBot="1">
      <c r="A59" s="1647" t="s">
        <v>1833</v>
      </c>
      <c r="B59" s="783" t="s">
        <v>661</v>
      </c>
      <c r="C59" s="53">
        <f ca="1">ROUND(C47*F59/1.05,1)</f>
        <v>0</v>
      </c>
      <c r="D59" s="2661" t="s">
        <v>1758</v>
      </c>
      <c r="E59" s="783" t="s">
        <v>1749</v>
      </c>
      <c r="F59" s="808">
        <f t="shared" ref="F59:F65" si="0">F32</f>
        <v>5.5000000000000007E-2</v>
      </c>
      <c r="I59" s="2401" t="s">
        <v>2364</v>
      </c>
      <c r="J59" s="2403"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2387</v>
      </c>
      <c r="P59" s="2420" t="s">
        <v>2417</v>
      </c>
      <c r="Q59" s="2421">
        <f>IF(L55="比较法",L49,IF(L55="基准地价",L50,0))</f>
        <v>0</v>
      </c>
      <c r="R59" s="2420" t="s">
        <v>2384</v>
      </c>
    </row>
    <row r="60" spans="1:18" s="2058" customFormat="1" ht="18" customHeight="1" thickBot="1">
      <c r="A60" s="1647" t="s">
        <v>1834</v>
      </c>
      <c r="B60" s="783" t="s">
        <v>1760</v>
      </c>
      <c r="C60" s="53">
        <f ca="1">IF(D60="按租金收入计税",ROUND(C47*F60,1),IF(D60="按房产原值计税",ROUND(C56*F60*0.7,1),INDIRECT("'数据-取费表'!Aj"&amp;$G$1)))</f>
        <v>298.89999999999998</v>
      </c>
      <c r="D60" s="2661" t="str">
        <f>D33</f>
        <v>按房产原值计税</v>
      </c>
      <c r="E60" s="783" t="s">
        <v>1749</v>
      </c>
      <c r="F60" s="808">
        <f t="shared" si="0"/>
        <v>1.2E-2</v>
      </c>
      <c r="I60" s="2402" t="s">
        <v>2365</v>
      </c>
      <c r="J60" s="2404" t="str">
        <f ca="1">IF(OR(M47="住宅",J51&lt;L48,J56="是"),"0",ROUND(J59/(1+J52)^J53,0))</f>
        <v>0</v>
      </c>
      <c r="K60" s="2405" t="s">
        <v>2370</v>
      </c>
      <c r="L60" s="2404">
        <f ca="1">IF(OR(M47="住宅",L48&lt;J51),0,ROUND(L57*(L58/L59-1),0))</f>
        <v>0</v>
      </c>
      <c r="O60" s="2422" t="s">
        <v>2388</v>
      </c>
      <c r="P60" s="2420" t="s">
        <v>2397</v>
      </c>
      <c r="Q60" s="2423">
        <f>L52</f>
        <v>0</v>
      </c>
      <c r="R60" s="2424"/>
    </row>
    <row r="61" spans="1:18" s="2058" customFormat="1" ht="18" customHeight="1" thickBot="1">
      <c r="A61" s="1650" t="s">
        <v>1835</v>
      </c>
      <c r="B61" s="340" t="s">
        <v>669</v>
      </c>
      <c r="C61" s="54">
        <f ca="1">ROUND(F61*F62/10000,1)</f>
        <v>14.8</v>
      </c>
      <c r="D61" s="813" t="s">
        <v>670</v>
      </c>
      <c r="E61" s="783" t="s">
        <v>671</v>
      </c>
      <c r="F61" s="639">
        <f t="shared" si="0"/>
        <v>4</v>
      </c>
      <c r="K61" s="2085"/>
      <c r="O61" s="2422" t="s">
        <v>2390</v>
      </c>
      <c r="P61" s="2420" t="s">
        <v>2398</v>
      </c>
      <c r="Q61" s="2421" t="e">
        <f ca="1">L58</f>
        <v>#DIV/0!</v>
      </c>
      <c r="R61" s="2424" t="s">
        <v>2399</v>
      </c>
    </row>
    <row r="62" spans="1:18" s="2058" customFormat="1" ht="15.75" thickBot="1">
      <c r="A62" s="814"/>
      <c r="B62" s="792"/>
      <c r="C62" s="69"/>
      <c r="D62" s="815"/>
      <c r="E62" s="783" t="s">
        <v>675</v>
      </c>
      <c r="F62" s="784">
        <f t="shared" ca="1" si="0"/>
        <v>37038.11</v>
      </c>
      <c r="I62" s="2406" t="s">
        <v>2371</v>
      </c>
      <c r="J62" s="2407" t="s">
        <v>2372</v>
      </c>
      <c r="K62" s="2407" t="s">
        <v>2373</v>
      </c>
      <c r="L62" s="2407" t="s">
        <v>2354</v>
      </c>
      <c r="M62" s="3126" t="s">
        <v>2948</v>
      </c>
      <c r="O62" s="2422" t="s">
        <v>2392</v>
      </c>
      <c r="P62" s="2420" t="str">
        <f>K59</f>
        <v>建设期及建筑物耐用年限下的土地年期修正系数Kn</v>
      </c>
      <c r="Q62" s="2421" t="e">
        <f ca="1">L59</f>
        <v>#DIV/0!</v>
      </c>
      <c r="R62" s="2424" t="s">
        <v>2401</v>
      </c>
    </row>
    <row r="63" spans="1:18" s="2058" customFormat="1" ht="15.75" thickBot="1">
      <c r="A63" s="1648" t="s">
        <v>1891</v>
      </c>
      <c r="B63" s="783" t="s">
        <v>677</v>
      </c>
      <c r="C63" s="53">
        <f ca="1">ROUND(C56*F63,1)</f>
        <v>533.79999999999995</v>
      </c>
      <c r="D63" s="2661" t="s">
        <v>1805</v>
      </c>
      <c r="E63" s="783" t="s">
        <v>1749</v>
      </c>
      <c r="F63" s="816">
        <f t="shared" ca="1" si="0"/>
        <v>1.4999999999999999E-2</v>
      </c>
      <c r="I63" s="2406" t="s">
        <v>2374</v>
      </c>
      <c r="J63" s="2407">
        <v>70</v>
      </c>
      <c r="K63" s="2407">
        <v>50</v>
      </c>
      <c r="L63" s="2407">
        <v>80</v>
      </c>
      <c r="M63" s="3127">
        <v>0.02</v>
      </c>
      <c r="O63" s="2419" t="s">
        <v>2395</v>
      </c>
      <c r="P63" s="2420" t="s">
        <v>2412</v>
      </c>
      <c r="Q63" s="2421">
        <f ca="1">Q57+Q58</f>
        <v>39932</v>
      </c>
      <c r="R63" s="2424" t="s">
        <v>2396</v>
      </c>
    </row>
    <row r="64" spans="1:18" s="2058" customFormat="1" ht="16.5" thickBot="1">
      <c r="A64" s="1648" t="s">
        <v>1892</v>
      </c>
      <c r="B64" s="783" t="s">
        <v>680</v>
      </c>
      <c r="C64" s="53">
        <f ca="1">ROUND(C55*F64,1)</f>
        <v>53.4</v>
      </c>
      <c r="D64" s="2661" t="s">
        <v>681</v>
      </c>
      <c r="E64" s="783" t="s">
        <v>1749</v>
      </c>
      <c r="F64" s="817">
        <f t="shared" ca="1" si="0"/>
        <v>1.5E-3</v>
      </c>
      <c r="I64" s="2406" t="s">
        <v>2375</v>
      </c>
      <c r="J64" s="2407">
        <v>50</v>
      </c>
      <c r="K64" s="2407">
        <v>35</v>
      </c>
      <c r="L64" s="2407">
        <v>60</v>
      </c>
      <c r="M64" s="3128">
        <v>0</v>
      </c>
      <c r="O64" s="2425" t="s">
        <v>2419</v>
      </c>
      <c r="P64" s="1591"/>
      <c r="Q64" s="1603"/>
      <c r="R64" s="1591"/>
    </row>
    <row r="65" spans="1:18" s="2058" customFormat="1" ht="15.75" thickBot="1">
      <c r="A65" s="1648" t="s">
        <v>1893</v>
      </c>
      <c r="B65" s="783" t="s">
        <v>667</v>
      </c>
      <c r="C65" s="53">
        <f ca="1">ROUND(C47*F65,1)</f>
        <v>0</v>
      </c>
      <c r="D65" s="2661" t="s">
        <v>684</v>
      </c>
      <c r="E65" s="783" t="s">
        <v>1749</v>
      </c>
      <c r="F65" s="793">
        <f t="shared" ca="1" si="0"/>
        <v>0.01</v>
      </c>
      <c r="I65" s="2406" t="s">
        <v>2376</v>
      </c>
      <c r="J65" s="2407">
        <v>40</v>
      </c>
      <c r="K65" s="2407">
        <v>30</v>
      </c>
      <c r="L65" s="2407">
        <v>50</v>
      </c>
      <c r="M65" s="3127">
        <v>0.02</v>
      </c>
      <c r="O65" s="2416" t="s">
        <v>2379</v>
      </c>
      <c r="P65" s="2417" t="s">
        <v>2380</v>
      </c>
      <c r="Q65" s="2418" t="s">
        <v>2381</v>
      </c>
      <c r="R65" s="2417" t="s">
        <v>2382</v>
      </c>
    </row>
    <row r="66" spans="1:18" s="2058" customFormat="1" ht="24.75" thickBot="1">
      <c r="A66" s="796" t="s">
        <v>1778</v>
      </c>
      <c r="B66" s="3032" t="s">
        <v>2828</v>
      </c>
      <c r="C66" s="798">
        <f ca="1">C47-C57</f>
        <v>-901</v>
      </c>
      <c r="D66" s="2660" t="s">
        <v>701</v>
      </c>
      <c r="E66" s="2659"/>
      <c r="F66" s="819"/>
      <c r="K66" s="2085"/>
      <c r="O66" s="2419" t="s">
        <v>2383</v>
      </c>
      <c r="P66" s="2420" t="s">
        <v>2413</v>
      </c>
      <c r="Q66" s="2421">
        <f ca="1">C40+J29</f>
        <v>39932</v>
      </c>
      <c r="R66" s="2420" t="s">
        <v>2384</v>
      </c>
    </row>
    <row r="67" spans="1:18" s="2058" customFormat="1" ht="20.25" thickBot="1">
      <c r="A67" s="780" t="s">
        <v>1782</v>
      </c>
      <c r="B67" s="2231" t="s">
        <v>2304</v>
      </c>
      <c r="C67" s="782">
        <f ca="1">ROUND(C66*(1-((1+F69)/(1+F67))^F68)/(F67-F69),0)</f>
        <v>-17476</v>
      </c>
      <c r="D67" s="813" t="s">
        <v>705</v>
      </c>
      <c r="E67" s="783" t="s">
        <v>706</v>
      </c>
      <c r="F67" s="793">
        <f ca="1">F40</f>
        <v>4.4999999999999998E-2</v>
      </c>
      <c r="K67" s="2085"/>
      <c r="O67" s="2419" t="s">
        <v>2385</v>
      </c>
      <c r="P67" s="2420" t="s">
        <v>2416</v>
      </c>
      <c r="Q67" s="2421">
        <f ca="1">L60</f>
        <v>0</v>
      </c>
      <c r="R67" s="2424" t="s">
        <v>2418</v>
      </c>
    </row>
    <row r="68" spans="1:18" ht="21.75" thickBot="1">
      <c r="A68" s="785"/>
      <c r="B68" s="786"/>
      <c r="C68" s="787"/>
      <c r="D68" s="820" t="s">
        <v>1810</v>
      </c>
      <c r="E68" s="783" t="s">
        <v>1786</v>
      </c>
      <c r="F68" s="821">
        <f ca="1">F41</f>
        <v>46.85</v>
      </c>
      <c r="O68" s="2422" t="s">
        <v>2387</v>
      </c>
      <c r="P68" s="2420" t="s">
        <v>2417</v>
      </c>
      <c r="Q68" s="2426">
        <f ca="1">L51</f>
        <v>-30292</v>
      </c>
      <c r="R68" s="2427" t="s">
        <v>2420</v>
      </c>
    </row>
    <row r="69" spans="1:18" ht="20.25" thickBot="1">
      <c r="A69" s="789"/>
      <c r="B69" s="790"/>
      <c r="C69" s="791"/>
      <c r="D69" s="815"/>
      <c r="E69" s="783" t="s">
        <v>711</v>
      </c>
      <c r="F69" s="2368"/>
      <c r="O69" s="2422" t="s">
        <v>2388</v>
      </c>
      <c r="P69" s="2428" t="s">
        <v>2402</v>
      </c>
      <c r="Q69" s="2421">
        <f ca="1">ROUND(Q70-Q71*Q72,0)</f>
        <v>-1416</v>
      </c>
      <c r="R69" s="2424"/>
    </row>
    <row r="70" spans="1:18" ht="15.75" thickBot="1">
      <c r="A70" s="822" t="s">
        <v>1789</v>
      </c>
      <c r="B70" s="823" t="s">
        <v>1812</v>
      </c>
      <c r="C70" s="824">
        <f ca="1">ROUND(C67*10000/F70,0)</f>
        <v>-1501</v>
      </c>
      <c r="D70" s="825" t="s">
        <v>1813</v>
      </c>
      <c r="E70" s="826" t="s">
        <v>1814</v>
      </c>
      <c r="F70" s="827">
        <f ca="1">F43</f>
        <v>116438</v>
      </c>
      <c r="O70" s="2422" t="s">
        <v>2403</v>
      </c>
      <c r="P70" s="2428" t="s">
        <v>2404</v>
      </c>
      <c r="Q70" s="2421">
        <f ca="1">C39</f>
        <v>1609</v>
      </c>
      <c r="R70" s="2420" t="s">
        <v>2384</v>
      </c>
    </row>
    <row r="71" spans="1:18" ht="15.75" thickBot="1">
      <c r="O71" s="2422" t="s">
        <v>2405</v>
      </c>
      <c r="P71" s="2428" t="s">
        <v>2406</v>
      </c>
      <c r="Q71" s="2421">
        <f ca="1">C13</f>
        <v>35589</v>
      </c>
      <c r="R71" s="2420" t="s">
        <v>2384</v>
      </c>
    </row>
    <row r="72" spans="1:18" ht="15.75" thickBot="1">
      <c r="O72" s="2422" t="s">
        <v>2407</v>
      </c>
      <c r="P72" s="2428" t="s">
        <v>2408</v>
      </c>
      <c r="Q72" s="2423">
        <f ca="1">J36</f>
        <v>8.5000000000000006E-2</v>
      </c>
      <c r="R72" s="2424"/>
    </row>
    <row r="73" spans="1:18" ht="15.75" thickBot="1">
      <c r="O73" s="2422" t="s">
        <v>2390</v>
      </c>
      <c r="P73" s="2420" t="s">
        <v>2397</v>
      </c>
      <c r="Q73" s="2423">
        <f>L52</f>
        <v>0</v>
      </c>
      <c r="R73" s="2424"/>
    </row>
    <row r="74" spans="1:18" ht="20.25" thickBot="1">
      <c r="O74" s="2422" t="s">
        <v>2392</v>
      </c>
      <c r="P74" s="2420" t="s">
        <v>2398</v>
      </c>
      <c r="Q74" s="2421" t="e">
        <f ca="1">L58</f>
        <v>#DIV/0!</v>
      </c>
      <c r="R74" s="2424" t="s">
        <v>2399</v>
      </c>
    </row>
    <row r="75" spans="1:18" ht="15.75" thickBot="1">
      <c r="O75" s="2422" t="s">
        <v>2421</v>
      </c>
      <c r="P75" s="2420" t="str">
        <f>K59</f>
        <v>建设期及建筑物耐用年限下的土地年期修正系数Kn</v>
      </c>
      <c r="Q75" s="2421" t="e">
        <f ca="1">L59</f>
        <v>#DIV/0!</v>
      </c>
      <c r="R75" s="2424" t="s">
        <v>2401</v>
      </c>
    </row>
    <row r="76" spans="1:18" ht="15.75" thickBot="1">
      <c r="O76" s="2419" t="s">
        <v>2395</v>
      </c>
      <c r="P76" s="2420" t="s">
        <v>2412</v>
      </c>
      <c r="Q76" s="2421">
        <f ca="1">Q66+Q67</f>
        <v>39932</v>
      </c>
      <c r="R76" s="2424"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1" priority="7">
      <formula>$L$48&gt;$J$51</formula>
    </cfRule>
  </conditionalFormatting>
  <conditionalFormatting sqref="I55">
    <cfRule type="expression" dxfId="90" priority="8">
      <formula>$J$51&gt;$L$48</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conditionalFormatting sqref="C11">
    <cfRule type="expression" dxfId="87" priority="4">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1687</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522</v>
      </c>
      <c r="B6" s="512"/>
      <c r="C6" s="3705" t="s">
        <v>523</v>
      </c>
      <c r="D6" s="3706"/>
      <c r="E6" s="3729" t="s">
        <v>524</v>
      </c>
      <c r="F6" s="3730"/>
      <c r="G6" s="3705" t="s">
        <v>525</v>
      </c>
      <c r="H6" s="3706"/>
      <c r="I6" s="3705" t="s">
        <v>526</v>
      </c>
      <c r="J6" s="3706"/>
      <c r="K6" s="513" t="s">
        <v>527</v>
      </c>
      <c r="L6" s="2132"/>
      <c r="M6" s="2133"/>
      <c r="N6" s="2133"/>
      <c r="O6" s="2133"/>
      <c r="P6" s="3707" t="s">
        <v>528</v>
      </c>
      <c r="Q6" s="3708"/>
      <c r="R6" s="3693" t="s">
        <v>524</v>
      </c>
      <c r="S6" s="3694"/>
      <c r="T6" s="3693" t="s">
        <v>525</v>
      </c>
      <c r="U6" s="3694"/>
      <c r="V6" s="3713" t="s">
        <v>526</v>
      </c>
      <c r="W6" s="3713"/>
      <c r="X6" s="1566"/>
      <c r="Y6" s="3693" t="s">
        <v>528</v>
      </c>
      <c r="Z6" s="3694"/>
      <c r="AA6" s="3688" t="s">
        <v>524</v>
      </c>
      <c r="AB6" s="3689" t="s">
        <v>525</v>
      </c>
      <c r="AC6" s="3688" t="s">
        <v>526</v>
      </c>
    </row>
    <row r="7" spans="1:29" ht="15">
      <c r="A7" s="514"/>
      <c r="B7" s="515"/>
      <c r="C7" s="3716" t="s">
        <v>2933</v>
      </c>
      <c r="D7" s="3717"/>
      <c r="E7" s="3745" t="s">
        <v>2934</v>
      </c>
      <c r="F7" s="3725"/>
      <c r="G7" s="3716" t="s">
        <v>2935</v>
      </c>
      <c r="H7" s="3717"/>
      <c r="I7" s="3716" t="s">
        <v>2936</v>
      </c>
      <c r="J7" s="3717"/>
      <c r="K7" s="513"/>
      <c r="L7" s="2132"/>
      <c r="M7" s="2133"/>
      <c r="N7" s="2133"/>
      <c r="O7" s="2133"/>
      <c r="P7" s="3709"/>
      <c r="Q7" s="3710"/>
      <c r="R7" s="3695"/>
      <c r="S7" s="3696"/>
      <c r="T7" s="3695"/>
      <c r="U7" s="3696"/>
      <c r="V7" s="3713"/>
      <c r="W7" s="3713"/>
      <c r="X7" s="1566"/>
      <c r="Y7" s="3695"/>
      <c r="Z7" s="3696"/>
      <c r="AA7" s="3689"/>
      <c r="AB7" s="3689"/>
      <c r="AC7" s="3689"/>
    </row>
    <row r="8" spans="1:29" ht="15.75" thickBot="1">
      <c r="A8" s="516"/>
      <c r="B8" s="517"/>
      <c r="C8" s="3714" t="s">
        <v>2937</v>
      </c>
      <c r="D8" s="3715"/>
      <c r="E8" s="3727" t="s">
        <v>2937</v>
      </c>
      <c r="F8" s="3728"/>
      <c r="G8" s="3714" t="s">
        <v>2937</v>
      </c>
      <c r="H8" s="3715"/>
      <c r="I8" s="3714" t="s">
        <v>2937</v>
      </c>
      <c r="J8" s="3715"/>
      <c r="K8" s="513" t="s">
        <v>529</v>
      </c>
      <c r="L8" s="2132"/>
      <c r="M8" s="2133"/>
      <c r="N8" s="2133"/>
      <c r="O8" s="2133"/>
      <c r="P8" s="3711"/>
      <c r="Q8" s="3712"/>
      <c r="R8" s="3695"/>
      <c r="S8" s="3696"/>
      <c r="T8" s="3697"/>
      <c r="U8" s="3698"/>
      <c r="V8" s="3713"/>
      <c r="W8" s="3713"/>
      <c r="X8" s="1566"/>
      <c r="Y8" s="3697"/>
      <c r="Z8" s="3698"/>
      <c r="AA8" s="3690"/>
      <c r="AB8" s="3690"/>
      <c r="AC8" s="3690"/>
    </row>
    <row r="9" spans="1:29" s="1218" customFormat="1" ht="15.75" thickBot="1">
      <c r="A9" s="2933"/>
      <c r="B9" s="2940" t="s">
        <v>530</v>
      </c>
      <c r="C9" s="518">
        <f>'数据-取费表'!B2</f>
        <v>43206</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691" t="s">
        <v>531</v>
      </c>
      <c r="Q9" s="3700"/>
      <c r="R9" s="1567" t="s">
        <v>8</v>
      </c>
      <c r="S9" s="1568">
        <f t="shared" ref="S9:S17" si="0">F9</f>
        <v>0</v>
      </c>
      <c r="T9" s="1567" t="s">
        <v>8</v>
      </c>
      <c r="U9" s="1568">
        <f t="shared" ref="U9:U17" si="1">H9</f>
        <v>0</v>
      </c>
      <c r="V9" s="1567" t="s">
        <v>8</v>
      </c>
      <c r="W9" s="1568">
        <f t="shared" ref="W9:W17" si="2">J9</f>
        <v>0</v>
      </c>
      <c r="X9" s="1569"/>
      <c r="Y9" s="3691" t="s">
        <v>531</v>
      </c>
      <c r="Z9" s="3692"/>
      <c r="AA9" s="1570" t="e">
        <f>D9/F9</f>
        <v>#DIV/0!</v>
      </c>
      <c r="AB9" s="1570" t="e">
        <f>D9/H9</f>
        <v>#DIV/0!</v>
      </c>
      <c r="AC9" s="1570" t="e">
        <f>D9/J9</f>
        <v>#DIV/0!</v>
      </c>
    </row>
    <row r="10" spans="1:29" s="1218" customFormat="1" ht="15.75" thickBot="1">
      <c r="A10" s="2934"/>
      <c r="B10" s="2941"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691" t="s">
        <v>534</v>
      </c>
      <c r="Q10" s="3692"/>
      <c r="R10" s="1567" t="s">
        <v>8</v>
      </c>
      <c r="S10" s="1568">
        <f t="shared" si="0"/>
        <v>0</v>
      </c>
      <c r="T10" s="1567" t="s">
        <v>8</v>
      </c>
      <c r="U10" s="1568">
        <f t="shared" si="1"/>
        <v>0</v>
      </c>
      <c r="V10" s="1567" t="s">
        <v>8</v>
      </c>
      <c r="W10" s="1568">
        <f t="shared" si="2"/>
        <v>0</v>
      </c>
      <c r="X10" s="1569"/>
      <c r="Y10" s="3691" t="s">
        <v>534</v>
      </c>
      <c r="Z10" s="3692"/>
      <c r="AA10" s="1570" t="e">
        <f t="shared" ref="AA10:AA42" si="3">D10/F10</f>
        <v>#DIV/0!</v>
      </c>
      <c r="AB10" s="1570" t="e">
        <f t="shared" ref="AB10:AB42" si="4">D10/H10</f>
        <v>#DIV/0!</v>
      </c>
      <c r="AC10" s="1570" t="e">
        <f t="shared" ref="AC10:AC42" si="5">D10/J10</f>
        <v>#DIV/0!</v>
      </c>
    </row>
    <row r="11" spans="1:29" s="1218" customFormat="1" ht="15">
      <c r="A11" s="2935"/>
      <c r="B11" s="2942" t="s">
        <v>2762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699" t="s">
        <v>536</v>
      </c>
      <c r="Q11" s="1149" t="str">
        <f t="shared" ref="Q11:Q17" si="6">B11</f>
        <v>用途</v>
      </c>
      <c r="R11" s="1567" t="s">
        <v>8</v>
      </c>
      <c r="S11" s="1568">
        <f t="shared" si="0"/>
        <v>100</v>
      </c>
      <c r="T11" s="1567" t="s">
        <v>8</v>
      </c>
      <c r="U11" s="1568">
        <f t="shared" si="1"/>
        <v>100</v>
      </c>
      <c r="V11" s="1567" t="s">
        <v>8</v>
      </c>
      <c r="W11" s="1568">
        <f t="shared" si="2"/>
        <v>100</v>
      </c>
      <c r="X11" s="1569"/>
      <c r="Y11" s="3656" t="s">
        <v>537</v>
      </c>
      <c r="Z11" s="1148" t="str">
        <f t="shared" ref="Z11:Z17" si="7">Q11</f>
        <v>用途</v>
      </c>
      <c r="AA11" s="1570">
        <f t="shared" si="3"/>
        <v>1</v>
      </c>
      <c r="AB11" s="1570">
        <f t="shared" si="4"/>
        <v>1</v>
      </c>
      <c r="AC11" s="1570">
        <f t="shared" si="5"/>
        <v>1</v>
      </c>
    </row>
    <row r="12" spans="1:29" s="1336" customFormat="1" ht="27">
      <c r="A12" s="2936"/>
      <c r="B12" s="2941" t="s">
        <v>2763</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699"/>
      <c r="Q12" s="1149" t="str">
        <f t="shared" si="6"/>
        <v>土地使用年限（年）</v>
      </c>
      <c r="R12" s="1567" t="s">
        <v>8</v>
      </c>
      <c r="S12" s="1568">
        <f t="shared" si="0"/>
        <v>100</v>
      </c>
      <c r="T12" s="1567" t="s">
        <v>8</v>
      </c>
      <c r="U12" s="1568">
        <f t="shared" si="1"/>
        <v>100</v>
      </c>
      <c r="V12" s="1567" t="s">
        <v>8</v>
      </c>
      <c r="W12" s="1568">
        <f t="shared" si="2"/>
        <v>100</v>
      </c>
      <c r="X12" s="1569"/>
      <c r="Y12" s="3656"/>
      <c r="Z12" s="1148" t="str">
        <f t="shared" si="7"/>
        <v>土地使用年限（年）</v>
      </c>
      <c r="AA12" s="1570">
        <f t="shared" si="3"/>
        <v>1</v>
      </c>
      <c r="AB12" s="1570">
        <f t="shared" si="4"/>
        <v>1</v>
      </c>
      <c r="AC12" s="1570">
        <f t="shared" si="5"/>
        <v>1</v>
      </c>
    </row>
    <row r="13" spans="1:29" ht="15">
      <c r="A13" s="2937"/>
      <c r="B13" s="2941"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699"/>
      <c r="Q13" s="1149" t="str">
        <f t="shared" si="6"/>
        <v>容积率</v>
      </c>
      <c r="R13" s="1567" t="s">
        <v>8</v>
      </c>
      <c r="S13" s="1568" t="e">
        <f t="shared" si="0"/>
        <v>#N/A</v>
      </c>
      <c r="T13" s="1567" t="s">
        <v>8</v>
      </c>
      <c r="U13" s="1568" t="e">
        <f t="shared" si="1"/>
        <v>#N/A</v>
      </c>
      <c r="V13" s="1567" t="s">
        <v>8</v>
      </c>
      <c r="W13" s="1568" t="e">
        <f t="shared" si="2"/>
        <v>#N/A</v>
      </c>
      <c r="X13" s="1569"/>
      <c r="Y13" s="3656"/>
      <c r="Z13" s="1148" t="str">
        <f t="shared" si="7"/>
        <v>容积率</v>
      </c>
      <c r="AA13" s="1570" t="e">
        <f t="shared" si="3"/>
        <v>#N/A</v>
      </c>
      <c r="AB13" s="1570" t="e">
        <f t="shared" si="4"/>
        <v>#N/A</v>
      </c>
      <c r="AC13" s="1570"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699"/>
      <c r="Q14" s="1149">
        <f t="shared" si="6"/>
        <v>111</v>
      </c>
      <c r="R14" s="1567" t="s">
        <v>8</v>
      </c>
      <c r="S14" s="1568">
        <f t="shared" si="0"/>
        <v>100</v>
      </c>
      <c r="T14" s="1567" t="s">
        <v>8</v>
      </c>
      <c r="U14" s="1568">
        <f t="shared" si="1"/>
        <v>100</v>
      </c>
      <c r="V14" s="1567" t="s">
        <v>8</v>
      </c>
      <c r="W14" s="1568">
        <f t="shared" si="2"/>
        <v>100</v>
      </c>
      <c r="X14" s="1569"/>
      <c r="Y14" s="3656"/>
      <c r="Z14" s="1148">
        <f t="shared" si="7"/>
        <v>111</v>
      </c>
      <c r="AA14" s="1570">
        <f>D14/F14</f>
        <v>1</v>
      </c>
      <c r="AB14" s="1570">
        <f>D14/H14</f>
        <v>1</v>
      </c>
      <c r="AC14" s="1570">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699"/>
      <c r="Q15" s="1149">
        <f t="shared" si="6"/>
        <v>111</v>
      </c>
      <c r="R15" s="1567" t="s">
        <v>8</v>
      </c>
      <c r="S15" s="1568">
        <f t="shared" si="0"/>
        <v>100</v>
      </c>
      <c r="T15" s="1567" t="s">
        <v>8</v>
      </c>
      <c r="U15" s="1568">
        <f t="shared" si="1"/>
        <v>100</v>
      </c>
      <c r="V15" s="1567" t="s">
        <v>8</v>
      </c>
      <c r="W15" s="1568">
        <f t="shared" si="2"/>
        <v>100</v>
      </c>
      <c r="X15" s="1569"/>
      <c r="Y15" s="3656"/>
      <c r="Z15" s="1148">
        <f t="shared" si="7"/>
        <v>111</v>
      </c>
      <c r="AA15" s="1570">
        <f t="shared" si="3"/>
        <v>1</v>
      </c>
      <c r="AB15" s="1570">
        <f t="shared" si="4"/>
        <v>1</v>
      </c>
      <c r="AC15" s="1570">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699"/>
      <c r="Q16" s="1149">
        <f t="shared" si="6"/>
        <v>111</v>
      </c>
      <c r="R16" s="1567" t="s">
        <v>8</v>
      </c>
      <c r="S16" s="1568">
        <f t="shared" si="0"/>
        <v>100</v>
      </c>
      <c r="T16" s="1567" t="s">
        <v>8</v>
      </c>
      <c r="U16" s="1568">
        <f t="shared" si="1"/>
        <v>100</v>
      </c>
      <c r="V16" s="1567" t="s">
        <v>8</v>
      </c>
      <c r="W16" s="1568">
        <f t="shared" si="2"/>
        <v>100</v>
      </c>
      <c r="X16" s="1569"/>
      <c r="Y16" s="3656"/>
      <c r="Z16" s="1148">
        <f t="shared" si="7"/>
        <v>111</v>
      </c>
      <c r="AA16" s="1570">
        <f t="shared" si="3"/>
        <v>1</v>
      </c>
      <c r="AB16" s="1570">
        <f t="shared" si="4"/>
        <v>1</v>
      </c>
      <c r="AC16" s="1570">
        <f t="shared" si="5"/>
        <v>1</v>
      </c>
    </row>
    <row r="17" spans="1:29" ht="57">
      <c r="A17" s="2931" t="s">
        <v>2760</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01" t="s">
        <v>541</v>
      </c>
      <c r="Q17" s="1571" t="str">
        <f t="shared" si="6"/>
        <v>产业集聚程度</v>
      </c>
      <c r="R17" s="1572" t="s">
        <v>8</v>
      </c>
      <c r="S17" s="1573">
        <f t="shared" si="0"/>
        <v>100</v>
      </c>
      <c r="T17" s="1572" t="s">
        <v>8</v>
      </c>
      <c r="U17" s="1573">
        <f t="shared" si="1"/>
        <v>100</v>
      </c>
      <c r="V17" s="1572" t="s">
        <v>8</v>
      </c>
      <c r="W17" s="1573">
        <f t="shared" si="2"/>
        <v>100</v>
      </c>
      <c r="X17" s="1566"/>
      <c r="Y17" s="3701"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702"/>
      <c r="Q18" s="1571"/>
      <c r="R18" s="1572"/>
      <c r="S18" s="1573"/>
      <c r="T18" s="1572"/>
      <c r="U18" s="1573"/>
      <c r="V18" s="1572"/>
      <c r="W18" s="1573"/>
      <c r="X18" s="1566"/>
      <c r="Y18" s="3702"/>
      <c r="Z18" s="1574"/>
      <c r="AA18" s="1575">
        <v>1</v>
      </c>
      <c r="AB18" s="1575">
        <v>1</v>
      </c>
      <c r="AC18" s="1575">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02"/>
      <c r="Q19" s="1571" t="str">
        <f>B19</f>
        <v>交通便捷度</v>
      </c>
      <c r="R19" s="1572" t="s">
        <v>8</v>
      </c>
      <c r="S19" s="1573">
        <f>F19</f>
        <v>100</v>
      </c>
      <c r="T19" s="1572" t="s">
        <v>8</v>
      </c>
      <c r="U19" s="1573">
        <f>H19</f>
        <v>100</v>
      </c>
      <c r="V19" s="1572" t="s">
        <v>8</v>
      </c>
      <c r="W19" s="1573">
        <f>J19</f>
        <v>100</v>
      </c>
      <c r="X19" s="1566"/>
      <c r="Y19" s="370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702"/>
      <c r="Q20" s="1571"/>
      <c r="R20" s="1572"/>
      <c r="S20" s="1573"/>
      <c r="T20" s="1572"/>
      <c r="U20" s="1573"/>
      <c r="V20" s="1572"/>
      <c r="W20" s="1573"/>
      <c r="X20" s="1566"/>
      <c r="Y20" s="3702"/>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702"/>
      <c r="Q21" s="1571" t="str">
        <f t="shared" ref="Q21:Q35" si="8">B21</f>
        <v>区域土地利用方向</v>
      </c>
      <c r="R21" s="1572" t="s">
        <v>8</v>
      </c>
      <c r="S21" s="1573">
        <f>F21</f>
        <v>100</v>
      </c>
      <c r="T21" s="1572" t="s">
        <v>8</v>
      </c>
      <c r="U21" s="1573">
        <f>H21</f>
        <v>100</v>
      </c>
      <c r="V21" s="1572" t="s">
        <v>8</v>
      </c>
      <c r="W21" s="1573">
        <f>J21</f>
        <v>100</v>
      </c>
      <c r="X21" s="1566"/>
      <c r="Y21" s="370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1"/>
      <c r="M22" s="2133"/>
      <c r="N22" s="2133"/>
      <c r="O22" s="2140"/>
      <c r="P22" s="3702"/>
      <c r="Q22" s="1571"/>
      <c r="R22" s="1572"/>
      <c r="S22" s="1573"/>
      <c r="T22" s="1572"/>
      <c r="U22" s="1573"/>
      <c r="V22" s="1572"/>
      <c r="W22" s="1573"/>
      <c r="X22" s="1566"/>
      <c r="Y22" s="3702"/>
      <c r="Z22" s="1574"/>
      <c r="AA22" s="1575"/>
      <c r="AB22" s="1575"/>
      <c r="AC22" s="1575"/>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02"/>
      <c r="Q23" s="1571" t="str">
        <f t="shared" si="8"/>
        <v>环境状况</v>
      </c>
      <c r="R23" s="1572" t="s">
        <v>8</v>
      </c>
      <c r="S23" s="1573">
        <f>F23</f>
        <v>100</v>
      </c>
      <c r="T23" s="1572" t="s">
        <v>8</v>
      </c>
      <c r="U23" s="1573">
        <f>H23</f>
        <v>100</v>
      </c>
      <c r="V23" s="1572" t="s">
        <v>8</v>
      </c>
      <c r="W23" s="1573">
        <f>J23</f>
        <v>100</v>
      </c>
      <c r="X23" s="1566"/>
      <c r="Y23" s="370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702"/>
      <c r="Q24" s="1571"/>
      <c r="R24" s="1572"/>
      <c r="S24" s="1573"/>
      <c r="T24" s="1572"/>
      <c r="U24" s="1573"/>
      <c r="V24" s="1572"/>
      <c r="W24" s="1573"/>
      <c r="X24" s="1566"/>
      <c r="Y24" s="3702"/>
      <c r="Z24" s="1574"/>
      <c r="AA24" s="1575">
        <v>1</v>
      </c>
      <c r="AB24" s="1575">
        <v>1</v>
      </c>
      <c r="AC24" s="1575">
        <v>1</v>
      </c>
    </row>
    <row r="25" spans="1:29" s="1218" customFormat="1" ht="42.75">
      <c r="A25" s="576"/>
      <c r="B25" s="2614" t="s">
        <v>2554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02"/>
      <c r="Q25" s="1149" t="str">
        <f t="shared" si="8"/>
        <v>公共配套设施</v>
      </c>
      <c r="R25" s="1567" t="s">
        <v>8</v>
      </c>
      <c r="S25" s="1568">
        <f>F25</f>
        <v>100</v>
      </c>
      <c r="T25" s="1567" t="s">
        <v>8</v>
      </c>
      <c r="U25" s="1568">
        <f>H25</f>
        <v>100</v>
      </c>
      <c r="V25" s="1567" t="s">
        <v>8</v>
      </c>
      <c r="W25" s="1568">
        <f>J25</f>
        <v>100</v>
      </c>
      <c r="X25" s="1569"/>
      <c r="Y25" s="3702"/>
      <c r="Z25" s="1148" t="str">
        <f>Q25</f>
        <v>公共配套设施</v>
      </c>
      <c r="AA25" s="1575">
        <f>D25/F25</f>
        <v>1</v>
      </c>
      <c r="AB25" s="1575">
        <f>D25/H25</f>
        <v>1</v>
      </c>
      <c r="AC25" s="1575">
        <f>D25/J25</f>
        <v>1</v>
      </c>
    </row>
    <row r="26" spans="1:29" s="1218" customFormat="1" ht="15">
      <c r="A26" s="576"/>
      <c r="B26" s="594"/>
      <c r="C26" s="2613"/>
      <c r="D26" s="554"/>
      <c r="E26" s="553"/>
      <c r="F26" s="554"/>
      <c r="G26" s="553"/>
      <c r="H26" s="554"/>
      <c r="I26" s="575"/>
      <c r="J26" s="554"/>
      <c r="K26" s="530"/>
      <c r="L26" s="2134"/>
      <c r="M26" s="2135"/>
      <c r="N26" s="2135"/>
      <c r="O26" s="2136"/>
      <c r="P26" s="3702"/>
      <c r="Q26" s="1149"/>
      <c r="R26" s="1567"/>
      <c r="S26" s="1568"/>
      <c r="T26" s="1567"/>
      <c r="U26" s="1568"/>
      <c r="V26" s="1567"/>
      <c r="W26" s="1568"/>
      <c r="X26" s="1569"/>
      <c r="Y26" s="3702"/>
      <c r="Z26" s="1148"/>
      <c r="AA26" s="1570">
        <v>1</v>
      </c>
      <c r="AB26" s="1570">
        <v>1</v>
      </c>
      <c r="AC26" s="1570">
        <v>1</v>
      </c>
    </row>
    <row r="27" spans="1:29" s="1218" customFormat="1" ht="28.5">
      <c r="A27" s="576"/>
      <c r="B27" s="2614" t="s">
        <v>2555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02"/>
      <c r="Q27" s="2599" t="str">
        <f t="shared" ref="Q27" si="9">B27</f>
        <v>基础设施水平</v>
      </c>
      <c r="R27" s="1567" t="s">
        <v>8</v>
      </c>
      <c r="S27" s="1568">
        <f>F27</f>
        <v>100</v>
      </c>
      <c r="T27" s="1567" t="s">
        <v>8</v>
      </c>
      <c r="U27" s="1568">
        <f>H27</f>
        <v>100</v>
      </c>
      <c r="V27" s="1567" t="s">
        <v>8</v>
      </c>
      <c r="W27" s="1568">
        <f>J27</f>
        <v>100</v>
      </c>
      <c r="X27" s="1569"/>
      <c r="Y27" s="3702"/>
      <c r="Z27" s="2596" t="str">
        <f>Q27</f>
        <v>基础设施水平</v>
      </c>
      <c r="AA27" s="1575">
        <f>D27/F27</f>
        <v>1</v>
      </c>
      <c r="AB27" s="1575">
        <f>D27/H27</f>
        <v>1</v>
      </c>
      <c r="AC27" s="1575">
        <f>D27/J27</f>
        <v>1</v>
      </c>
    </row>
    <row r="28" spans="1:29" s="1218" customFormat="1" ht="15">
      <c r="A28" s="576"/>
      <c r="B28" s="594"/>
      <c r="C28" s="2613"/>
      <c r="D28" s="554"/>
      <c r="E28" s="578"/>
      <c r="F28" s="554"/>
      <c r="G28" s="578"/>
      <c r="H28" s="554"/>
      <c r="I28" s="578"/>
      <c r="J28" s="554"/>
      <c r="K28" s="530"/>
      <c r="L28" s="2134"/>
      <c r="M28" s="2135"/>
      <c r="N28" s="2135"/>
      <c r="O28" s="2136"/>
      <c r="P28" s="3702"/>
      <c r="Q28" s="2599"/>
      <c r="R28" s="1567"/>
      <c r="S28" s="1568"/>
      <c r="T28" s="1567"/>
      <c r="U28" s="1568"/>
      <c r="V28" s="1567"/>
      <c r="W28" s="1568"/>
      <c r="X28" s="1569"/>
      <c r="Y28" s="3702"/>
      <c r="Z28" s="2596"/>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0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02"/>
      <c r="Z29" s="1574" t="str">
        <f t="shared" ref="Z29:Z42" si="13">Q29</f>
        <v>临街状况</v>
      </c>
      <c r="AA29" s="1575">
        <f t="shared" si="3"/>
        <v>1</v>
      </c>
      <c r="AB29" s="1575">
        <f t="shared" si="4"/>
        <v>1</v>
      </c>
      <c r="AC29" s="1575">
        <f t="shared" si="5"/>
        <v>1</v>
      </c>
    </row>
    <row r="30" spans="1:29" ht="27">
      <c r="A30" s="531"/>
      <c r="B30" s="921" t="s">
        <v>549</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02"/>
      <c r="Q30" s="1571" t="str">
        <f t="shared" si="8"/>
        <v>毗邻道路的类型与等级</v>
      </c>
      <c r="R30" s="1572" t="s">
        <v>8</v>
      </c>
      <c r="S30" s="1573">
        <f t="shared" si="10"/>
        <v>100</v>
      </c>
      <c r="T30" s="1572" t="s">
        <v>8</v>
      </c>
      <c r="U30" s="1573">
        <f t="shared" si="11"/>
        <v>100</v>
      </c>
      <c r="V30" s="1572" t="s">
        <v>8</v>
      </c>
      <c r="W30" s="1573">
        <f t="shared" si="12"/>
        <v>100</v>
      </c>
      <c r="X30" s="1566"/>
      <c r="Y30" s="3702"/>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702"/>
      <c r="Q31" s="1571"/>
      <c r="R31" s="1572"/>
      <c r="S31" s="1573"/>
      <c r="T31" s="1572"/>
      <c r="U31" s="1573"/>
      <c r="V31" s="1572"/>
      <c r="W31" s="1573"/>
      <c r="X31" s="1566"/>
      <c r="Y31" s="3702"/>
      <c r="Z31" s="1574"/>
      <c r="AA31" s="1575">
        <v>1</v>
      </c>
      <c r="AB31" s="1575">
        <v>1</v>
      </c>
      <c r="AC31" s="1575">
        <v>1</v>
      </c>
    </row>
    <row r="32" spans="1:29" ht="15">
      <c r="A32" s="531"/>
      <c r="B32" s="526" t="s">
        <v>550</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02"/>
      <c r="Q32" s="1571" t="str">
        <f t="shared" si="8"/>
        <v>土地级别</v>
      </c>
      <c r="R32" s="1572" t="s">
        <v>8</v>
      </c>
      <c r="S32" s="1573">
        <f t="shared" si="10"/>
        <v>100</v>
      </c>
      <c r="T32" s="1572" t="s">
        <v>8</v>
      </c>
      <c r="U32" s="1573">
        <f t="shared" si="11"/>
        <v>100</v>
      </c>
      <c r="V32" s="1572" t="s">
        <v>8</v>
      </c>
      <c r="W32" s="1573">
        <f t="shared" si="12"/>
        <v>100</v>
      </c>
      <c r="X32" s="1566"/>
      <c r="Y32" s="370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02"/>
      <c r="Q33" s="1571">
        <f t="shared" si="8"/>
        <v>111</v>
      </c>
      <c r="R33" s="1572" t="s">
        <v>8</v>
      </c>
      <c r="S33" s="1573">
        <f t="shared" si="10"/>
        <v>100</v>
      </c>
      <c r="T33" s="1572" t="s">
        <v>8</v>
      </c>
      <c r="U33" s="1573">
        <f t="shared" si="11"/>
        <v>100</v>
      </c>
      <c r="V33" s="1572" t="s">
        <v>8</v>
      </c>
      <c r="W33" s="1573">
        <f t="shared" si="12"/>
        <v>100</v>
      </c>
      <c r="X33" s="1566"/>
      <c r="Y33" s="370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03" t="s">
        <v>551</v>
      </c>
      <c r="Q34" s="1571">
        <f t="shared" si="8"/>
        <v>111</v>
      </c>
      <c r="R34" s="1572" t="s">
        <v>8</v>
      </c>
      <c r="S34" s="1573">
        <f t="shared" si="10"/>
        <v>100</v>
      </c>
      <c r="T34" s="1572" t="s">
        <v>8</v>
      </c>
      <c r="U34" s="1573">
        <f t="shared" si="11"/>
        <v>100</v>
      </c>
      <c r="V34" s="1572" t="s">
        <v>8</v>
      </c>
      <c r="W34" s="1573">
        <f t="shared" si="12"/>
        <v>100</v>
      </c>
      <c r="X34" s="1566"/>
      <c r="Y34" s="3704" t="s">
        <v>551</v>
      </c>
      <c r="Z34" s="1574">
        <f t="shared" si="13"/>
        <v>111</v>
      </c>
      <c r="AA34" s="1575">
        <f t="shared" si="3"/>
        <v>1</v>
      </c>
      <c r="AB34" s="1575">
        <f t="shared" si="4"/>
        <v>1</v>
      </c>
      <c r="AC34" s="1575">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04"/>
      <c r="Q35" s="1571">
        <f t="shared" si="8"/>
        <v>111</v>
      </c>
      <c r="R35" s="1576" t="s">
        <v>8</v>
      </c>
      <c r="S35" s="1577">
        <f t="shared" si="10"/>
        <v>100</v>
      </c>
      <c r="T35" s="1576" t="s">
        <v>8</v>
      </c>
      <c r="U35" s="1577">
        <f t="shared" si="11"/>
        <v>100</v>
      </c>
      <c r="V35" s="1576" t="s">
        <v>8</v>
      </c>
      <c r="W35" s="1577">
        <f t="shared" si="12"/>
        <v>100</v>
      </c>
      <c r="X35" s="1578"/>
      <c r="Y35" s="3704"/>
      <c r="Z35" s="1579">
        <f t="shared" si="13"/>
        <v>111</v>
      </c>
      <c r="AA35" s="1575">
        <f t="shared" si="3"/>
        <v>1</v>
      </c>
      <c r="AB35" s="1575">
        <f t="shared" si="4"/>
        <v>1</v>
      </c>
      <c r="AC35" s="1575">
        <f t="shared" si="5"/>
        <v>1</v>
      </c>
    </row>
    <row r="36" spans="1:29" ht="15">
      <c r="A36" s="2929" t="s">
        <v>2761</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04"/>
      <c r="Q36" s="1571" t="str">
        <f>B36</f>
        <v>宗地面积</v>
      </c>
      <c r="R36" s="1572" t="s">
        <v>8</v>
      </c>
      <c r="S36" s="1573" t="e">
        <f t="shared" si="10"/>
        <v>#N/A</v>
      </c>
      <c r="T36" s="1572" t="s">
        <v>8</v>
      </c>
      <c r="U36" s="1573" t="e">
        <f t="shared" si="11"/>
        <v>#N/A</v>
      </c>
      <c r="V36" s="1572" t="s">
        <v>8</v>
      </c>
      <c r="W36" s="1573" t="e">
        <f t="shared" si="12"/>
        <v>#N/A</v>
      </c>
      <c r="X36" s="1566"/>
      <c r="Y36" s="3704"/>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04"/>
      <c r="Q37" s="1571" t="str">
        <f t="shared" ref="Q37:Q42" si="14">B37</f>
        <v>宗地形状</v>
      </c>
      <c r="R37" s="1572" t="s">
        <v>8</v>
      </c>
      <c r="S37" s="1573">
        <f t="shared" si="10"/>
        <v>100</v>
      </c>
      <c r="T37" s="1572" t="s">
        <v>8</v>
      </c>
      <c r="U37" s="1573">
        <f t="shared" si="11"/>
        <v>100</v>
      </c>
      <c r="V37" s="1572" t="s">
        <v>8</v>
      </c>
      <c r="W37" s="1573">
        <f t="shared" si="12"/>
        <v>100</v>
      </c>
      <c r="X37" s="1566"/>
      <c r="Y37" s="3704"/>
      <c r="Z37" s="1574" t="str">
        <f t="shared" si="13"/>
        <v>宗地形状</v>
      </c>
      <c r="AA37" s="1575">
        <f t="shared" si="3"/>
        <v>1</v>
      </c>
      <c r="AB37" s="1575">
        <f t="shared" si="4"/>
        <v>1</v>
      </c>
      <c r="AC37" s="1575">
        <f t="shared" si="5"/>
        <v>1</v>
      </c>
    </row>
    <row r="38" spans="1:29" s="1218" customFormat="1" ht="15">
      <c r="A38" s="599"/>
      <c r="B38" s="1894" t="s">
        <v>2428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04"/>
      <c r="Q38" s="1571" t="str">
        <f t="shared" si="14"/>
        <v>宗地开发程度</v>
      </c>
      <c r="R38" s="1567" t="s">
        <v>8</v>
      </c>
      <c r="S38" s="1568">
        <f t="shared" si="10"/>
        <v>100</v>
      </c>
      <c r="T38" s="1567" t="s">
        <v>8</v>
      </c>
      <c r="U38" s="1568">
        <f t="shared" si="11"/>
        <v>100</v>
      </c>
      <c r="V38" s="1567" t="s">
        <v>8</v>
      </c>
      <c r="W38" s="1568">
        <f t="shared" si="12"/>
        <v>100</v>
      </c>
      <c r="X38" s="1569"/>
      <c r="Y38" s="3704"/>
      <c r="Z38" s="1148"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04" t="s">
        <v>602</v>
      </c>
      <c r="Q39" s="1571" t="str">
        <f t="shared" si="14"/>
        <v>工程地质条件</v>
      </c>
      <c r="R39" s="1572" t="s">
        <v>8</v>
      </c>
      <c r="S39" s="1573">
        <f t="shared" si="10"/>
        <v>100</v>
      </c>
      <c r="T39" s="1572" t="s">
        <v>8</v>
      </c>
      <c r="U39" s="1573">
        <f t="shared" si="11"/>
        <v>100</v>
      </c>
      <c r="V39" s="1572" t="s">
        <v>8</v>
      </c>
      <c r="W39" s="1573">
        <f t="shared" si="12"/>
        <v>100</v>
      </c>
      <c r="X39" s="1566"/>
      <c r="Y39" s="3704"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04"/>
      <c r="Q40" s="1571">
        <f t="shared" si="14"/>
        <v>111</v>
      </c>
      <c r="R40" s="1572" t="s">
        <v>8</v>
      </c>
      <c r="S40" s="1573">
        <f t="shared" si="10"/>
        <v>100</v>
      </c>
      <c r="T40" s="1572" t="s">
        <v>8</v>
      </c>
      <c r="U40" s="1573">
        <f t="shared" si="11"/>
        <v>100</v>
      </c>
      <c r="V40" s="1572" t="s">
        <v>8</v>
      </c>
      <c r="W40" s="1573">
        <f t="shared" si="12"/>
        <v>100</v>
      </c>
      <c r="X40" s="1566"/>
      <c r="Y40" s="370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04"/>
      <c r="Q41" s="1571">
        <f t="shared" si="14"/>
        <v>111</v>
      </c>
      <c r="R41" s="1572" t="s">
        <v>8</v>
      </c>
      <c r="S41" s="1573">
        <f t="shared" si="10"/>
        <v>100</v>
      </c>
      <c r="T41" s="1572" t="s">
        <v>8</v>
      </c>
      <c r="U41" s="1573">
        <f t="shared" si="11"/>
        <v>100</v>
      </c>
      <c r="V41" s="1572" t="s">
        <v>8</v>
      </c>
      <c r="W41" s="1573">
        <f t="shared" si="12"/>
        <v>100</v>
      </c>
      <c r="X41" s="1566"/>
      <c r="Y41" s="3704"/>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04"/>
      <c r="Q42" s="1571">
        <f t="shared" si="14"/>
        <v>111</v>
      </c>
      <c r="R42" s="1576" t="s">
        <v>8</v>
      </c>
      <c r="S42" s="1577">
        <f t="shared" si="10"/>
        <v>100</v>
      </c>
      <c r="T42" s="1576" t="s">
        <v>8</v>
      </c>
      <c r="U42" s="1577">
        <f t="shared" si="11"/>
        <v>100</v>
      </c>
      <c r="V42" s="1576" t="s">
        <v>8</v>
      </c>
      <c r="W42" s="1577">
        <f t="shared" si="12"/>
        <v>100</v>
      </c>
      <c r="X42" s="1578"/>
      <c r="Y42" s="3704"/>
      <c r="Z42" s="1579">
        <f t="shared" si="13"/>
        <v>111</v>
      </c>
      <c r="AA42" s="1575">
        <f t="shared" si="3"/>
        <v>1</v>
      </c>
      <c r="AB42" s="1575">
        <f t="shared" si="4"/>
        <v>1</v>
      </c>
      <c r="AC42" s="1575">
        <f t="shared" si="5"/>
        <v>1</v>
      </c>
    </row>
    <row r="43" spans="1:29" ht="15">
      <c r="A43" s="606" t="s">
        <v>557</v>
      </c>
      <c r="B43" s="607" t="s">
        <v>2938</v>
      </c>
      <c r="C43" s="608" t="s">
        <v>1</v>
      </c>
      <c r="D43" s="609"/>
      <c r="E43" s="610"/>
      <c r="F43" s="611"/>
      <c r="G43" s="612"/>
      <c r="H43" s="613"/>
      <c r="I43" s="610"/>
      <c r="J43" s="613"/>
      <c r="K43" s="1338"/>
      <c r="L43" s="2143"/>
      <c r="M43" s="2133"/>
      <c r="N43" s="2133"/>
      <c r="O43" s="2144"/>
      <c r="P43" s="3699" t="str">
        <f>A43</f>
        <v>成交单价</v>
      </c>
      <c r="Q43" s="3699"/>
      <c r="R43" s="3713">
        <f>E43</f>
        <v>0</v>
      </c>
      <c r="S43" s="3713"/>
      <c r="T43" s="3713">
        <f>G43</f>
        <v>0</v>
      </c>
      <c r="U43" s="3713"/>
      <c r="V43" s="3713">
        <f>I43</f>
        <v>0</v>
      </c>
      <c r="W43" s="3713"/>
      <c r="X43" s="1558"/>
      <c r="Y43" s="1580"/>
      <c r="Z43" s="1558"/>
      <c r="AA43" s="1558"/>
      <c r="AB43" s="1558"/>
      <c r="AC43" s="1558"/>
    </row>
    <row r="44" spans="1:29" ht="15.75" thickBot="1">
      <c r="A44" s="614" t="s">
        <v>2699</v>
      </c>
      <c r="B44" s="615"/>
      <c r="C44" s="616" t="e">
        <f>R45</f>
        <v>#DIV/0!</v>
      </c>
      <c r="D44" s="617"/>
      <c r="E44" s="616" t="e">
        <f>R44</f>
        <v>#DIV/0!</v>
      </c>
      <c r="F44" s="618"/>
      <c r="G44" s="619" t="e">
        <f>T44</f>
        <v>#DIV/0!</v>
      </c>
      <c r="H44" s="617"/>
      <c r="I44" s="616" t="e">
        <f>V44</f>
        <v>#DIV/0!</v>
      </c>
      <c r="J44" s="617"/>
      <c r="K44" s="1339"/>
      <c r="L44" s="2143"/>
      <c r="M44" s="2133"/>
      <c r="N44" s="2133"/>
      <c r="O44" s="2144"/>
      <c r="P44" s="3699" t="str">
        <f>A44</f>
        <v>比较价格（元/平方米）</v>
      </c>
      <c r="Q44" s="3699"/>
      <c r="R44" s="3723" t="e">
        <f>ROUND(PRODUCT(R43,AA9:AA42),0)</f>
        <v>#DIV/0!</v>
      </c>
      <c r="S44" s="3723"/>
      <c r="T44" s="3723" t="e">
        <f>ROUND(PRODUCT(T43,AB9:AB42),0)</f>
        <v>#DIV/0!</v>
      </c>
      <c r="U44" s="3723"/>
      <c r="V44" s="3723" t="e">
        <f>ROUND(PRODUCT(V43,AC9:AC42),0)</f>
        <v>#DIV/0!</v>
      </c>
      <c r="W44" s="3723"/>
      <c r="X44" s="1558"/>
      <c r="Y44" s="1558"/>
      <c r="Z44" s="1558"/>
      <c r="AA44" s="1558"/>
      <c r="AB44" s="1558"/>
      <c r="AC44" s="1558"/>
    </row>
    <row r="45" spans="1:29" ht="15.75" thickBot="1">
      <c r="A45" s="620" t="s">
        <v>2939</v>
      </c>
      <c r="B45" s="621"/>
      <c r="C45" s="622" t="e">
        <f>R45</f>
        <v>#DIV/0!</v>
      </c>
      <c r="D45" s="622"/>
      <c r="E45" s="622"/>
      <c r="F45" s="622"/>
      <c r="G45" s="622"/>
      <c r="H45" s="622"/>
      <c r="I45" s="622"/>
      <c r="J45" s="622"/>
      <c r="K45" s="1340"/>
      <c r="L45" s="2143"/>
      <c r="M45" s="2133"/>
      <c r="N45" s="2133"/>
      <c r="O45" s="2144"/>
      <c r="P45" s="3720" t="str">
        <f>A45</f>
        <v>估价对象XX用房的比较价格（楼面单价，元/平方米）</v>
      </c>
      <c r="Q45" s="3721"/>
      <c r="R45" s="3722" t="e">
        <f>ROUND(AVERAGE(R44:V44),0)</f>
        <v>#DIV/0!</v>
      </c>
      <c r="S45" s="3722"/>
      <c r="T45" s="3722"/>
      <c r="U45" s="3722"/>
      <c r="V45" s="3722"/>
      <c r="W45" s="3722"/>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9" t="s">
        <v>1726</v>
      </c>
      <c r="D52" s="2226" t="s">
        <v>2296</v>
      </c>
      <c r="E52" s="630" t="s">
        <v>563</v>
      </c>
      <c r="F52" s="1950" t="s">
        <v>564</v>
      </c>
      <c r="G52" s="3740" t="s">
        <v>2287</v>
      </c>
      <c r="H52" s="3741"/>
      <c r="I52" s="1951" t="s">
        <v>1949</v>
      </c>
      <c r="J52" s="1554" t="str">
        <f>项目基本情况!F41</f>
        <v>江西省赣州市</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565</v>
      </c>
      <c r="B53" s="633" t="e">
        <f>C45</f>
        <v>#DIV/0!</v>
      </c>
      <c r="C53" s="634">
        <v>1</v>
      </c>
      <c r="D53" s="2227">
        <v>1</v>
      </c>
      <c r="E53" s="634">
        <f>'数据-汇总表'!E8+'数据-汇总表'!E9</f>
        <v>362703.05</v>
      </c>
      <c r="F53" s="1949" t="e">
        <f t="shared" ref="F53:F62" si="15">ROUND(B53*E53/10000,0)</f>
        <v>#DIV/0!</v>
      </c>
      <c r="G53" s="3742"/>
      <c r="H53" s="3743"/>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566</v>
      </c>
      <c r="B54" s="637" t="e">
        <f>ROUND($C$45*C54*D54,0)</f>
        <v>#DIV/0!</v>
      </c>
      <c r="C54" s="377">
        <f t="shared" ref="C54:C62" si="16">IF($C$52="北京市系数",I54,J54)</f>
        <v>0</v>
      </c>
      <c r="D54" s="2228">
        <v>0.25</v>
      </c>
      <c r="E54" s="638"/>
      <c r="F54" s="1949" t="e">
        <f t="shared" si="15"/>
        <v>#DIV/0!</v>
      </c>
      <c r="G54" s="3744" t="s">
        <v>2288</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567</v>
      </c>
      <c r="B55" s="637" t="e">
        <f t="shared" ref="B55:B62" si="17">ROUND($C$45*C55*D55,0)</f>
        <v>#DIV/0!</v>
      </c>
      <c r="C55" s="377">
        <f t="shared" si="16"/>
        <v>0</v>
      </c>
      <c r="D55" s="2228">
        <v>0.25</v>
      </c>
      <c r="E55" s="638"/>
      <c r="F55" s="1949" t="e">
        <f t="shared" si="15"/>
        <v>#DIV/0!</v>
      </c>
      <c r="G55" s="3744"/>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568</v>
      </c>
      <c r="B56" s="637" t="e">
        <f t="shared" si="17"/>
        <v>#DIV/0!</v>
      </c>
      <c r="C56" s="377">
        <f t="shared" si="16"/>
        <v>0</v>
      </c>
      <c r="D56" s="2228">
        <v>0.25</v>
      </c>
      <c r="E56" s="638"/>
      <c r="F56" s="1949" t="e">
        <f t="shared" si="15"/>
        <v>#DIV/0!</v>
      </c>
      <c r="G56" s="3744"/>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569</v>
      </c>
      <c r="B57" s="637" t="e">
        <f t="shared" si="17"/>
        <v>#DIV/0!</v>
      </c>
      <c r="C57" s="377">
        <f t="shared" si="16"/>
        <v>0</v>
      </c>
      <c r="D57" s="2228">
        <v>0.25</v>
      </c>
      <c r="E57" s="638"/>
      <c r="F57" s="1949" t="e">
        <f t="shared" si="15"/>
        <v>#DIV/0!</v>
      </c>
      <c r="G57" s="3744"/>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28" t="s">
        <v>2331</v>
      </c>
      <c r="B58" s="637" t="e">
        <f t="shared" si="17"/>
        <v>#DIV/0!</v>
      </c>
      <c r="C58" s="377">
        <f t="shared" si="16"/>
        <v>0</v>
      </c>
      <c r="D58" s="2228">
        <v>0.25</v>
      </c>
      <c r="E58" s="640">
        <f>'数据-汇总表'!E11</f>
        <v>0</v>
      </c>
      <c r="F58" s="1949" t="e">
        <f t="shared" si="15"/>
        <v>#DIV/0!</v>
      </c>
      <c r="G58" s="1955" t="s">
        <v>2289</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570</v>
      </c>
      <c r="B59" s="637" t="e">
        <f t="shared" si="17"/>
        <v>#DIV/0!</v>
      </c>
      <c r="C59" s="377">
        <f t="shared" si="16"/>
        <v>0</v>
      </c>
      <c r="D59" s="2228">
        <v>0.25</v>
      </c>
      <c r="E59" s="640">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571</v>
      </c>
      <c r="B60" s="637" t="e">
        <f t="shared" si="17"/>
        <v>#DIV/0!</v>
      </c>
      <c r="C60" s="377">
        <f t="shared" si="16"/>
        <v>0</v>
      </c>
      <c r="D60" s="2228">
        <v>0.25</v>
      </c>
      <c r="E60" s="640">
        <f>'数据-汇总表'!E13</f>
        <v>116438</v>
      </c>
      <c r="F60" s="1949" t="e">
        <f t="shared" si="15"/>
        <v>#DIV/0!</v>
      </c>
      <c r="G60" s="1945" t="s">
        <v>924</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572</v>
      </c>
      <c r="B61" s="637" t="e">
        <f t="shared" si="17"/>
        <v>#DIV/0!</v>
      </c>
      <c r="C61" s="377">
        <f t="shared" si="16"/>
        <v>0</v>
      </c>
      <c r="D61" s="2228">
        <v>0.25</v>
      </c>
      <c r="E61" s="640">
        <f>'数据-汇总表'!E14</f>
        <v>0</v>
      </c>
      <c r="F61" s="1949" t="e">
        <f t="shared" si="15"/>
        <v>#DIV/0!</v>
      </c>
      <c r="G61" s="1955" t="s">
        <v>2288</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573</v>
      </c>
      <c r="B62" s="637" t="e">
        <f t="shared" si="17"/>
        <v>#DIV/0!</v>
      </c>
      <c r="C62" s="377">
        <f t="shared" si="16"/>
        <v>0</v>
      </c>
      <c r="D62" s="2228">
        <v>0.25</v>
      </c>
      <c r="E62" s="640">
        <f>'数据-汇总表'!E15</f>
        <v>0</v>
      </c>
      <c r="F62" s="1949" t="e">
        <f t="shared" si="15"/>
        <v>#DIV/0!</v>
      </c>
      <c r="G62" s="1956" t="s">
        <v>2289</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574</v>
      </c>
      <c r="B63" s="642" t="s">
        <v>17</v>
      </c>
      <c r="C63" s="642" t="s">
        <v>18</v>
      </c>
      <c r="D63" s="642" t="s">
        <v>2297</v>
      </c>
      <c r="E63" s="642">
        <f>IF(B43="楼面地价",SUM(E53:E62),'数据-汇总表'!D3)</f>
        <v>153875</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89" t="s">
        <v>2539</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0" t="s">
        <v>2655</v>
      </c>
      <c r="B68" s="478" t="str">
        <f>"北京市平均增长率"&amp;TEXT(基准地价!P24,"0.00%")</f>
        <v>北京市平均增长率0.00%</v>
      </c>
      <c r="C68" s="893">
        <v>100</v>
      </c>
      <c r="D68" s="729"/>
      <c r="E68" s="729"/>
      <c r="F68" s="729"/>
      <c r="G68" s="729"/>
      <c r="H68" s="729"/>
      <c r="I68" s="729"/>
      <c r="J68" s="729"/>
      <c r="K68" s="729"/>
      <c r="L68" s="729"/>
      <c r="M68" s="2814"/>
      <c r="N68" s="2815"/>
      <c r="O68" s="2161"/>
      <c r="P68" s="2157"/>
      <c r="Q68" s="1992"/>
      <c r="R68" s="1992"/>
      <c r="S68" s="1992"/>
      <c r="T68" s="1992"/>
      <c r="U68" s="1992"/>
      <c r="V68" s="1992"/>
      <c r="W68" s="1992"/>
      <c r="X68" s="1992"/>
      <c r="Y68" s="1992"/>
      <c r="Z68" s="1992"/>
      <c r="AA68" s="1992"/>
      <c r="AB68" s="1992"/>
      <c r="AC68" s="1992"/>
    </row>
    <row r="69" spans="1:29" s="1218" customFormat="1" ht="15.75" thickBot="1">
      <c r="A69" s="652" t="s">
        <v>576</v>
      </c>
      <c r="B69" s="653"/>
      <c r="C69" s="2812"/>
      <c r="D69" s="2813"/>
      <c r="E69" s="2813"/>
      <c r="F69" s="2813"/>
      <c r="G69" s="2813"/>
      <c r="H69" s="2813"/>
      <c r="I69" s="2813"/>
      <c r="J69" s="2813"/>
      <c r="K69" s="2813"/>
      <c r="L69" s="2813"/>
      <c r="M69" s="2813"/>
      <c r="N69" s="2813"/>
      <c r="O69" s="2161"/>
      <c r="P69" s="2157"/>
      <c r="Q69" s="2157"/>
      <c r="R69" s="1992"/>
      <c r="S69" s="1992"/>
      <c r="T69" s="1992"/>
      <c r="U69" s="1992"/>
      <c r="V69" s="1992"/>
      <c r="W69" s="1992"/>
      <c r="X69" s="1992"/>
      <c r="Y69" s="1992"/>
      <c r="Z69" s="1992"/>
      <c r="AA69" s="1992"/>
      <c r="AB69" s="1992"/>
      <c r="AC69" s="1992"/>
    </row>
    <row r="70" spans="1:29" s="1218"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2554</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18" t="s">
        <v>2556</v>
      </c>
      <c r="C95" s="2619" t="s">
        <v>2557</v>
      </c>
      <c r="D95" s="2619" t="s">
        <v>2558</v>
      </c>
      <c r="E95" s="2619" t="s">
        <v>2559</v>
      </c>
      <c r="F95" s="2619" t="s">
        <v>2560</v>
      </c>
      <c r="G95" s="2619" t="s">
        <v>2561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4" t="str">
        <f t="shared" si="25"/>
        <v>(含)-</v>
      </c>
      <c r="L109" s="3115" t="str">
        <f t="shared" si="25"/>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2429</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84" priority="14" stopIfTrue="1" operator="containsText" text="超过">
      <formula>NOT(ISERROR(SEARCH("超过",F48)))</formula>
    </cfRule>
  </conditionalFormatting>
  <conditionalFormatting sqref="J50">
    <cfRule type="containsText" dxfId="83" priority="13" stopIfTrue="1" operator="containsText" text="超过">
      <formula>NOT(ISERROR(SEARCH("超过",J50)))</formula>
    </cfRule>
  </conditionalFormatting>
  <conditionalFormatting sqref="H50">
    <cfRule type="containsText" dxfId="82" priority="12" stopIfTrue="1" operator="containsText" text="超过">
      <formula>NOT(ISERROR(SEARCH("超过",H50)))</formula>
    </cfRule>
  </conditionalFormatting>
  <conditionalFormatting sqref="F50">
    <cfRule type="containsText" dxfId="81" priority="11" stopIfTrue="1" operator="containsText" text="超过">
      <formula>NOT(ISERROR(SEARCH("超过",F50)))</formula>
    </cfRule>
  </conditionalFormatting>
  <conditionalFormatting sqref="F49 H49 J49">
    <cfRule type="containsText" dxfId="80" priority="10" stopIfTrue="1" operator="containsText" text="超过">
      <formula>NOT(ISERROR(SEARCH("超过",F49)))</formula>
    </cfRule>
  </conditionalFormatting>
  <conditionalFormatting sqref="E48">
    <cfRule type="expression" dxfId="79" priority="9" stopIfTrue="1">
      <formula>$F$48="超过30%"</formula>
    </cfRule>
  </conditionalFormatting>
  <conditionalFormatting sqref="G50">
    <cfRule type="expression" dxfId="78" priority="8" stopIfTrue="1">
      <formula>$H$50="超过30%"</formula>
    </cfRule>
  </conditionalFormatting>
  <conditionalFormatting sqref="E50">
    <cfRule type="expression" dxfId="77" priority="6" stopIfTrue="1">
      <formula>$F$50="超过30%"</formula>
    </cfRule>
  </conditionalFormatting>
  <conditionalFormatting sqref="G48">
    <cfRule type="expression" dxfId="76" priority="5" stopIfTrue="1">
      <formula>$H$48="超过30%"</formula>
    </cfRule>
  </conditionalFormatting>
  <conditionalFormatting sqref="G49">
    <cfRule type="expression" dxfId="75" priority="4" stopIfTrue="1">
      <formula>$H$49="超过20%"</formula>
    </cfRule>
  </conditionalFormatting>
  <conditionalFormatting sqref="I48">
    <cfRule type="expression" dxfId="74" priority="3" stopIfTrue="1">
      <formula>$J$48="超过30%"</formula>
    </cfRule>
  </conditionalFormatting>
  <conditionalFormatting sqref="I49">
    <cfRule type="expression" dxfId="73" priority="2" stopIfTrue="1">
      <formula>$J$49="超过20%"</formula>
    </cfRule>
  </conditionalFormatting>
  <conditionalFormatting sqref="I50">
    <cfRule type="expression" dxfId="72" priority="1" stopIfTrue="1">
      <formula>$J$50="超过30%"</formula>
    </cfRule>
  </conditionalFormatting>
  <conditionalFormatting sqref="E49">
    <cfRule type="expression" dxfId="7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2430</v>
      </c>
      <c r="D1" s="1520">
        <f>SUM(D29:D30,D33:D39)</f>
        <v>0</v>
      </c>
      <c r="E1" s="1405" t="s">
        <v>2431</v>
      </c>
      <c r="F1" s="2473"/>
      <c r="G1" s="1400"/>
      <c r="H1" s="1400"/>
      <c r="I1" s="1400"/>
      <c r="J1" s="1400"/>
      <c r="K1" s="1400"/>
      <c r="L1" s="1881" t="s">
        <v>2241</v>
      </c>
      <c r="M1" s="1882">
        <f>SUMPRODUCT((区片价!B5:B9=I2)*(区片价!C3:F3=E2)*(区片价!C5:F9))</f>
        <v>0</v>
      </c>
      <c r="N1" s="1883">
        <f>SUMPRODUCT((因素修正幅度!B5:B9=I2)*(因素修正幅度!C3:F3=E2)*(因素修正幅度!C5:F9))</f>
        <v>0</v>
      </c>
      <c r="O1" s="2188"/>
      <c r="P1" s="2188"/>
      <c r="Q1" s="2188"/>
      <c r="R1" s="2957" t="s">
        <v>2768</v>
      </c>
      <c r="S1" s="2957" t="s">
        <v>2769</v>
      </c>
      <c r="T1" s="2957" t="s">
        <v>2790</v>
      </c>
      <c r="U1" s="2957" t="s">
        <v>2791</v>
      </c>
      <c r="V1" s="2957" t="s">
        <v>2792</v>
      </c>
      <c r="W1" s="2188"/>
      <c r="X1" s="2188"/>
      <c r="Y1" s="2188"/>
      <c r="Z1" s="2188"/>
      <c r="AA1" s="2188"/>
      <c r="AB1" s="2188"/>
      <c r="AC1" s="2189"/>
    </row>
    <row r="2" spans="1:39" ht="15.75">
      <c r="A2" s="1405" t="s">
        <v>921</v>
      </c>
      <c r="B2" s="1036"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4" t="s">
        <v>2242</v>
      </c>
      <c r="M2" s="1885">
        <f>SUMPRODUCT((区片价!B10:B28=I2)*(区片价!C3:F3=E2)*(区片价!C10:F28))</f>
        <v>0</v>
      </c>
      <c r="N2" s="1886">
        <f>SUMPRODUCT((因素修正幅度!B10:B28=I2)*(因素修正幅度!C3:F3=E2)*(因素修正幅度!C10:F28))</f>
        <v>0</v>
      </c>
      <c r="O2" s="2188"/>
      <c r="P2" s="2188"/>
      <c r="Q2" s="2188"/>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8"/>
      <c r="X2" s="2188"/>
      <c r="Y2" s="2188"/>
      <c r="Z2" s="2188"/>
      <c r="AA2" s="2188"/>
      <c r="AB2" s="2188"/>
      <c r="AC2" s="2189"/>
    </row>
    <row r="3" spans="1:39" ht="15.75">
      <c r="A3" s="1410" t="s">
        <v>1689</v>
      </c>
      <c r="B3" s="1036" t="e">
        <f>ROUND(B2*10000/D1,0)</f>
        <v>#DIV/0!</v>
      </c>
      <c r="C3" s="1406" t="s">
        <v>928</v>
      </c>
      <c r="D3" s="1407" t="s">
        <v>929</v>
      </c>
      <c r="E3" s="1411"/>
      <c r="F3" s="1412" t="s">
        <v>2940</v>
      </c>
      <c r="G3" s="1037">
        <f>IF(F3="宗地容积率",'数据-汇总表'!I4,IF(F3="估价对象容积率",'数据-汇总表'!I6,'数据-汇总表'!I7))</f>
        <v>2.4500000000000002</v>
      </c>
      <c r="H3" s="1413" t="s">
        <v>930</v>
      </c>
      <c r="I3" s="1038">
        <v>8</v>
      </c>
      <c r="J3" s="1409" t="s">
        <v>931</v>
      </c>
      <c r="K3" s="1400"/>
      <c r="L3" s="1884" t="s">
        <v>2243</v>
      </c>
      <c r="M3" s="1885">
        <f>SUMPRODUCT((区片价!B29:B48=I2)*(区片价!C3:F3=E2)*(区片价!C29:F48))</f>
        <v>0</v>
      </c>
      <c r="N3" s="1886">
        <f>SUMPRODUCT((因素修正幅度!B29:B48=I2)*(因素修正幅度!C3:F3=E2)*(因素修正幅度!C29:F48))</f>
        <v>0</v>
      </c>
      <c r="O3" s="2188"/>
      <c r="P3" s="2188"/>
      <c r="Q3" s="2188"/>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8"/>
      <c r="X3" s="2188"/>
      <c r="Y3" s="2188"/>
      <c r="Z3" s="2188"/>
      <c r="AA3" s="2188"/>
      <c r="AB3" s="2188"/>
      <c r="AC3" s="2189"/>
    </row>
    <row r="4" spans="1:39" ht="28.5">
      <c r="A4" s="1890" t="s">
        <v>2283</v>
      </c>
      <c r="B4" s="2474" t="e">
        <f>ROUND(B2*10000/F1,0)</f>
        <v>#DIV/0!</v>
      </c>
      <c r="C4" s="1893" t="s">
        <v>2257</v>
      </c>
      <c r="D4" s="1893" t="e">
        <f>ROUND(B2/(F1/666.67),0)</f>
        <v>#DIV/0!</v>
      </c>
      <c r="E4" s="1893" t="s">
        <v>2258</v>
      </c>
      <c r="F4" s="1891"/>
      <c r="G4" s="1891"/>
      <c r="H4" s="1891"/>
      <c r="I4" s="1891"/>
      <c r="J4" s="1892"/>
      <c r="K4" s="1400"/>
      <c r="L4" s="1884" t="s">
        <v>2244</v>
      </c>
      <c r="M4" s="1885">
        <f>SUMPRODUCT((区片价!B49:B75=I2)*(区片价!C3:F3=E2)*(区片价!C49:F75))</f>
        <v>0</v>
      </c>
      <c r="N4" s="1886">
        <f>SUMPRODUCT((因素修正幅度!B49:B75=I2)*(因素修正幅度!C3:F3=E2)*(因素修正幅度!C49:F75))</f>
        <v>0</v>
      </c>
      <c r="O4" s="2188"/>
      <c r="P4" s="2188"/>
      <c r="Q4" s="2188"/>
      <c r="R4" s="2958">
        <v>3</v>
      </c>
      <c r="S4" s="2958">
        <f>ROUND(IF(G3&gt;1,IF(R4&lt;7,SUMPRODUCT((B93:B98=R4)*(C92:N92=G2)*(C93:N98)),SUMIF(C92:N92,G2,C100:N100)),IF(R4&lt;7,SUMPRODUCT((B102:B107=R4)*(C92:N92=G2)*(C102:N107)),SUMIF(C92:N92,G2,C109:N109))),4)</f>
        <v>0</v>
      </c>
      <c r="T4" s="2958" t="e">
        <f t="shared" si="0"/>
        <v>#DIV/0!</v>
      </c>
      <c r="U4" s="2947"/>
      <c r="V4" s="2958" t="e">
        <f t="shared" si="1"/>
        <v>#DIV/0!</v>
      </c>
      <c r="W4" s="2188"/>
      <c r="X4" s="2188"/>
      <c r="Y4" s="2188"/>
      <c r="Z4" s="2188"/>
      <c r="AA4" s="2188"/>
      <c r="AB4" s="2188"/>
      <c r="AC4" s="2189"/>
    </row>
    <row r="5" spans="1:39" s="1420" customFormat="1" ht="15.75" thickBot="1">
      <c r="A5" s="1637" t="s">
        <v>1825</v>
      </c>
      <c r="B5" s="1414" t="s">
        <v>932</v>
      </c>
      <c r="C5" s="1039" t="e">
        <f>ROUND(IF(E2="商业",IF(F16="增加",C6*C7+C16,C6*C7-C16),IF(E2="住宅",IF(F16="增加",C6*C12+C16,C6*C12-C16),IF(F16="增加",C6+C16,C6-C16))),0)</f>
        <v>#DIV/0!</v>
      </c>
      <c r="D5" s="3146">
        <f>ROUND(IF(E2="商业",IF(F16="增加",C6+C16,C6-C16)),0)</f>
        <v>0</v>
      </c>
      <c r="E5" s="1415"/>
      <c r="F5" s="1415"/>
      <c r="G5" s="1416"/>
      <c r="H5" s="1416"/>
      <c r="I5" s="1416"/>
      <c r="J5" s="1417"/>
      <c r="K5" s="1593"/>
      <c r="L5" s="1884" t="s">
        <v>2245</v>
      </c>
      <c r="M5" s="1885">
        <f>SUMPRODUCT((区片价!B76:B109=I2)*(区片价!C3:F3=E2)*(区片价!C76:F109))</f>
        <v>0</v>
      </c>
      <c r="N5" s="1886">
        <f>SUMPRODUCT((因素修正幅度!B76:B109=I2)*(因素修正幅度!C3:F3=E2)*(因素修正幅度!C76:F109))</f>
        <v>0</v>
      </c>
      <c r="O5" s="2188"/>
      <c r="P5" s="2188"/>
      <c r="Q5" s="2188"/>
      <c r="R5" s="2958">
        <v>4</v>
      </c>
      <c r="S5" s="2958">
        <f>ROUND(IF(G3&gt;1,IF(R5&lt;7,SUMPRODUCT((B93:B98=R5)*(C92:N92=G2)*(C93:N98)),SUMIF(C92:N92,G2,C100:N100)),IF(R5&lt;7,SUMPRODUCT((B102:B107=R5)*(C92:N92=G2)*(C102:N107)),SUMIF(C92:N92,G2,C109:N109))),4)</f>
        <v>0</v>
      </c>
      <c r="T5" s="2958" t="e">
        <f t="shared" si="0"/>
        <v>#DIV/0!</v>
      </c>
      <c r="U5" s="2947"/>
      <c r="V5" s="2958"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0">
        <f>SUMIF(L1:L12,基准地价!G2,M1:M12)</f>
        <v>0</v>
      </c>
      <c r="D6" s="1422" t="s">
        <v>1697</v>
      </c>
      <c r="E6" s="1423"/>
      <c r="F6" s="1423"/>
      <c r="G6" s="1424"/>
      <c r="H6" s="1424"/>
      <c r="I6" s="1424"/>
      <c r="J6" s="1425"/>
      <c r="K6" s="1594"/>
      <c r="L6" s="1884" t="s">
        <v>2246</v>
      </c>
      <c r="M6" s="1885">
        <f>SUMPRODUCT((区片价!B110:B157=I2)*(区片价!C3:F3=E2)*(区片价!C110:F157))</f>
        <v>0</v>
      </c>
      <c r="N6" s="1886">
        <f>SUMPRODUCT((因素修正幅度!B110:B157=I2)*(因素修正幅度!C3:F3=E2)*(因素修正幅度!C110:F157))</f>
        <v>0</v>
      </c>
      <c r="O6" s="2188"/>
      <c r="P6" s="2188"/>
      <c r="Q6" s="2188"/>
      <c r="R6" s="2958">
        <v>5</v>
      </c>
      <c r="S6" s="2958">
        <f>ROUND(IF(G3&gt;1,IF(R6&lt;7,SUMPRODUCT((B93:B98=R6)*(C92:N92=G2)*(C93:N98)),SUMIF(C92:N92,G2,C100:N100)),IF(R6&lt;7,SUMPRODUCT((B102:B107=R6)*(C92:N92=G2)*(C102:N107)),SUMIF(C92:N92,G2,C109:N109))),4)</f>
        <v>0</v>
      </c>
      <c r="T6" s="2958" t="e">
        <f t="shared" si="0"/>
        <v>#DIV/0!</v>
      </c>
      <c r="U6" s="2947"/>
      <c r="V6" s="2958" t="e">
        <f t="shared" si="1"/>
        <v>#DIV/0!</v>
      </c>
      <c r="W6" s="2188"/>
      <c r="X6" s="2188"/>
      <c r="Y6" s="2188"/>
      <c r="Z6" s="2188"/>
      <c r="AA6" s="2188"/>
      <c r="AB6" s="2188"/>
      <c r="AC6" s="2190"/>
      <c r="AD6" s="1418"/>
      <c r="AE6" s="1418"/>
      <c r="AF6" s="1418"/>
      <c r="AG6" s="1418"/>
      <c r="AH6" s="1418"/>
      <c r="AI6" s="1418"/>
      <c r="AJ6" s="1419"/>
    </row>
    <row r="7" spans="1:39" ht="24">
      <c r="A7" s="3747" t="str">
        <f>IF(E2="商业",IF(C8="不临58条商业街","",2),"")</f>
        <v/>
      </c>
      <c r="B7" s="1426" t="s">
        <v>933</v>
      </c>
      <c r="C7" s="1041" t="e">
        <f>IF(C8="不临58条商业街",1,ROUND(1+(1.6*E8+1.2*E9+0.8*E10+0.4*E11)*C9,4))</f>
        <v>#DIV/0!</v>
      </c>
      <c r="D7" s="1427" t="s">
        <v>934</v>
      </c>
      <c r="E7" s="1042"/>
      <c r="F7" s="1428"/>
      <c r="G7" s="1429"/>
      <c r="H7" s="1429"/>
      <c r="I7" s="1429"/>
      <c r="J7" s="1430"/>
      <c r="K7" s="1594"/>
      <c r="L7" s="1884" t="s">
        <v>2247</v>
      </c>
      <c r="M7" s="1885">
        <f>SUMPRODUCT((区片价!B158:B205=I2)*(区片价!C3:F3=E2)*(区片价!C158:F205))</f>
        <v>0</v>
      </c>
      <c r="N7" s="1886">
        <f>SUMPRODUCT((因素修正幅度!B158:B205=I2)*(因素修正幅度!C3:F3=E2)*(因素修正幅度!C158:F205))</f>
        <v>0</v>
      </c>
      <c r="O7" s="2188"/>
      <c r="P7" s="2188"/>
      <c r="Q7" s="2188"/>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2771</v>
      </c>
      <c r="X7" s="2948">
        <f>G2</f>
        <v>0</v>
      </c>
      <c r="Y7" s="2948" t="s">
        <v>2772</v>
      </c>
      <c r="Z7" s="2949">
        <f>G3</f>
        <v>2.4500000000000002</v>
      </c>
      <c r="AA7" s="2191"/>
      <c r="AB7" s="2191"/>
      <c r="AC7" s="2192"/>
      <c r="AD7" s="2950"/>
      <c r="AE7" s="2950"/>
      <c r="AF7" s="2950"/>
      <c r="AG7" s="2950"/>
      <c r="AH7" s="2950"/>
      <c r="AI7" s="2950"/>
      <c r="AJ7" s="2951"/>
    </row>
    <row r="8" spans="1:39" ht="15">
      <c r="A8" s="3748"/>
      <c r="B8" s="1413" t="s">
        <v>935</v>
      </c>
      <c r="C8" s="1528"/>
      <c r="D8" s="1043" t="s">
        <v>936</v>
      </c>
      <c r="E8" s="1044" t="e">
        <f>ROUND(C11/E7,4)</f>
        <v>#DIV/0!</v>
      </c>
      <c r="F8" s="1431" t="s">
        <v>937</v>
      </c>
      <c r="G8" s="1432"/>
      <c r="H8" s="1432"/>
      <c r="I8" s="1432"/>
      <c r="J8" s="1433"/>
      <c r="K8" s="1400"/>
      <c r="L8" s="1884" t="s">
        <v>2248</v>
      </c>
      <c r="M8" s="1885">
        <f>SUMPRODUCT((区片价!B206:B244=I2)*(区片价!C3:F3=E2)*(区片价!C206:F244))</f>
        <v>0</v>
      </c>
      <c r="N8" s="1886">
        <f>SUMPRODUCT((因素修正幅度!B206:B244=I2)*(因素修正幅度!C3:F3=E2)*(因素修正幅度!C206:F244))</f>
        <v>0</v>
      </c>
      <c r="O8" s="2188"/>
      <c r="P8" s="2188"/>
      <c r="Q8" s="2188"/>
      <c r="R8" s="2958">
        <v>7</v>
      </c>
      <c r="S8" s="2947"/>
      <c r="T8" s="2958" t="e">
        <f t="shared" si="0"/>
        <v>#DIV/0!</v>
      </c>
      <c r="U8" s="2947"/>
      <c r="V8" s="2958" t="e">
        <f t="shared" si="1"/>
        <v>#DIV/0!</v>
      </c>
      <c r="W8" s="3757" t="s">
        <v>2789</v>
      </c>
      <c r="X8" s="3758"/>
      <c r="Y8" s="1848" t="s">
        <v>2773</v>
      </c>
      <c r="Z8" s="1848" t="s">
        <v>2774</v>
      </c>
      <c r="AA8" s="1848" t="s">
        <v>2775</v>
      </c>
      <c r="AB8" s="1848" t="s">
        <v>2776</v>
      </c>
      <c r="AC8" s="1848" t="s">
        <v>2777</v>
      </c>
      <c r="AD8" s="1848" t="s">
        <v>2778</v>
      </c>
      <c r="AE8" s="1848" t="s">
        <v>2779</v>
      </c>
      <c r="AF8" s="1848" t="s">
        <v>2780</v>
      </c>
      <c r="AG8" s="1848" t="s">
        <v>2781</v>
      </c>
      <c r="AH8" s="1848" t="s">
        <v>2782</v>
      </c>
      <c r="AI8" s="1848" t="s">
        <v>2783</v>
      </c>
      <c r="AJ8" s="1848" t="s">
        <v>2784</v>
      </c>
    </row>
    <row r="9" spans="1:39" ht="15">
      <c r="A9" s="3748"/>
      <c r="B9" s="1413" t="s">
        <v>938</v>
      </c>
      <c r="C9" s="1045">
        <f>SUMIF(修正!C59:C119,C8,修正!E59:E119)</f>
        <v>0</v>
      </c>
      <c r="D9" s="1046" t="s">
        <v>939</v>
      </c>
      <c r="E9" s="1046" t="e">
        <f>ROUND(C11/E7,4)</f>
        <v>#DIV/0!</v>
      </c>
      <c r="F9" s="1431" t="s">
        <v>940</v>
      </c>
      <c r="G9" s="1432"/>
      <c r="H9" s="1432"/>
      <c r="I9" s="1432"/>
      <c r="J9" s="1433"/>
      <c r="K9" s="1400"/>
      <c r="L9" s="1884" t="s">
        <v>2249</v>
      </c>
      <c r="M9" s="1885">
        <f>SUMPRODUCT((区片价!B245:B289=I2)*(区片价!C3:F3=E2)*(区片价!C245:F289))</f>
        <v>0</v>
      </c>
      <c r="N9" s="1886">
        <f>SUMPRODUCT((因素修正幅度!B245:B289=I2)*(因素修正幅度!C3:F3=E2)*(因素修正幅度!C245:F289))</f>
        <v>0</v>
      </c>
      <c r="O9" s="2188"/>
      <c r="P9" s="2188"/>
      <c r="Q9" s="2188"/>
      <c r="R9" s="2958">
        <v>8</v>
      </c>
      <c r="S9" s="2947"/>
      <c r="T9" s="2958" t="e">
        <f t="shared" si="0"/>
        <v>#DIV/0!</v>
      </c>
      <c r="U9" s="2947"/>
      <c r="V9" s="2958" t="e">
        <f t="shared" si="1"/>
        <v>#DIV/0!</v>
      </c>
      <c r="W9" s="3756" t="s">
        <v>2785</v>
      </c>
      <c r="X9" s="2952" t="s">
        <v>2786</v>
      </c>
      <c r="Y9" s="3120"/>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748"/>
      <c r="B10" s="1413" t="s">
        <v>941</v>
      </c>
      <c r="C10" s="1046">
        <f>SUMIF(修正!C59:C119,C8,修正!F59:F119)</f>
        <v>0</v>
      </c>
      <c r="D10" s="1046" t="s">
        <v>942</v>
      </c>
      <c r="E10" s="1046" t="e">
        <f>ROUND(C11/E7,4)</f>
        <v>#DIV/0!</v>
      </c>
      <c r="F10" s="1431" t="s">
        <v>943</v>
      </c>
      <c r="G10" s="1432"/>
      <c r="H10" s="1432"/>
      <c r="I10" s="1432"/>
      <c r="J10" s="1433"/>
      <c r="K10" s="1400"/>
      <c r="L10" s="1884" t="s">
        <v>2250</v>
      </c>
      <c r="M10" s="1885">
        <f>SUMPRODUCT((区片价!B290:B316=I2)*(区片价!C3:F3=E2)*(区片价!C290:F316))</f>
        <v>0</v>
      </c>
      <c r="N10" s="1886">
        <f>SUMPRODUCT((因素修正幅度!B290:B316=I2)*(因素修正幅度!C3:F3=E2)*(因素修正幅度!C290:F316))</f>
        <v>0</v>
      </c>
      <c r="O10" s="2188"/>
      <c r="P10" s="2188"/>
      <c r="Q10" s="2188"/>
      <c r="R10" s="2958">
        <v>9</v>
      </c>
      <c r="S10" s="2947"/>
      <c r="T10" s="2958" t="e">
        <f t="shared" si="0"/>
        <v>#DIV/0!</v>
      </c>
      <c r="U10" s="2947"/>
      <c r="V10" s="2958" t="e">
        <f t="shared" si="1"/>
        <v>#DIV/0!</v>
      </c>
      <c r="W10" s="375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748"/>
      <c r="B11" s="1434" t="s">
        <v>944</v>
      </c>
      <c r="C11" s="1047">
        <f>C10/4</f>
        <v>0</v>
      </c>
      <c r="D11" s="1047" t="s">
        <v>945</v>
      </c>
      <c r="E11" s="1047" t="e">
        <f>ROUND(C11/E7,4)</f>
        <v>#DIV/0!</v>
      </c>
      <c r="F11" s="1435" t="s">
        <v>946</v>
      </c>
      <c r="G11" s="1436"/>
      <c r="H11" s="1436"/>
      <c r="I11" s="1436"/>
      <c r="J11" s="1437"/>
      <c r="K11" s="1400"/>
      <c r="L11" s="1884" t="s">
        <v>2251</v>
      </c>
      <c r="M11" s="1885">
        <f>SUMPRODUCT((区片价!B317:B337=I2)*(区片价!C3:F3=E2)*(区片价!C317:F337))</f>
        <v>0</v>
      </c>
      <c r="N11" s="1886">
        <f>SUMPRODUCT((因素修正幅度!B317:B337=I2)*(因素修正幅度!C3:F3=E2)*(因素修正幅度!C317:F337))</f>
        <v>0</v>
      </c>
      <c r="O11" s="2188"/>
      <c r="P11" s="2188"/>
      <c r="Q11" s="2188"/>
      <c r="R11" s="2958">
        <v>10</v>
      </c>
      <c r="S11" s="2947"/>
      <c r="T11" s="2958" t="e">
        <f t="shared" si="0"/>
        <v>#DIV/0!</v>
      </c>
      <c r="U11" s="2947"/>
      <c r="V11" s="2958" t="e">
        <f t="shared" si="1"/>
        <v>#DIV/0!</v>
      </c>
      <c r="W11" s="3756" t="s">
        <v>2787</v>
      </c>
      <c r="X11" s="1046" t="s">
        <v>2772</v>
      </c>
      <c r="Y11" s="1652">
        <f>$G$3</f>
        <v>2.4500000000000002</v>
      </c>
      <c r="Z11" s="1652">
        <f t="shared" ref="Z11:AJ11" si="3">$G$3</f>
        <v>2.4500000000000002</v>
      </c>
      <c r="AA11" s="1652">
        <f t="shared" si="3"/>
        <v>2.4500000000000002</v>
      </c>
      <c r="AB11" s="1652">
        <f t="shared" si="3"/>
        <v>2.4500000000000002</v>
      </c>
      <c r="AC11" s="1652">
        <f t="shared" si="3"/>
        <v>2.4500000000000002</v>
      </c>
      <c r="AD11" s="1652">
        <f t="shared" si="3"/>
        <v>2.4500000000000002</v>
      </c>
      <c r="AE11" s="1652">
        <f t="shared" si="3"/>
        <v>2.4500000000000002</v>
      </c>
      <c r="AF11" s="1652">
        <f t="shared" si="3"/>
        <v>2.4500000000000002</v>
      </c>
      <c r="AG11" s="1652">
        <f t="shared" si="3"/>
        <v>2.4500000000000002</v>
      </c>
      <c r="AH11" s="1652">
        <f t="shared" si="3"/>
        <v>2.4500000000000002</v>
      </c>
      <c r="AI11" s="1652">
        <f t="shared" si="3"/>
        <v>2.4500000000000002</v>
      </c>
      <c r="AJ11" s="1652">
        <f t="shared" si="3"/>
        <v>2.4500000000000002</v>
      </c>
    </row>
    <row r="12" spans="1:39" ht="25.5" thickBot="1">
      <c r="A12" s="3747" t="s">
        <v>1873</v>
      </c>
      <c r="B12" s="1438" t="s">
        <v>947</v>
      </c>
      <c r="C12" s="1041">
        <f>ROUND(C15*D15*E15*F15*G15*H15*I15*J15,4)</f>
        <v>1</v>
      </c>
      <c r="D12" s="1439" t="s">
        <v>948</v>
      </c>
      <c r="E12" s="1440"/>
      <c r="F12" s="1440"/>
      <c r="G12" s="1441"/>
      <c r="H12" s="1441"/>
      <c r="I12" s="1441"/>
      <c r="J12" s="1442"/>
      <c r="K12" s="1400"/>
      <c r="L12" s="1887" t="s">
        <v>2252</v>
      </c>
      <c r="M12" s="1888">
        <f>SUMPRODUCT((区片价!B338:B344=I2)*(区片价!C3:F3=E2)*(区片价!C338:F344))</f>
        <v>0</v>
      </c>
      <c r="N12" s="1889">
        <f>SUMPRODUCT((因素修正幅度!B338:B344=I2)*(因素修正幅度!C3:F3=E2)*(因素修正幅度!C338:F344))</f>
        <v>0</v>
      </c>
      <c r="O12" s="2188"/>
      <c r="P12" s="2188"/>
      <c r="Q12" s="2188"/>
      <c r="R12" s="2958">
        <v>11</v>
      </c>
      <c r="S12" s="2947"/>
      <c r="T12" s="2958" t="e">
        <f t="shared" si="0"/>
        <v>#DIV/0!</v>
      </c>
      <c r="U12" s="2947"/>
      <c r="V12" s="2958" t="e">
        <f t="shared" si="1"/>
        <v>#DIV/0!</v>
      </c>
      <c r="W12" s="3756"/>
      <c r="X12" s="2955" t="s">
        <v>2788</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749"/>
      <c r="B13" s="1443" t="s">
        <v>1698</v>
      </c>
      <c r="C13" s="1444" t="s">
        <v>1699</v>
      </c>
      <c r="D13" s="1087" t="s">
        <v>1700</v>
      </c>
      <c r="E13" s="1087" t="s">
        <v>1701</v>
      </c>
      <c r="F13" s="1445" t="s">
        <v>949</v>
      </c>
      <c r="G13" s="1446" t="s">
        <v>1644</v>
      </c>
      <c r="H13" s="1447" t="s">
        <v>1644</v>
      </c>
      <c r="I13" s="1448" t="s">
        <v>1644</v>
      </c>
      <c r="J13" s="1449" t="s">
        <v>1644</v>
      </c>
      <c r="K13" s="1400"/>
      <c r="L13" s="2188"/>
      <c r="M13" s="2188"/>
      <c r="N13" s="2188"/>
      <c r="O13" s="2188"/>
      <c r="P13" s="2188"/>
      <c r="Q13" s="2188"/>
      <c r="R13" s="2958">
        <v>12</v>
      </c>
      <c r="S13" s="2947"/>
      <c r="T13" s="2958" t="e">
        <f t="shared" si="0"/>
        <v>#DIV/0!</v>
      </c>
      <c r="U13" s="2947"/>
      <c r="V13" s="2958" t="e">
        <f t="shared" si="1"/>
        <v>#DIV/0!</v>
      </c>
      <c r="W13" s="3756"/>
      <c r="X13" s="2955"/>
      <c r="Y13" s="2954">
        <f>(-0.163*(Y12^2)-0.59*Y12+7617)*(10^(-4))/Y11</f>
        <v>0.31089795918367347</v>
      </c>
      <c r="Z13" s="2954">
        <f t="shared" ref="Z13:AJ13" si="5">(-0.163*(Z12^2)-0.59*Z12+7617)*(10^(-4))/Z11</f>
        <v>0.31089795918367347</v>
      </c>
      <c r="AA13" s="2954">
        <f t="shared" si="5"/>
        <v>0.31089795918367347</v>
      </c>
      <c r="AB13" s="2954">
        <f t="shared" si="5"/>
        <v>0.31089795918367347</v>
      </c>
      <c r="AC13" s="2954">
        <f t="shared" si="5"/>
        <v>0.31089795918367347</v>
      </c>
      <c r="AD13" s="2954">
        <f t="shared" si="5"/>
        <v>0.31089795918367347</v>
      </c>
      <c r="AE13" s="2954">
        <f t="shared" si="5"/>
        <v>0.31089795918367347</v>
      </c>
      <c r="AF13" s="2954">
        <f t="shared" si="5"/>
        <v>0.31089795918367347</v>
      </c>
      <c r="AG13" s="2954">
        <f t="shared" si="5"/>
        <v>0.31089795918367347</v>
      </c>
      <c r="AH13" s="2954">
        <f t="shared" si="5"/>
        <v>0.31089795918367347</v>
      </c>
      <c r="AI13" s="2954">
        <f t="shared" si="5"/>
        <v>0.31089795918367347</v>
      </c>
      <c r="AJ13" s="2954">
        <f t="shared" si="5"/>
        <v>0.31089795918367347</v>
      </c>
    </row>
    <row r="14" spans="1:39" ht="12.75" customHeight="1" thickBot="1">
      <c r="A14" s="3749"/>
      <c r="B14" s="1450"/>
      <c r="C14" s="1451"/>
      <c r="D14" s="1452"/>
      <c r="E14" s="1452"/>
      <c r="F14" s="1453"/>
      <c r="G14" s="1454" t="s">
        <v>950</v>
      </c>
      <c r="H14" s="1455"/>
      <c r="I14" s="1456"/>
      <c r="J14" s="1457"/>
      <c r="K14" s="1400"/>
      <c r="L14" s="2188"/>
      <c r="M14" s="2188"/>
      <c r="N14" s="2188"/>
      <c r="O14" s="2188"/>
      <c r="P14" s="2188"/>
      <c r="Q14" s="2188"/>
      <c r="R14" s="2958">
        <v>13</v>
      </c>
      <c r="S14" s="2947"/>
      <c r="T14" s="2958" t="e">
        <f t="shared" si="0"/>
        <v>#DIV/0!</v>
      </c>
      <c r="U14" s="2947"/>
      <c r="V14" s="2958" t="e">
        <f t="shared" si="1"/>
        <v>#DIV/0!</v>
      </c>
      <c r="W14" s="2188"/>
      <c r="X14" s="2188"/>
      <c r="Y14" s="2188"/>
      <c r="Z14" s="2188"/>
      <c r="AA14" s="2188"/>
      <c r="AB14" s="2188"/>
      <c r="AC14" s="2189"/>
    </row>
    <row r="15" spans="1:39" ht="13.5" customHeight="1" thickBot="1">
      <c r="A15" s="3750"/>
      <c r="B15" s="1458" t="s">
        <v>1702</v>
      </c>
      <c r="C15" s="1049">
        <f>IF(C14="有",1.1,1)</f>
        <v>1</v>
      </c>
      <c r="D15" s="1049">
        <f>IF(D14="有",1.1,1)</f>
        <v>1</v>
      </c>
      <c r="E15" s="1049">
        <f>IF(E14="有",1.1,1)</f>
        <v>1</v>
      </c>
      <c r="F15" s="1049">
        <f>IF(F14="500米范围内",1.2,IF(F14="500-1000米",1.1,1))</f>
        <v>1</v>
      </c>
      <c r="G15" s="1050">
        <v>1</v>
      </c>
      <c r="H15" s="1050">
        <v>1</v>
      </c>
      <c r="I15" s="1050">
        <v>1</v>
      </c>
      <c r="J15" s="1051">
        <v>1</v>
      </c>
      <c r="K15" s="1400"/>
      <c r="L15" s="1597" t="s">
        <v>899</v>
      </c>
      <c r="M15" s="1427" t="s">
        <v>985</v>
      </c>
      <c r="N15" s="1427" t="s">
        <v>986</v>
      </c>
      <c r="O15" s="1427" t="s">
        <v>903</v>
      </c>
      <c r="P15" s="1475" t="s">
        <v>987</v>
      </c>
      <c r="Q15" s="2188"/>
      <c r="R15" s="2958">
        <v>14</v>
      </c>
      <c r="S15" s="2947"/>
      <c r="T15" s="2958" t="e">
        <f t="shared" si="0"/>
        <v>#DIV/0!</v>
      </c>
      <c r="U15" s="2947"/>
      <c r="V15" s="2958" t="e">
        <f t="shared" si="1"/>
        <v>#DIV/0!</v>
      </c>
      <c r="W15" s="2188"/>
      <c r="X15" s="2188"/>
      <c r="Y15" s="2188"/>
      <c r="Z15" s="2188"/>
      <c r="AA15" s="2188"/>
      <c r="AB15" s="2188"/>
      <c r="AC15" s="2189"/>
    </row>
    <row r="16" spans="1:39" ht="24">
      <c r="A16" s="3747" t="s">
        <v>1840</v>
      </c>
      <c r="B16" s="1426" t="s">
        <v>951</v>
      </c>
      <c r="C16" s="1052" t="e">
        <f>ROUND(SUM(G17:J17)/C17,0)</f>
        <v>#DIV/0!</v>
      </c>
      <c r="D16" s="1459" t="s">
        <v>952</v>
      </c>
      <c r="E16" s="1460"/>
      <c r="F16" s="1461"/>
      <c r="G16" s="1462"/>
      <c r="H16" s="1462"/>
      <c r="I16" s="1462"/>
      <c r="J16" s="1462"/>
      <c r="K16" s="1400"/>
      <c r="L16" s="1463" t="s">
        <v>989</v>
      </c>
      <c r="M16" s="1045">
        <v>0.25</v>
      </c>
      <c r="N16" s="1045">
        <v>0.2</v>
      </c>
      <c r="O16" s="1045">
        <v>0.15</v>
      </c>
      <c r="P16" s="1538">
        <v>0.1</v>
      </c>
      <c r="Q16" s="2191"/>
      <c r="R16" s="2958">
        <v>15</v>
      </c>
      <c r="S16" s="2947"/>
      <c r="T16" s="2958" t="e">
        <f t="shared" si="0"/>
        <v>#DIV/0!</v>
      </c>
      <c r="U16" s="2947"/>
      <c r="V16" s="2958" t="e">
        <f t="shared" si="1"/>
        <v>#DIV/0!</v>
      </c>
      <c r="W16" s="2191"/>
      <c r="X16" s="2191"/>
      <c r="Y16" s="2191"/>
      <c r="Z16" s="2191"/>
      <c r="AA16" s="2191"/>
      <c r="AB16" s="2191"/>
      <c r="AC16" s="2192"/>
    </row>
    <row r="17" spans="1:40" ht="13.5" thickBot="1">
      <c r="A17" s="3748"/>
      <c r="B17" s="1464" t="s">
        <v>954</v>
      </c>
      <c r="C17" s="1053">
        <f>SUMPRODUCT((修正!A2:A5=E2)*(修正!B1:M1=G2)*(修正!B2:M5))</f>
        <v>0</v>
      </c>
      <c r="D17" s="1466" t="s">
        <v>955</v>
      </c>
      <c r="E17" s="1467" t="str">
        <f>IF(OR(G2="八级",G2="九级",G2="十级",G2="十一级",G2="十二级"),"五通一平","七通一平")</f>
        <v>七通一平</v>
      </c>
      <c r="F17" s="1465"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4" t="s">
        <v>957</v>
      </c>
      <c r="C18" s="2795">
        <f>SUMIF(修正!C18:C39,E3,修正!E18:E39)</f>
        <v>0</v>
      </c>
      <c r="D18" s="2796"/>
      <c r="E18" s="2797"/>
      <c r="F18" s="2798"/>
      <c r="G18" s="2792"/>
      <c r="H18" s="2792"/>
      <c r="I18" s="2792"/>
      <c r="J18" s="2799"/>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5" t="e">
        <f>ROUND(IF(H19="按公示增长率计算",SUMPRODUCT((地价!A3:A21=YEAR(G19)&amp;"-"&amp;ROUNDUP(MONTH(G19)/3,0))*(地价!X2:AB2=E2)*(地价!X3:AB21)),IF(H19="地价指数",M20/M19,(1+I19)^O19)),4)</f>
        <v>#DIV/0!</v>
      </c>
      <c r="D19" s="1473" t="s">
        <v>959</v>
      </c>
      <c r="E19" s="1056">
        <v>41640</v>
      </c>
      <c r="F19" s="1473" t="s">
        <v>960</v>
      </c>
      <c r="G19" s="1057">
        <f>'数据-取费表'!B2</f>
        <v>43206</v>
      </c>
      <c r="H19" s="1474" t="s">
        <v>2941</v>
      </c>
      <c r="I19" s="2806" t="str">
        <f>IF(H19="季度增幅（自定义）",SUMIF(N21:N24,E2,O21:O24),"")</f>
        <v/>
      </c>
      <c r="J19" s="1470"/>
      <c r="K19" s="1480"/>
      <c r="L19" s="3061" t="s">
        <v>2847</v>
      </c>
      <c r="M19" s="3062">
        <f>ROUND(SUMIF(地价!B2:F2,E2,地价!B21:F21),0)</f>
        <v>0</v>
      </c>
      <c r="N19" s="2808" t="s">
        <v>1678</v>
      </c>
      <c r="O19" s="2807">
        <f>ROUNDDOWN(DATEDIF(E19,G19,"M")/3,0)</f>
        <v>17</v>
      </c>
      <c r="P19" s="1595"/>
      <c r="R19" s="2946"/>
      <c r="S19" s="2946"/>
      <c r="T19" s="2946"/>
      <c r="U19" s="2946"/>
      <c r="V19" s="2946"/>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0" t="s">
        <v>1838</v>
      </c>
      <c r="B20" s="2801" t="s">
        <v>973</v>
      </c>
      <c r="C20" s="2802" t="e">
        <f>ROUND(POWER(1+G20,J20-I20)*(POWER(1+G20,I20)-1)/(POWER(1+G20,J20)-1),4)</f>
        <v>#DIV/0!</v>
      </c>
      <c r="D20" s="2803" t="s">
        <v>974</v>
      </c>
      <c r="E20" s="3117">
        <f ca="1">存贷款利率!I4/100</f>
        <v>4.3499999999999997E-2</v>
      </c>
      <c r="F20" s="2803" t="s">
        <v>975</v>
      </c>
      <c r="G20" s="2804">
        <f>SUMIF(M15:P15,E2,M17:P17)</f>
        <v>0</v>
      </c>
      <c r="H20" s="2803" t="s">
        <v>976</v>
      </c>
      <c r="I20" s="2793" t="e">
        <f>SUMIF('数据-取费表'!C6:C15,E2,'数据-取费表'!F6:F15)/COUNTIF('数据-取费表'!C6:C15,E2)</f>
        <v>#DIV/0!</v>
      </c>
      <c r="J20" s="2805">
        <f>IF(E2="住宅",70,IF(E2="商业",40,50))</f>
        <v>50</v>
      </c>
      <c r="K20" s="1480"/>
      <c r="L20" s="3063" t="s">
        <v>2848</v>
      </c>
      <c r="M20" s="3064">
        <f>ROUND(SUMPRODUCT((地价!A4:A21=YEAR(G19)&amp;"-"&amp;ROUNDUP(MONTH(G19)/3,0))*(地价!B2:F2=E2)*(地价!B4:F21)),0)</f>
        <v>0</v>
      </c>
      <c r="N20" s="2811" t="s">
        <v>2651</v>
      </c>
      <c r="O20" s="2809" t="s">
        <v>2650</v>
      </c>
      <c r="P20" s="2810" t="s">
        <v>2656</v>
      </c>
      <c r="R20" s="2946"/>
      <c r="S20" s="2946"/>
      <c r="T20" s="2946"/>
      <c r="U20" s="2946"/>
      <c r="V20" s="2946"/>
      <c r="W20" s="2194"/>
      <c r="X20" s="2194"/>
      <c r="Y20" s="2194"/>
      <c r="Z20" s="2194"/>
      <c r="AA20" s="2194"/>
      <c r="AB20" s="2194"/>
      <c r="AC20" s="2194"/>
      <c r="AD20" s="1471"/>
      <c r="AE20" s="1471"/>
      <c r="AF20" s="1471"/>
      <c r="AG20" s="1471"/>
      <c r="AH20" s="1471"/>
      <c r="AI20" s="1471"/>
    </row>
    <row r="21" spans="1:40" s="1420" customFormat="1" ht="14.25">
      <c r="A21" s="1641" t="s">
        <v>1839</v>
      </c>
      <c r="B21" s="1479" t="s">
        <v>2767</v>
      </c>
      <c r="C21" s="1156">
        <f>IF(B21="容积率修正",IF(G3&lt;=10,D22,J22),C23)</f>
        <v>0</v>
      </c>
      <c r="D21" s="1480"/>
      <c r="E21" s="1480"/>
      <c r="F21" s="1480"/>
      <c r="G21" s="1480"/>
      <c r="H21" s="1480"/>
      <c r="I21" s="1480"/>
      <c r="J21" s="1481"/>
      <c r="K21" s="1480"/>
      <c r="L21" s="1480"/>
      <c r="M21" s="1480"/>
      <c r="N21" s="1477" t="s">
        <v>977</v>
      </c>
      <c r="O21" s="1541"/>
      <c r="P21" s="2791">
        <f>SUMPRODUCT((地价!A3:A21=YEAR(G19)&amp;"-"&amp;ROUNDUP(MONTH(G19)/3,0))*(地价!AD2:AH2=N21)*(地价!AD3:AH21))</f>
        <v>0</v>
      </c>
      <c r="R21" s="2946"/>
      <c r="S21" s="2946"/>
      <c r="T21" s="2946"/>
      <c r="U21" s="2946"/>
      <c r="V21" s="2946"/>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8" t="s">
        <v>1704</v>
      </c>
      <c r="D22" s="1058">
        <f>IF(E22=G22,F22,IF(G3&lt;=10,ROUND(F22+(H22-F22)*(G3-E22)/(G22-E22),4),"——"))</f>
        <v>0</v>
      </c>
      <c r="E22" s="1037">
        <f>ROUNDDOWN(G3,1)</f>
        <v>2.4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80"/>
      <c r="L22" s="1480"/>
      <c r="M22" s="1480"/>
      <c r="N22" s="1477" t="s">
        <v>980</v>
      </c>
      <c r="O22" s="1541"/>
      <c r="P22" s="2791">
        <f>SUMPRODUCT((地价!A3:A21=YEAR(G19)&amp;"-"&amp;ROUNDUP(MONTH(G19)/3,0))*(地价!AD2:AH2=N22)*(地价!AD3:AH21))</f>
        <v>0</v>
      </c>
      <c r="R22" s="2946"/>
      <c r="S22" s="2946"/>
      <c r="T22" s="2946"/>
      <c r="U22" s="2946"/>
      <c r="V22" s="2946"/>
      <c r="W22" s="2194"/>
      <c r="X22" s="2194"/>
      <c r="Y22" s="2194"/>
      <c r="Z22" s="2194"/>
      <c r="AA22" s="2194"/>
      <c r="AB22" s="2194"/>
      <c r="AC22" s="2194"/>
      <c r="AD22" s="1471"/>
      <c r="AE22" s="1471"/>
      <c r="AF22" s="1471"/>
      <c r="AG22" s="1471"/>
      <c r="AH22" s="1471"/>
      <c r="AI22" s="1471"/>
    </row>
    <row r="23" spans="1:40" ht="27.75" thickBot="1">
      <c r="A23" s="1642" t="s">
        <v>1873</v>
      </c>
      <c r="B23" s="1482" t="s">
        <v>981</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1">
        <f>SUMPRODUCT((地价!A3:A21=YEAR(G19)&amp;"-"&amp;ROUNDUP(MONTH(G19)/3,0))*(地价!AD2:AH2=N23)*(地价!AD3:AH21))</f>
        <v>0</v>
      </c>
      <c r="R23" s="2946"/>
      <c r="S23" s="2946"/>
      <c r="T23" s="2946"/>
      <c r="U23" s="2946"/>
      <c r="V23" s="2946"/>
      <c r="W23" s="2194"/>
      <c r="X23" s="2194"/>
      <c r="Y23" s="2194"/>
      <c r="Z23" s="2194"/>
      <c r="AA23" s="2194"/>
      <c r="AB23" s="2194"/>
      <c r="AC23" s="2194"/>
      <c r="AN23" s="1403"/>
    </row>
    <row r="24" spans="1:40" s="1420" customFormat="1" ht="15.75" thickBot="1">
      <c r="A24" s="1640" t="s">
        <v>1874</v>
      </c>
      <c r="B24" s="1414" t="s">
        <v>982</v>
      </c>
      <c r="C24" s="1060">
        <f>SUMIF(A44:A87,E2,B44:B87)</f>
        <v>0</v>
      </c>
      <c r="D24" s="1534"/>
      <c r="E24" s="1535"/>
      <c r="F24" s="1535"/>
      <c r="G24" s="1535"/>
      <c r="H24" s="1535"/>
      <c r="I24" s="1535"/>
      <c r="J24" s="1535"/>
      <c r="K24" s="1480"/>
      <c r="L24" s="1480"/>
      <c r="M24" s="1480"/>
      <c r="N24" s="1483" t="s">
        <v>983</v>
      </c>
      <c r="O24" s="1542"/>
      <c r="P24" s="1540">
        <f>SUMPRODUCT((地价!A3:A21=YEAR(G19)&amp;"-"&amp;ROUNDUP(MONTH(G19)/3,0))*(地价!AD2:AH2=N24)*(地价!AD3:AH21))</f>
        <v>0</v>
      </c>
      <c r="R24" s="2946"/>
      <c r="S24" s="2946"/>
      <c r="T24" s="2946"/>
      <c r="U24" s="2946"/>
      <c r="V24" s="2946"/>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19" t="s">
        <v>2654</v>
      </c>
      <c r="O25" s="2194"/>
      <c r="P25" s="1540">
        <f>SUMPRODUCT((地价!A3:A21=YEAR(G19)&amp;"-"&amp;ROUNDUP(MONTH(G19)/3,0))*(地价!AD2:AH2=N25)*(地价!AD3:AH21))</f>
        <v>0</v>
      </c>
      <c r="R25" s="2946"/>
      <c r="S25" s="2946"/>
      <c r="T25" s="2946"/>
      <c r="U25" s="2946"/>
      <c r="V25" s="2946"/>
      <c r="W25" s="2194"/>
      <c r="X25" s="2194"/>
      <c r="Y25" s="2194"/>
      <c r="Z25" s="2194"/>
      <c r="AA25" s="2194"/>
      <c r="AB25" s="2194"/>
      <c r="AC25" s="2194"/>
    </row>
    <row r="26" spans="1:40" ht="14.25">
      <c r="A26" s="1488"/>
      <c r="B26" s="1482" t="s">
        <v>988</v>
      </c>
      <c r="C26" s="1061" t="e">
        <f>E29+SUM(E33:E39)</f>
        <v>#DIV/0!</v>
      </c>
      <c r="D26" s="1489"/>
      <c r="E26" s="1455"/>
      <c r="F26" s="1490"/>
      <c r="G26" s="1455"/>
      <c r="H26" s="1455"/>
      <c r="I26" s="1455"/>
      <c r="J26" s="1491"/>
      <c r="K26" s="1400"/>
      <c r="L26" s="2194"/>
      <c r="M26" s="2194"/>
      <c r="N26" s="2194"/>
      <c r="O26" s="2194"/>
      <c r="P26" s="2194"/>
      <c r="Q26" s="2194"/>
      <c r="R26" s="2946"/>
      <c r="S26" s="2946"/>
      <c r="T26" s="2946"/>
      <c r="U26" s="2946"/>
      <c r="V26" s="2946"/>
      <c r="W26" s="2194"/>
      <c r="X26" s="2194"/>
      <c r="Y26" s="2194"/>
      <c r="Z26" s="2194"/>
      <c r="AA26" s="2194"/>
      <c r="AB26" s="2194"/>
      <c r="AC26" s="2194"/>
      <c r="AD26" s="1471"/>
      <c r="AE26" s="1471"/>
      <c r="AF26" s="1471"/>
      <c r="AG26" s="1471"/>
    </row>
    <row r="27" spans="1:40" ht="15" thickBot="1">
      <c r="A27" s="1488"/>
      <c r="B27" s="1492" t="s">
        <v>990</v>
      </c>
      <c r="C27" s="1062" t="e">
        <f>E30+SUM(I33:I39)</f>
        <v>#DIV/0!</v>
      </c>
      <c r="D27" s="1493"/>
      <c r="E27" s="1494"/>
      <c r="F27" s="1495"/>
      <c r="G27" s="1494"/>
      <c r="H27" s="1494"/>
      <c r="I27" s="1494"/>
      <c r="J27" s="1496"/>
      <c r="K27" s="1400"/>
      <c r="L27" s="2194"/>
      <c r="M27" s="2194"/>
      <c r="N27" s="2194"/>
      <c r="O27" s="2194"/>
      <c r="P27" s="2194"/>
      <c r="Q27" s="2194"/>
      <c r="R27" s="2946"/>
      <c r="S27" s="2946"/>
      <c r="T27" s="2946"/>
      <c r="U27" s="2946"/>
      <c r="V27" s="2946"/>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6"/>
      <c r="S28" s="2946"/>
      <c r="T28" s="2946"/>
      <c r="U28" s="2946"/>
      <c r="V28" s="2946"/>
      <c r="W28" s="2194"/>
      <c r="X28" s="2194"/>
      <c r="Y28" s="2194"/>
      <c r="Z28" s="2194"/>
      <c r="AA28" s="2194"/>
      <c r="AB28" s="2194"/>
      <c r="AC28" s="2194"/>
      <c r="AD28" s="1471"/>
      <c r="AE28" s="1471"/>
      <c r="AF28" s="1471"/>
      <c r="AG28" s="1471"/>
    </row>
    <row r="29" spans="1:40" ht="24">
      <c r="A29" s="1501"/>
      <c r="B29" s="1502" t="s">
        <v>995</v>
      </c>
      <c r="C29" s="1061" t="e">
        <f>ROUND(C5*C18*C19*C20*C21*C24,0)</f>
        <v>#DIV/0!</v>
      </c>
      <c r="D29" s="1503"/>
      <c r="E29" s="1848" t="e">
        <f>ROUND(C29*D29/10000,0)</f>
        <v>#DIV/0!</v>
      </c>
      <c r="F29" s="1504" t="s">
        <v>1703</v>
      </c>
      <c r="G29" s="1505"/>
      <c r="H29" s="1505"/>
      <c r="I29" s="1505"/>
      <c r="J29" s="1506"/>
      <c r="K29" s="1400"/>
      <c r="L29" s="2194"/>
      <c r="M29" s="2194"/>
      <c r="N29" s="2194"/>
      <c r="O29" s="2194"/>
      <c r="P29" s="2194"/>
      <c r="Q29" s="2194"/>
      <c r="R29" s="2946"/>
      <c r="S29" s="2946"/>
      <c r="T29" s="2946"/>
      <c r="U29" s="2946"/>
      <c r="V29" s="2946"/>
      <c r="W29" s="2194"/>
      <c r="X29" s="2194"/>
      <c r="Y29" s="2194"/>
      <c r="Z29" s="2194"/>
      <c r="AA29" s="2194"/>
      <c r="AB29" s="2194"/>
      <c r="AC29" s="2194"/>
      <c r="AH29" s="1401"/>
      <c r="AI29" s="1401"/>
      <c r="AJ29" s="1404"/>
      <c r="AK29" s="1404"/>
      <c r="AL29" s="1404"/>
      <c r="AM29" s="1404"/>
    </row>
    <row r="30" spans="1:40" ht="24.75" thickBot="1">
      <c r="A30" s="1507"/>
      <c r="B30" s="1508" t="s">
        <v>996</v>
      </c>
      <c r="C30" s="1049" t="e">
        <f>ROUND(IF(E2="工业",C29*M39,C29*M38),0)</f>
        <v>#DIV/0!</v>
      </c>
      <c r="D30" s="1509"/>
      <c r="E30" s="1848" t="e">
        <f>ROUND(C30*D30/10000,0)</f>
        <v>#DIV/0!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753" t="s">
        <v>2968</v>
      </c>
      <c r="B33" s="1523" t="s">
        <v>1001</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754"/>
      <c r="B34" s="1444" t="s">
        <v>1002</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754"/>
      <c r="B35" s="1444" t="s">
        <v>1003</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55"/>
      <c r="B36" s="1444" t="s">
        <v>1004</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0" t="s">
        <v>1008</v>
      </c>
      <c r="B44" s="2441"/>
      <c r="C44" s="2442"/>
      <c r="D44" s="2443"/>
      <c r="E44" s="2443"/>
      <c r="F44" s="2444"/>
      <c r="G44" s="1064"/>
      <c r="H44" s="2444"/>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5" t="s">
        <v>1009</v>
      </c>
      <c r="B45" s="2446">
        <f>1+E47</f>
        <v>1</v>
      </c>
      <c r="C45" s="2447"/>
      <c r="D45" s="2448"/>
      <c r="E45" s="2449"/>
      <c r="F45" s="2450"/>
      <c r="G45" s="2444"/>
      <c r="H45" s="2444"/>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1010</v>
      </c>
      <c r="B46" s="2429" t="s">
        <v>1011</v>
      </c>
      <c r="C46" s="2451" t="s">
        <v>1012</v>
      </c>
      <c r="D46" s="2452" t="s">
        <v>1013</v>
      </c>
      <c r="E46" s="2453" t="s">
        <v>1015</v>
      </c>
      <c r="F46" s="2454" t="s">
        <v>2253</v>
      </c>
      <c r="G46" s="2452" t="s">
        <v>1016</v>
      </c>
      <c r="H46" s="2435" t="s">
        <v>2422</v>
      </c>
      <c r="I46" s="2452" t="s">
        <v>1014</v>
      </c>
      <c r="J46" s="2455" t="s">
        <v>1017</v>
      </c>
      <c r="K46" s="2455" t="s">
        <v>1018</v>
      </c>
      <c r="L46" s="2455" t="s">
        <v>1019</v>
      </c>
      <c r="M46" s="2455" t="s">
        <v>1020</v>
      </c>
      <c r="N46" s="2455"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1025</v>
      </c>
      <c r="B50" s="3119" t="s">
        <v>2943</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1027</v>
      </c>
      <c r="B52" s="3118" t="s">
        <v>2942</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5" t="s">
        <v>1031</v>
      </c>
      <c r="B56" s="2446">
        <f>1+E58</f>
        <v>1</v>
      </c>
      <c r="C56" s="2465"/>
      <c r="D56" s="2448"/>
      <c r="E56" s="2449"/>
      <c r="F56" s="2450"/>
      <c r="G56" s="2444"/>
      <c r="H56" s="2444"/>
      <c r="I56" s="2444"/>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1010</v>
      </c>
      <c r="B57" s="2429"/>
      <c r="C57" s="2451" t="s">
        <v>1012</v>
      </c>
      <c r="D57" s="2452" t="s">
        <v>1013</v>
      </c>
      <c r="E57" s="2453" t="s">
        <v>1015</v>
      </c>
      <c r="F57" s="2454" t="s">
        <v>2254</v>
      </c>
      <c r="G57" s="2452" t="s">
        <v>1016</v>
      </c>
      <c r="H57" s="2435" t="s">
        <v>2422</v>
      </c>
      <c r="I57" s="2452" t="s">
        <v>1014</v>
      </c>
      <c r="J57" s="2455" t="s">
        <v>1017</v>
      </c>
      <c r="K57" s="2455" t="s">
        <v>1018</v>
      </c>
      <c r="L57" s="2455" t="s">
        <v>1019</v>
      </c>
      <c r="M57" s="2455" t="s">
        <v>1020</v>
      </c>
      <c r="N57" s="2455"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1025</v>
      </c>
      <c r="B61" s="3119" t="s">
        <v>2944</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1027</v>
      </c>
      <c r="B63" s="3118" t="s">
        <v>2942</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5" t="s">
        <v>1033</v>
      </c>
      <c r="B67" s="2446">
        <f>1+E69</f>
        <v>1</v>
      </c>
      <c r="C67" s="2465"/>
      <c r="D67" s="2448"/>
      <c r="E67" s="2449"/>
      <c r="F67" s="2450"/>
      <c r="G67" s="2444"/>
      <c r="H67" s="2444"/>
      <c r="I67" s="2444"/>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1010</v>
      </c>
      <c r="B68" s="2429"/>
      <c r="C68" s="2451" t="s">
        <v>1012</v>
      </c>
      <c r="D68" s="2452" t="s">
        <v>1013</v>
      </c>
      <c r="E68" s="2453" t="s">
        <v>1015</v>
      </c>
      <c r="F68" s="2454" t="s">
        <v>2255</v>
      </c>
      <c r="G68" s="2452" t="s">
        <v>1016</v>
      </c>
      <c r="H68" s="2435" t="s">
        <v>2422</v>
      </c>
      <c r="I68" s="2452" t="s">
        <v>1014</v>
      </c>
      <c r="J68" s="2455" t="s">
        <v>1017</v>
      </c>
      <c r="K68" s="2455" t="s">
        <v>1018</v>
      </c>
      <c r="L68" s="2455" t="s">
        <v>1019</v>
      </c>
      <c r="M68" s="2455" t="s">
        <v>1020</v>
      </c>
      <c r="N68" s="2455"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1027</v>
      </c>
      <c r="B75" s="3118" t="s">
        <v>2942</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2" t="s">
        <v>1037</v>
      </c>
      <c r="B77" s="1849"/>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1038</v>
      </c>
      <c r="B78" s="2446">
        <f>1+E80</f>
        <v>1</v>
      </c>
      <c r="C78" s="2465"/>
      <c r="D78" s="2448"/>
      <c r="E78" s="2449"/>
      <c r="F78" s="2450"/>
      <c r="G78" s="2444"/>
      <c r="H78" s="2444"/>
      <c r="I78" s="2444"/>
      <c r="J78" s="1064"/>
      <c r="K78" s="1064"/>
      <c r="L78" s="1064"/>
      <c r="M78" s="1064"/>
      <c r="N78" s="1064"/>
      <c r="AC78" s="1404"/>
      <c r="AD78" s="1403"/>
      <c r="AJ78" s="1402"/>
      <c r="AN78" s="1403"/>
    </row>
    <row r="79" spans="1:40" ht="24">
      <c r="A79" s="1065" t="s">
        <v>1010</v>
      </c>
      <c r="B79" s="2429"/>
      <c r="C79" s="2451" t="s">
        <v>1012</v>
      </c>
      <c r="D79" s="2452" t="s">
        <v>1013</v>
      </c>
      <c r="E79" s="2453" t="s">
        <v>1015</v>
      </c>
      <c r="F79" s="2454" t="s">
        <v>2256</v>
      </c>
      <c r="G79" s="2452" t="s">
        <v>1016</v>
      </c>
      <c r="H79" s="2435" t="s">
        <v>2422</v>
      </c>
      <c r="I79" s="2452" t="s">
        <v>1014</v>
      </c>
      <c r="J79" s="2455" t="s">
        <v>1017</v>
      </c>
      <c r="K79" s="2455" t="s">
        <v>1018</v>
      </c>
      <c r="L79" s="2455" t="s">
        <v>1019</v>
      </c>
      <c r="M79" s="2455" t="s">
        <v>1020</v>
      </c>
      <c r="N79" s="2455" t="s">
        <v>1021</v>
      </c>
      <c r="AC79" s="1404"/>
      <c r="AD79" s="1403"/>
      <c r="AJ79" s="1402"/>
      <c r="AN79" s="1403"/>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5" t="s">
        <v>1027</v>
      </c>
      <c r="B86" s="3118" t="s">
        <v>2942</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751" t="s">
        <v>1635</v>
      </c>
      <c r="B90" s="3751"/>
      <c r="C90" s="3751"/>
      <c r="D90" s="3751"/>
      <c r="E90" s="3751"/>
      <c r="F90" s="3751"/>
      <c r="G90" s="3751"/>
      <c r="H90" s="3751"/>
      <c r="I90" s="3751"/>
      <c r="J90" s="3751"/>
      <c r="K90" s="2471"/>
      <c r="L90" s="2471"/>
      <c r="M90" s="2471"/>
      <c r="N90" s="2471"/>
    </row>
    <row r="91" spans="1:40">
      <c r="A91" s="3752" t="s">
        <v>1445</v>
      </c>
      <c r="B91" s="3752" t="s">
        <v>1636</v>
      </c>
      <c r="C91" s="1138" t="s">
        <v>1637</v>
      </c>
      <c r="D91" s="1139"/>
      <c r="E91" s="1139"/>
      <c r="F91" s="1139"/>
      <c r="G91" s="1139"/>
      <c r="H91" s="1139"/>
      <c r="I91" s="1139"/>
      <c r="J91" s="1140"/>
      <c r="K91" s="1132"/>
      <c r="L91" s="1132"/>
      <c r="M91" s="1132"/>
      <c r="N91" s="1132"/>
    </row>
    <row r="92" spans="1:40">
      <c r="A92" s="3752"/>
      <c r="B92" s="3752"/>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759" t="s">
        <v>2770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6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6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6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6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6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60"/>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6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59" t="s">
        <v>1639</v>
      </c>
      <c r="B101" s="1145" t="s">
        <v>907</v>
      </c>
      <c r="C101" s="1146">
        <f>$G$3</f>
        <v>2.4500000000000002</v>
      </c>
      <c r="D101" s="1146">
        <f t="shared" ref="D101:N101" si="31">$G$3</f>
        <v>2.4500000000000002</v>
      </c>
      <c r="E101" s="1146">
        <f t="shared" si="31"/>
        <v>2.4500000000000002</v>
      </c>
      <c r="F101" s="1146">
        <f t="shared" si="31"/>
        <v>2.4500000000000002</v>
      </c>
      <c r="G101" s="1146">
        <f t="shared" si="31"/>
        <v>2.4500000000000002</v>
      </c>
      <c r="H101" s="1146">
        <f t="shared" si="31"/>
        <v>2.4500000000000002</v>
      </c>
      <c r="I101" s="1146">
        <f t="shared" si="31"/>
        <v>2.4500000000000002</v>
      </c>
      <c r="J101" s="1146">
        <f t="shared" si="31"/>
        <v>2.4500000000000002</v>
      </c>
      <c r="K101" s="1146">
        <f t="shared" si="31"/>
        <v>2.4500000000000002</v>
      </c>
      <c r="L101" s="1146">
        <f t="shared" si="31"/>
        <v>2.4500000000000002</v>
      </c>
      <c r="M101" s="1146">
        <f t="shared" si="31"/>
        <v>2.4500000000000002</v>
      </c>
      <c r="N101" s="1146">
        <f t="shared" si="31"/>
        <v>2.4500000000000002</v>
      </c>
    </row>
    <row r="102" spans="1:14">
      <c r="A102" s="3760"/>
      <c r="B102" s="1141">
        <v>1</v>
      </c>
      <c r="C102" s="1142">
        <f>1.9362/C101</f>
        <v>0.79028571428571415</v>
      </c>
      <c r="D102" s="1142">
        <f>1.9362/D101</f>
        <v>0.79028571428571415</v>
      </c>
      <c r="E102" s="1142">
        <f>1.8629/E101</f>
        <v>0.7603673469387755</v>
      </c>
      <c r="F102" s="1142">
        <f>1.8629/F101</f>
        <v>0.7603673469387755</v>
      </c>
      <c r="G102" s="1142">
        <f>1.8629/G101</f>
        <v>0.7603673469387755</v>
      </c>
      <c r="H102" s="1142">
        <f>1.8629/H101</f>
        <v>0.7603673469387755</v>
      </c>
      <c r="I102" s="1142">
        <f>1.8629/I101</f>
        <v>0.7603673469387755</v>
      </c>
      <c r="J102" s="1142">
        <f>1.942/J101</f>
        <v>0.79265306122448975</v>
      </c>
      <c r="K102" s="1142">
        <f>1.942/K101</f>
        <v>0.79265306122448975</v>
      </c>
      <c r="L102" s="1142">
        <f>1.942/L101</f>
        <v>0.79265306122448975</v>
      </c>
      <c r="M102" s="1142">
        <f>1.942/M101</f>
        <v>0.79265306122448975</v>
      </c>
      <c r="N102" s="1142">
        <f>1.942/N101</f>
        <v>0.79265306122448975</v>
      </c>
    </row>
    <row r="103" spans="1:14">
      <c r="A103" s="3760"/>
      <c r="B103" s="1141">
        <v>2</v>
      </c>
      <c r="C103" s="1142">
        <f>1.4198/C101</f>
        <v>0.57951020408163256</v>
      </c>
      <c r="D103" s="1142">
        <f>1.4198/D101</f>
        <v>0.57951020408163256</v>
      </c>
      <c r="E103" s="1142">
        <f>1.3372/E101</f>
        <v>0.54579591836734687</v>
      </c>
      <c r="F103" s="1142">
        <f>1.3372/F101</f>
        <v>0.54579591836734687</v>
      </c>
      <c r="G103" s="1142">
        <f>1.3372/G101</f>
        <v>0.54579591836734687</v>
      </c>
      <c r="H103" s="1142">
        <f>1.3372/H101</f>
        <v>0.54579591836734687</v>
      </c>
      <c r="I103" s="1142">
        <f>1.3372/I101</f>
        <v>0.54579591836734687</v>
      </c>
      <c r="J103" s="1142">
        <f>1.2799/J101</f>
        <v>0.52240816326530615</v>
      </c>
      <c r="K103" s="1142">
        <f>1.2799/K101</f>
        <v>0.52240816326530615</v>
      </c>
      <c r="L103" s="1142">
        <f>1.2799/L101</f>
        <v>0.52240816326530615</v>
      </c>
      <c r="M103" s="1142">
        <f>1.2799/M101</f>
        <v>0.52240816326530615</v>
      </c>
      <c r="N103" s="1142">
        <f>1.2799/N101</f>
        <v>0.52240816326530615</v>
      </c>
    </row>
    <row r="104" spans="1:14">
      <c r="A104" s="3760"/>
      <c r="B104" s="1141">
        <v>3</v>
      </c>
      <c r="C104" s="1142">
        <f>1.1594/C101</f>
        <v>0.4732244897959183</v>
      </c>
      <c r="D104" s="1142">
        <f>1.1594/D101</f>
        <v>0.4732244897959183</v>
      </c>
      <c r="E104" s="1142">
        <f>1.0788/E101</f>
        <v>0.44032653061224486</v>
      </c>
      <c r="F104" s="1142">
        <f>1.0788/F101</f>
        <v>0.44032653061224486</v>
      </c>
      <c r="G104" s="1142">
        <f>1.0788/G101</f>
        <v>0.44032653061224486</v>
      </c>
      <c r="H104" s="1142">
        <f>1.0788/H101</f>
        <v>0.44032653061224486</v>
      </c>
      <c r="I104" s="1142">
        <f>1.0788/I101</f>
        <v>0.44032653061224486</v>
      </c>
      <c r="J104" s="1142">
        <f>1.0072/J101</f>
        <v>0.41110204081632656</v>
      </c>
      <c r="K104" s="1142">
        <f>1.0072/K101</f>
        <v>0.41110204081632656</v>
      </c>
      <c r="L104" s="1142">
        <f>1.0072/L101</f>
        <v>0.41110204081632656</v>
      </c>
      <c r="M104" s="1142">
        <f>1.0072/M101</f>
        <v>0.41110204081632656</v>
      </c>
      <c r="N104" s="1142">
        <f>1.0072/N101</f>
        <v>0.41110204081632656</v>
      </c>
    </row>
    <row r="105" spans="1:14">
      <c r="A105" s="3760"/>
      <c r="B105" s="1141">
        <v>4</v>
      </c>
      <c r="C105" s="1142">
        <f>0.9622/C101</f>
        <v>0.392734693877551</v>
      </c>
      <c r="D105" s="1142">
        <f>0.9622/D101</f>
        <v>0.392734693877551</v>
      </c>
      <c r="E105" s="1142">
        <f>0.8656/E101</f>
        <v>0.35330612244897958</v>
      </c>
      <c r="F105" s="1142">
        <f>0.8656/F101</f>
        <v>0.35330612244897958</v>
      </c>
      <c r="G105" s="1142">
        <f>0.8656/G101</f>
        <v>0.35330612244897958</v>
      </c>
      <c r="H105" s="1142">
        <f>0.8656/H101</f>
        <v>0.35330612244897958</v>
      </c>
      <c r="I105" s="1142">
        <f>0.8656/I101</f>
        <v>0.35330612244897958</v>
      </c>
      <c r="J105" s="1142">
        <f>0.7525/J101</f>
        <v>0.30714285714285711</v>
      </c>
      <c r="K105" s="1142">
        <f>0.7525/K101</f>
        <v>0.30714285714285711</v>
      </c>
      <c r="L105" s="1142">
        <f>0.7525/L101</f>
        <v>0.30714285714285711</v>
      </c>
      <c r="M105" s="1142">
        <f>0.7525/M101</f>
        <v>0.30714285714285711</v>
      </c>
      <c r="N105" s="1142">
        <f>0.7525/N101</f>
        <v>0.30714285714285711</v>
      </c>
    </row>
    <row r="106" spans="1:14">
      <c r="A106" s="3760"/>
      <c r="B106" s="1141">
        <v>5</v>
      </c>
      <c r="C106" s="1142">
        <f>0.8417/C101</f>
        <v>0.34355102040816327</v>
      </c>
      <c r="D106" s="1142">
        <f>0.8417/D101</f>
        <v>0.34355102040816327</v>
      </c>
      <c r="E106" s="1142">
        <f>0.7371/E101</f>
        <v>0.30085714285714282</v>
      </c>
      <c r="F106" s="1142">
        <f>0.7371/F101</f>
        <v>0.30085714285714282</v>
      </c>
      <c r="G106" s="1142">
        <f>0.7371/G101</f>
        <v>0.30085714285714282</v>
      </c>
      <c r="H106" s="1142">
        <f>0.7371/H101</f>
        <v>0.30085714285714282</v>
      </c>
      <c r="I106" s="1142">
        <f>0.7371/I101</f>
        <v>0.30085714285714282</v>
      </c>
      <c r="J106" s="1142">
        <f>0.5659/J101</f>
        <v>0.23097959183673467</v>
      </c>
      <c r="K106" s="1142">
        <f>0.5659/K101</f>
        <v>0.23097959183673467</v>
      </c>
      <c r="L106" s="1142">
        <f>0.5659/L101</f>
        <v>0.23097959183673467</v>
      </c>
      <c r="M106" s="1142">
        <f>0.5659/M101</f>
        <v>0.23097959183673467</v>
      </c>
      <c r="N106" s="1142">
        <f>0.5659/N101</f>
        <v>0.23097959183673467</v>
      </c>
    </row>
    <row r="107" spans="1:14">
      <c r="A107" s="3760"/>
      <c r="B107" s="1141">
        <v>6</v>
      </c>
      <c r="C107" s="1142">
        <f>0.7608/C101</f>
        <v>0.31053061224489797</v>
      </c>
      <c r="D107" s="1142">
        <f>0.7608/D101</f>
        <v>0.31053061224489797</v>
      </c>
      <c r="E107" s="1142">
        <f>0.6482/E101</f>
        <v>0.26457142857142857</v>
      </c>
      <c r="F107" s="1142">
        <f>0.6482/F101</f>
        <v>0.26457142857142857</v>
      </c>
      <c r="G107" s="1142">
        <f>0.6482/G101</f>
        <v>0.26457142857142857</v>
      </c>
      <c r="H107" s="1142">
        <f>0.6482/H101</f>
        <v>0.26457142857142857</v>
      </c>
      <c r="I107" s="1142">
        <f>0.6482/I101</f>
        <v>0.26457142857142857</v>
      </c>
      <c r="J107" s="1142">
        <f>0.4525/J101</f>
        <v>0.1846938775510204</v>
      </c>
      <c r="K107" s="1142">
        <f>0.4525/K101</f>
        <v>0.1846938775510204</v>
      </c>
      <c r="L107" s="1142">
        <f>0.4525/L101</f>
        <v>0.1846938775510204</v>
      </c>
      <c r="M107" s="1142">
        <f>0.4525/M101</f>
        <v>0.1846938775510204</v>
      </c>
      <c r="N107" s="1142">
        <f>0.4525/N101</f>
        <v>0.1846938775510204</v>
      </c>
    </row>
    <row r="108" spans="1:14">
      <c r="A108" s="3760"/>
      <c r="B108" s="3762"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61"/>
      <c r="B109" s="3763"/>
      <c r="C109" s="1144">
        <f>(-0.163*(C108^2)-0.59*C108+7617)*(10^(-4))/C101</f>
        <v>0.31027951020408162</v>
      </c>
      <c r="D109" s="1144">
        <f>(-0.163*(D108^2)-0.59*D108+7617)*(10^(-4))/D101</f>
        <v>0.31027951020408162</v>
      </c>
      <c r="E109" s="1144">
        <f>(-0.161*(E108^2)-7.509*E108+6533)*(10^(-4))/E101</f>
        <v>0.26378057142857142</v>
      </c>
      <c r="F109" s="1144">
        <f>(-0.161*(F108^2)-7.509*F108+6533)*(10^(-4))/F101</f>
        <v>0.26378057142857142</v>
      </c>
      <c r="G109" s="1144">
        <f>(-0.161*(G108^2)-7.509*G108+6533)*(10^(-4))/G101</f>
        <v>0.26378057142857142</v>
      </c>
      <c r="H109" s="1144">
        <f>(-0.161*(H108^2)-7.509*H108+6533)*(10^(-4))/H101</f>
        <v>0.26378057142857142</v>
      </c>
      <c r="I109" s="1144">
        <f>(-0.161*(I108^2)-7.509*I108+6533)*(10^(-4))/I101</f>
        <v>0.26378057142857142</v>
      </c>
      <c r="J109" s="1144">
        <f>(-0.214*(J108^2)-21.991*J108+4665)*(10^(-4))/J101</f>
        <v>0.18266840816326529</v>
      </c>
      <c r="K109" s="1144">
        <f>(-0.214*(K108^2)-21.991*K108+4665)*(10^(-4))/K101</f>
        <v>0.18266840816326529</v>
      </c>
      <c r="L109" s="1144">
        <f>(-0.214*(L108^2)-21.991*L108+4665)*(10^(-4))/L101</f>
        <v>0.18266840816326529</v>
      </c>
      <c r="M109" s="1144">
        <f>(-0.214*(M108^2)-21.991*M108+4665)*(10^(-4))/M101</f>
        <v>0.18266840816326529</v>
      </c>
      <c r="N109" s="1144">
        <f>(-0.214*(N108^2)-21.991*N108+4665)*(10^(-4))/N101</f>
        <v>0.18266840816326529</v>
      </c>
    </row>
    <row r="110" spans="1:14">
      <c r="A110" s="3746" t="s">
        <v>1641</v>
      </c>
      <c r="B110" s="3746"/>
      <c r="C110" s="3746"/>
      <c r="D110" s="3746"/>
      <c r="E110" s="3746"/>
      <c r="F110" s="3746"/>
      <c r="G110" s="3746"/>
      <c r="H110" s="3746"/>
      <c r="I110" s="3746"/>
      <c r="J110" s="3746"/>
      <c r="K110" s="2469"/>
      <c r="L110" s="2469"/>
      <c r="M110" s="2469"/>
      <c r="N110" s="2469"/>
    </row>
    <row r="112" spans="1:14" ht="12.75" thickBot="1"/>
    <row r="113" spans="1:13" ht="25.5" thickBot="1">
      <c r="A113" s="1014" t="s">
        <v>897</v>
      </c>
      <c r="B113" s="2472">
        <f>G3</f>
        <v>2.4500000000000002</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0.91049999999999998</v>
      </c>
      <c r="C115" s="1028">
        <f>B115</f>
        <v>0.91049999999999998</v>
      </c>
      <c r="D115" s="1028">
        <f>ROUND(0.8331-0.0109*B113,4)</f>
        <v>0.80640000000000001</v>
      </c>
      <c r="E115" s="1028">
        <f>D115</f>
        <v>0.80640000000000001</v>
      </c>
      <c r="F115" s="1028">
        <f>E115</f>
        <v>0.80640000000000001</v>
      </c>
      <c r="G115" s="1028">
        <f>F115</f>
        <v>0.80640000000000001</v>
      </c>
      <c r="H115" s="1028">
        <f>G115</f>
        <v>0.80640000000000001</v>
      </c>
      <c r="I115" s="1028">
        <f>ROUND(0.689-0.0155*B113,4)</f>
        <v>0.65100000000000002</v>
      </c>
      <c r="J115" s="1028">
        <f t="shared" ref="J115:M118" si="33">I115</f>
        <v>0.65100000000000002</v>
      </c>
      <c r="K115" s="1028">
        <f t="shared" si="33"/>
        <v>0.65100000000000002</v>
      </c>
      <c r="L115" s="1028">
        <f t="shared" si="33"/>
        <v>0.65100000000000002</v>
      </c>
      <c r="M115" s="1029">
        <f t="shared" si="33"/>
        <v>0.65100000000000002</v>
      </c>
    </row>
    <row r="116" spans="1:13" ht="12.75">
      <c r="A116" s="1027" t="s">
        <v>902</v>
      </c>
      <c r="B116" s="1028">
        <f>ROUND(0.949-0.012*B113,4)</f>
        <v>0.91959999999999997</v>
      </c>
      <c r="C116" s="1028">
        <f>B116</f>
        <v>0.91959999999999997</v>
      </c>
      <c r="D116" s="1028">
        <f>ROUND(0.8567-0.013*B113,4)</f>
        <v>0.82489999999999997</v>
      </c>
      <c r="E116" s="1028">
        <f t="shared" ref="E116:H117" si="34">D116</f>
        <v>0.82489999999999997</v>
      </c>
      <c r="F116" s="1028">
        <f t="shared" si="34"/>
        <v>0.82489999999999997</v>
      </c>
      <c r="G116" s="1028">
        <f t="shared" si="34"/>
        <v>0.82489999999999997</v>
      </c>
      <c r="H116" s="1028">
        <f t="shared" si="34"/>
        <v>0.82489999999999997</v>
      </c>
      <c r="I116" s="1028">
        <f>ROUND(0.7694-0.014*B113,4)</f>
        <v>0.73509999999999998</v>
      </c>
      <c r="J116" s="1028">
        <f t="shared" si="33"/>
        <v>0.73509999999999998</v>
      </c>
      <c r="K116" s="1028">
        <f t="shared" si="33"/>
        <v>0.73509999999999998</v>
      </c>
      <c r="L116" s="1028">
        <f t="shared" si="33"/>
        <v>0.73509999999999998</v>
      </c>
      <c r="M116" s="1029">
        <f t="shared" si="33"/>
        <v>0.73509999999999998</v>
      </c>
    </row>
    <row r="117" spans="1:13" ht="12.75">
      <c r="A117" s="1030" t="s">
        <v>903</v>
      </c>
      <c r="B117" s="1028">
        <f>ROUND(0.8808-0.006*B113,4)</f>
        <v>0.86609999999999998</v>
      </c>
      <c r="C117" s="1028">
        <f>B117</f>
        <v>0.86609999999999998</v>
      </c>
      <c r="D117" s="1028">
        <f>ROUND(0.8748-0.008*B113,4)</f>
        <v>0.85519999999999996</v>
      </c>
      <c r="E117" s="1028">
        <f t="shared" si="34"/>
        <v>0.85519999999999996</v>
      </c>
      <c r="F117" s="1028">
        <f t="shared" si="34"/>
        <v>0.85519999999999996</v>
      </c>
      <c r="G117" s="1028">
        <f t="shared" si="34"/>
        <v>0.85519999999999996</v>
      </c>
      <c r="H117" s="1028">
        <f t="shared" si="34"/>
        <v>0.85519999999999996</v>
      </c>
      <c r="I117" s="1028">
        <f>ROUND(0.7412-0.0095*B113,4)</f>
        <v>0.71789999999999998</v>
      </c>
      <c r="J117" s="1028">
        <f t="shared" si="33"/>
        <v>0.71789999999999998</v>
      </c>
      <c r="K117" s="1028">
        <f t="shared" si="33"/>
        <v>0.71789999999999998</v>
      </c>
      <c r="L117" s="1028">
        <f t="shared" si="33"/>
        <v>0.71789999999999998</v>
      </c>
      <c r="M117" s="1029">
        <f t="shared" si="33"/>
        <v>0.71789999999999998</v>
      </c>
    </row>
    <row r="118" spans="1:13" ht="13.5" thickBot="1">
      <c r="A118" s="1031" t="s">
        <v>904</v>
      </c>
      <c r="B118" s="1032">
        <f>ROUND(0.7275-0.01*B113,4)</f>
        <v>0.70299999999999996</v>
      </c>
      <c r="C118" s="1032">
        <f>B118</f>
        <v>0.70299999999999996</v>
      </c>
      <c r="D118" s="1032">
        <f>ROUND(0.7043-0.012*B113,4)</f>
        <v>0.67490000000000006</v>
      </c>
      <c r="E118" s="1032">
        <f>D118</f>
        <v>0.67490000000000006</v>
      </c>
      <c r="F118" s="1032">
        <f>E118</f>
        <v>0.67490000000000006</v>
      </c>
      <c r="G118" s="1032">
        <f>ROUND(0.6299-0.0122*B113,4)</f>
        <v>0.6</v>
      </c>
      <c r="H118" s="1032">
        <f>G118</f>
        <v>0.6</v>
      </c>
      <c r="I118" s="1032">
        <f>ROUND(0.5667-0.0136*B113,4)</f>
        <v>0.53339999999999999</v>
      </c>
      <c r="J118" s="1032">
        <f t="shared" si="33"/>
        <v>0.53339999999999999</v>
      </c>
      <c r="K118" s="1032">
        <f t="shared" si="33"/>
        <v>0.53339999999999999</v>
      </c>
      <c r="L118" s="1032">
        <f t="shared" si="33"/>
        <v>0.53339999999999999</v>
      </c>
      <c r="M118" s="1033">
        <f t="shared" si="33"/>
        <v>0.53339999999999999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70" priority="5" stopIfTrue="1" operator="notEqual">
      <formula>"——"</formula>
    </cfRule>
  </conditionalFormatting>
  <conditionalFormatting sqref="F58">
    <cfRule type="cellIs" dxfId="69" priority="4" stopIfTrue="1" operator="notEqual">
      <formula>"——"</formula>
    </cfRule>
  </conditionalFormatting>
  <conditionalFormatting sqref="F69">
    <cfRule type="cellIs" dxfId="68" priority="3" stopIfTrue="1" operator="notEqual">
      <formula>"——"</formula>
    </cfRule>
  </conditionalFormatting>
  <conditionalFormatting sqref="F80">
    <cfRule type="cellIs" dxfId="67" priority="2" stopIfTrue="1" operator="notEqual">
      <formula>"——"</formula>
    </cfRule>
  </conditionalFormatting>
  <conditionalFormatting sqref="H58:H66 H47:H55 H69:H77 H80:H87">
    <cfRule type="cellIs" dxfId="6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8" customFormat="1" ht="19.5" customHeight="1">
      <c r="A18" s="3752" t="s">
        <v>1009</v>
      </c>
      <c r="B18" s="1152" t="s">
        <v>1448</v>
      </c>
      <c r="C18" s="1129" t="s">
        <v>1449</v>
      </c>
      <c r="D18" s="1130"/>
      <c r="E18" s="1152">
        <v>1</v>
      </c>
      <c r="F18" s="1131" t="s">
        <v>1450</v>
      </c>
      <c r="G18" s="1132"/>
      <c r="H18" s="1103"/>
      <c r="I18" s="1103"/>
    </row>
    <row r="19" spans="1:9" s="1598" customFormat="1" ht="19.5" customHeight="1">
      <c r="A19" s="3752"/>
      <c r="B19" s="3752" t="s">
        <v>1451</v>
      </c>
      <c r="C19" s="1129" t="s">
        <v>1452</v>
      </c>
      <c r="D19" s="1130"/>
      <c r="E19" s="1152">
        <v>0.9</v>
      </c>
      <c r="F19" s="1131" t="s">
        <v>1453</v>
      </c>
      <c r="G19" s="1132"/>
      <c r="H19" s="1103"/>
      <c r="I19" s="1103"/>
    </row>
    <row r="20" spans="1:9" s="1598" customFormat="1" ht="19.5" customHeight="1">
      <c r="A20" s="3752"/>
      <c r="B20" s="3752"/>
      <c r="C20" s="1129" t="s">
        <v>1454</v>
      </c>
      <c r="D20" s="1130"/>
      <c r="E20" s="1152">
        <v>1.1000000000000001</v>
      </c>
      <c r="F20" s="1131" t="s">
        <v>1455</v>
      </c>
      <c r="G20" s="1132"/>
      <c r="H20" s="1103"/>
      <c r="I20" s="1103"/>
    </row>
    <row r="21" spans="1:9" s="1598" customFormat="1" ht="19.5" customHeight="1">
      <c r="A21" s="3752"/>
      <c r="B21" s="3752"/>
      <c r="C21" s="1129" t="s">
        <v>1456</v>
      </c>
      <c r="D21" s="1130"/>
      <c r="E21" s="1152">
        <v>0.8</v>
      </c>
      <c r="F21" s="1131" t="s">
        <v>1457</v>
      </c>
      <c r="G21" s="1132"/>
      <c r="H21" s="1103"/>
      <c r="I21" s="1103"/>
    </row>
    <row r="22" spans="1:9" s="1598" customFormat="1" ht="19.5" customHeight="1">
      <c r="A22" s="3752"/>
      <c r="B22" s="3752"/>
      <c r="C22" s="1129" t="s">
        <v>1458</v>
      </c>
      <c r="D22" s="1130"/>
      <c r="E22" s="1152">
        <v>0.5</v>
      </c>
      <c r="F22" s="1131"/>
      <c r="G22" s="1132"/>
      <c r="H22" s="1103"/>
      <c r="I22" s="1103"/>
    </row>
    <row r="23" spans="1:9" s="1598" customFormat="1" ht="19.5" customHeight="1">
      <c r="A23" s="3752" t="s">
        <v>1031</v>
      </c>
      <c r="B23" s="1152" t="s">
        <v>1448</v>
      </c>
      <c r="C23" s="1129" t="s">
        <v>1459</v>
      </c>
      <c r="D23" s="1130"/>
      <c r="E23" s="1152">
        <v>1</v>
      </c>
      <c r="F23" s="1131" t="s">
        <v>1460</v>
      </c>
      <c r="G23" s="1132"/>
      <c r="H23" s="1103"/>
      <c r="I23" s="1103"/>
    </row>
    <row r="24" spans="1:9" s="1598" customFormat="1" ht="19.5" customHeight="1">
      <c r="A24" s="3752"/>
      <c r="B24" s="3752" t="s">
        <v>1451</v>
      </c>
      <c r="C24" s="1129" t="s">
        <v>1461</v>
      </c>
      <c r="D24" s="1130"/>
      <c r="E24" s="1152">
        <v>0.5</v>
      </c>
      <c r="F24" s="1131"/>
      <c r="G24" s="1132"/>
      <c r="H24" s="1103"/>
      <c r="I24" s="1103"/>
    </row>
    <row r="25" spans="1:9" s="1598" customFormat="1" ht="19.5" customHeight="1">
      <c r="A25" s="3752"/>
      <c r="B25" s="3752"/>
      <c r="C25" s="1129" t="s">
        <v>1462</v>
      </c>
      <c r="D25" s="1130"/>
      <c r="E25" s="1152">
        <v>1.1000000000000001</v>
      </c>
      <c r="F25" s="1131"/>
      <c r="G25" s="1132"/>
      <c r="H25" s="1103"/>
      <c r="I25" s="1103"/>
    </row>
    <row r="26" spans="1:9" s="1598" customFormat="1" ht="19.5" customHeight="1">
      <c r="A26" s="3752"/>
      <c r="B26" s="3752"/>
      <c r="C26" s="1129" t="s">
        <v>1463</v>
      </c>
      <c r="D26" s="1130"/>
      <c r="E26" s="1152">
        <v>1.1000000000000001</v>
      </c>
      <c r="F26" s="1131"/>
      <c r="G26" s="1132"/>
      <c r="H26" s="1103"/>
      <c r="I26" s="1103"/>
    </row>
    <row r="27" spans="1:9" s="1598" customFormat="1" ht="19.5" customHeight="1">
      <c r="A27" s="3752"/>
      <c r="B27" s="3752"/>
      <c r="C27" s="1129" t="s">
        <v>1464</v>
      </c>
      <c r="D27" s="1130"/>
      <c r="E27" s="1152">
        <v>0.9</v>
      </c>
      <c r="F27" s="1131" t="s">
        <v>1465</v>
      </c>
      <c r="G27" s="1132"/>
      <c r="H27" s="1103"/>
      <c r="I27" s="1103"/>
    </row>
    <row r="28" spans="1:9" s="1598" customFormat="1" ht="19.5" customHeight="1">
      <c r="A28" s="3752"/>
      <c r="B28" s="3752"/>
      <c r="C28" s="1129" t="s">
        <v>1466</v>
      </c>
      <c r="D28" s="1130"/>
      <c r="E28" s="1152">
        <v>0.9</v>
      </c>
      <c r="F28" s="1131" t="s">
        <v>1467</v>
      </c>
      <c r="G28" s="1132"/>
      <c r="H28" s="1103"/>
      <c r="I28" s="1103"/>
    </row>
    <row r="29" spans="1:9" s="1598" customFormat="1" ht="19.5" customHeight="1">
      <c r="A29" s="3752"/>
      <c r="B29" s="3752"/>
      <c r="C29" s="1129" t="s">
        <v>1468</v>
      </c>
      <c r="D29" s="1130"/>
      <c r="E29" s="1152">
        <v>0.9</v>
      </c>
      <c r="F29" s="1131" t="s">
        <v>1469</v>
      </c>
      <c r="G29" s="1132"/>
      <c r="H29" s="1103"/>
      <c r="I29" s="1103"/>
    </row>
    <row r="30" spans="1:9" s="1598" customFormat="1" ht="19.5" customHeight="1">
      <c r="A30" s="3752"/>
      <c r="B30" s="3752"/>
      <c r="C30" s="1129" t="s">
        <v>1470</v>
      </c>
      <c r="D30" s="1130"/>
      <c r="E30" s="1152">
        <v>0.9</v>
      </c>
      <c r="F30" s="1131" t="s">
        <v>1471</v>
      </c>
      <c r="G30" s="1132"/>
      <c r="H30" s="1103"/>
      <c r="I30" s="1103"/>
    </row>
    <row r="31" spans="1:9" s="1598" customFormat="1" ht="19.5" customHeight="1">
      <c r="A31" s="3752"/>
      <c r="B31" s="3752"/>
      <c r="C31" s="1129" t="s">
        <v>1472</v>
      </c>
      <c r="D31" s="1130"/>
      <c r="E31" s="1152">
        <v>0.8</v>
      </c>
      <c r="F31" s="1131" t="s">
        <v>1473</v>
      </c>
      <c r="G31" s="1132"/>
      <c r="H31" s="1103"/>
      <c r="I31" s="1103"/>
    </row>
    <row r="32" spans="1:9" s="1598" customFormat="1" ht="19.5" customHeight="1">
      <c r="A32" s="3752"/>
      <c r="B32" s="3752"/>
      <c r="C32" s="1129" t="s">
        <v>1474</v>
      </c>
      <c r="D32" s="1130"/>
      <c r="E32" s="1152">
        <v>0.8</v>
      </c>
      <c r="F32" s="1131" t="s">
        <v>1475</v>
      </c>
      <c r="G32" s="1132"/>
      <c r="H32" s="1103"/>
      <c r="I32" s="1103"/>
    </row>
    <row r="33" spans="1:9" s="1598" customFormat="1" ht="19.5" customHeight="1">
      <c r="A33" s="3752" t="s">
        <v>1476</v>
      </c>
      <c r="B33" s="1152" t="s">
        <v>1448</v>
      </c>
      <c r="C33" s="1129" t="s">
        <v>1477</v>
      </c>
      <c r="D33" s="1130"/>
      <c r="E33" s="1152">
        <v>1</v>
      </c>
      <c r="F33" s="1131" t="s">
        <v>1478</v>
      </c>
      <c r="G33" s="1132"/>
      <c r="H33" s="1103"/>
      <c r="I33" s="1103"/>
    </row>
    <row r="34" spans="1:9" s="1598" customFormat="1" ht="19.5" customHeight="1">
      <c r="A34" s="3752"/>
      <c r="B34" s="1152" t="s">
        <v>1451</v>
      </c>
      <c r="C34" s="1129" t="s">
        <v>1479</v>
      </c>
      <c r="D34" s="1130"/>
      <c r="E34" s="1152">
        <v>1.5</v>
      </c>
      <c r="F34" s="1131" t="s">
        <v>1480</v>
      </c>
      <c r="G34" s="1132"/>
      <c r="H34" s="1103"/>
      <c r="I34" s="1103"/>
    </row>
    <row r="35" spans="1:9" s="1598" customFormat="1" ht="19.5" customHeight="1">
      <c r="A35" s="3752" t="s">
        <v>1434</v>
      </c>
      <c r="B35" s="1152" t="s">
        <v>1448</v>
      </c>
      <c r="C35" s="1129" t="s">
        <v>1481</v>
      </c>
      <c r="D35" s="1130"/>
      <c r="E35" s="1152">
        <v>1</v>
      </c>
      <c r="F35" s="1131" t="s">
        <v>1482</v>
      </c>
      <c r="G35" s="1132"/>
      <c r="H35" s="1103"/>
      <c r="I35" s="1103"/>
    </row>
    <row r="36" spans="1:9" s="1598" customFormat="1" ht="19.5" customHeight="1">
      <c r="A36" s="3752"/>
      <c r="B36" s="3752" t="s">
        <v>1451</v>
      </c>
      <c r="C36" s="1129" t="s">
        <v>1483</v>
      </c>
      <c r="D36" s="1130"/>
      <c r="E36" s="1152">
        <v>1</v>
      </c>
      <c r="F36" s="1131" t="s">
        <v>1484</v>
      </c>
      <c r="G36" s="1132"/>
      <c r="H36" s="1103"/>
      <c r="I36" s="1103"/>
    </row>
    <row r="37" spans="1:9" s="1598" customFormat="1" ht="19.5" customHeight="1">
      <c r="A37" s="3752"/>
      <c r="B37" s="3752"/>
      <c r="C37" s="1129" t="s">
        <v>1485</v>
      </c>
      <c r="D37" s="1130"/>
      <c r="E37" s="1152">
        <v>1.5</v>
      </c>
      <c r="F37" s="1131" t="s">
        <v>1486</v>
      </c>
      <c r="G37" s="1132"/>
      <c r="H37" s="1103"/>
      <c r="I37" s="1103"/>
    </row>
    <row r="38" spans="1:9" s="1598" customFormat="1" ht="19.5" customHeight="1">
      <c r="A38" s="3752"/>
      <c r="B38" s="3752"/>
      <c r="C38" s="1129" t="s">
        <v>1487</v>
      </c>
      <c r="D38" s="1130"/>
      <c r="E38" s="1152">
        <v>1</v>
      </c>
      <c r="F38" s="1131" t="s">
        <v>1488</v>
      </c>
      <c r="G38" s="1132"/>
      <c r="H38" s="1103"/>
      <c r="I38" s="1103"/>
    </row>
    <row r="39" spans="1:9" s="1598" customFormat="1" ht="19.5" customHeight="1">
      <c r="A39" s="3752"/>
      <c r="B39" s="3752"/>
      <c r="C39" s="1129" t="s">
        <v>1489</v>
      </c>
      <c r="D39" s="1130"/>
      <c r="E39" s="1152">
        <v>1</v>
      </c>
      <c r="F39" s="1131" t="s">
        <v>1490</v>
      </c>
      <c r="G39" s="1132"/>
      <c r="H39" s="1103"/>
      <c r="I39" s="1103"/>
    </row>
    <row r="40" spans="1:9" s="1598" customFormat="1" ht="19.5" customHeight="1">
      <c r="A40" s="1599" t="s">
        <v>1491</v>
      </c>
      <c r="B40" s="1599"/>
      <c r="C40" s="1599"/>
      <c r="D40" s="1599"/>
      <c r="E40" s="1599"/>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752" t="s">
        <v>1503</v>
      </c>
      <c r="C61" s="1066" t="s">
        <v>1504</v>
      </c>
      <c r="D61" s="1066" t="s">
        <v>1505</v>
      </c>
      <c r="E61" s="1137">
        <v>0.5</v>
      </c>
      <c r="F61" s="1152">
        <v>80</v>
      </c>
      <c r="H61" s="1103">
        <f>SUMIF(C59:C119,基准地价!C8,E59:E119)</f>
        <v>0</v>
      </c>
    </row>
    <row r="62" spans="1:8" s="1103" customFormat="1" ht="24">
      <c r="A62" s="1152">
        <v>2</v>
      </c>
      <c r="B62" s="3752"/>
      <c r="C62" s="1066" t="s">
        <v>1506</v>
      </c>
      <c r="D62" s="1066" t="s">
        <v>1507</v>
      </c>
      <c r="E62" s="1137">
        <v>0.5</v>
      </c>
      <c r="F62" s="1152">
        <v>80</v>
      </c>
    </row>
    <row r="63" spans="1:8" s="1103" customFormat="1" ht="36">
      <c r="A63" s="1152">
        <v>3</v>
      </c>
      <c r="B63" s="3752"/>
      <c r="C63" s="1066" t="s">
        <v>1508</v>
      </c>
      <c r="D63" s="1066" t="s">
        <v>1509</v>
      </c>
      <c r="E63" s="1137">
        <v>0.5</v>
      </c>
      <c r="F63" s="1152">
        <v>80</v>
      </c>
    </row>
    <row r="64" spans="1:8" s="1103" customFormat="1" ht="36">
      <c r="A64" s="1152">
        <v>4</v>
      </c>
      <c r="B64" s="3752"/>
      <c r="C64" s="1066" t="s">
        <v>1510</v>
      </c>
      <c r="D64" s="1066" t="s">
        <v>1511</v>
      </c>
      <c r="E64" s="1137">
        <v>0.4</v>
      </c>
      <c r="F64" s="1152">
        <v>60</v>
      </c>
    </row>
    <row r="65" spans="1:6" s="1103" customFormat="1" ht="36">
      <c r="A65" s="1152">
        <v>5</v>
      </c>
      <c r="B65" s="3752"/>
      <c r="C65" s="1066" t="s">
        <v>1512</v>
      </c>
      <c r="D65" s="1066" t="s">
        <v>1513</v>
      </c>
      <c r="E65" s="1137">
        <v>0.2</v>
      </c>
      <c r="F65" s="1152">
        <v>30</v>
      </c>
    </row>
    <row r="66" spans="1:6" s="1103" customFormat="1" ht="36">
      <c r="A66" s="1152">
        <v>6</v>
      </c>
      <c r="B66" s="3752"/>
      <c r="C66" s="1066" t="s">
        <v>1514</v>
      </c>
      <c r="D66" s="1066" t="s">
        <v>1515</v>
      </c>
      <c r="E66" s="1137">
        <v>0.3</v>
      </c>
      <c r="F66" s="1152">
        <v>50</v>
      </c>
    </row>
    <row r="67" spans="1:6" s="1103" customFormat="1" ht="36">
      <c r="A67" s="1152">
        <v>7</v>
      </c>
      <c r="B67" s="3752"/>
      <c r="C67" s="1066" t="s">
        <v>1516</v>
      </c>
      <c r="D67" s="1066" t="s">
        <v>1517</v>
      </c>
      <c r="E67" s="1137">
        <v>0.2</v>
      </c>
      <c r="F67" s="1152">
        <v>30</v>
      </c>
    </row>
    <row r="68" spans="1:6" s="1103" customFormat="1" ht="36">
      <c r="A68" s="1152">
        <v>8</v>
      </c>
      <c r="B68" s="3752"/>
      <c r="C68" s="1066" t="s">
        <v>1518</v>
      </c>
      <c r="D68" s="1066" t="s">
        <v>1519</v>
      </c>
      <c r="E68" s="1137">
        <v>0.2</v>
      </c>
      <c r="F68" s="1152">
        <v>30</v>
      </c>
    </row>
    <row r="69" spans="1:6" s="1103" customFormat="1" ht="36">
      <c r="A69" s="1152">
        <v>9</v>
      </c>
      <c r="B69" s="3752"/>
      <c r="C69" s="1066" t="s">
        <v>1520</v>
      </c>
      <c r="D69" s="1066" t="s">
        <v>1521</v>
      </c>
      <c r="E69" s="1137">
        <v>0.2</v>
      </c>
      <c r="F69" s="1152">
        <v>30</v>
      </c>
    </row>
    <row r="70" spans="1:6" s="1103" customFormat="1" ht="48">
      <c r="A70" s="1152">
        <v>10</v>
      </c>
      <c r="B70" s="3752"/>
      <c r="C70" s="1066" t="s">
        <v>1522</v>
      </c>
      <c r="D70" s="1066" t="s">
        <v>1523</v>
      </c>
      <c r="E70" s="1137">
        <v>0.2</v>
      </c>
      <c r="F70" s="1152">
        <v>30</v>
      </c>
    </row>
    <row r="71" spans="1:6" s="1103" customFormat="1" ht="48">
      <c r="A71" s="1152">
        <v>11</v>
      </c>
      <c r="B71" s="3752"/>
      <c r="C71" s="1066" t="s">
        <v>1524</v>
      </c>
      <c r="D71" s="1066" t="s">
        <v>1525</v>
      </c>
      <c r="E71" s="1137">
        <v>0.2</v>
      </c>
      <c r="F71" s="1152">
        <v>30</v>
      </c>
    </row>
    <row r="72" spans="1:6" s="1103" customFormat="1" ht="36">
      <c r="A72" s="1152">
        <v>12</v>
      </c>
      <c r="B72" s="3752"/>
      <c r="C72" s="1066" t="s">
        <v>1526</v>
      </c>
      <c r="D72" s="1066" t="s">
        <v>1527</v>
      </c>
      <c r="E72" s="1137">
        <v>0.5</v>
      </c>
      <c r="F72" s="1152">
        <v>80</v>
      </c>
    </row>
    <row r="73" spans="1:6" s="1103" customFormat="1" ht="24">
      <c r="A73" s="1152">
        <v>13</v>
      </c>
      <c r="B73" s="3752"/>
      <c r="C73" s="1066" t="s">
        <v>1528</v>
      </c>
      <c r="D73" s="1066" t="s">
        <v>1529</v>
      </c>
      <c r="E73" s="1137">
        <v>0.4</v>
      </c>
      <c r="F73" s="1152">
        <v>60</v>
      </c>
    </row>
    <row r="74" spans="1:6" s="1103" customFormat="1" ht="24">
      <c r="A74" s="1152">
        <v>14</v>
      </c>
      <c r="B74" s="3752"/>
      <c r="C74" s="1066" t="s">
        <v>1530</v>
      </c>
      <c r="D74" s="1066" t="s">
        <v>1531</v>
      </c>
      <c r="E74" s="1137">
        <v>0.2</v>
      </c>
      <c r="F74" s="1152">
        <v>30</v>
      </c>
    </row>
    <row r="75" spans="1:6" s="1103" customFormat="1" ht="24">
      <c r="A75" s="1152">
        <v>15</v>
      </c>
      <c r="B75" s="3752"/>
      <c r="C75" s="1066" t="s">
        <v>1532</v>
      </c>
      <c r="D75" s="1066" t="s">
        <v>1533</v>
      </c>
      <c r="E75" s="1137">
        <v>0.2</v>
      </c>
      <c r="F75" s="1152">
        <v>30</v>
      </c>
    </row>
    <row r="76" spans="1:6" s="1103" customFormat="1" ht="24">
      <c r="A76" s="1152">
        <v>16</v>
      </c>
      <c r="B76" s="3752" t="s">
        <v>1534</v>
      </c>
      <c r="C76" s="1066" t="s">
        <v>1535</v>
      </c>
      <c r="D76" s="1066" t="s">
        <v>1536</v>
      </c>
      <c r="E76" s="1137">
        <v>0.5</v>
      </c>
      <c r="F76" s="1152">
        <v>80</v>
      </c>
    </row>
    <row r="77" spans="1:6" s="1103" customFormat="1" ht="24">
      <c r="A77" s="1152">
        <v>17</v>
      </c>
      <c r="B77" s="3752"/>
      <c r="C77" s="1066" t="s">
        <v>1537</v>
      </c>
      <c r="D77" s="1066" t="s">
        <v>1538</v>
      </c>
      <c r="E77" s="1137">
        <v>0.5</v>
      </c>
      <c r="F77" s="1152">
        <v>80</v>
      </c>
    </row>
    <row r="78" spans="1:6" s="1103" customFormat="1" ht="24">
      <c r="A78" s="1152">
        <v>18</v>
      </c>
      <c r="B78" s="3752"/>
      <c r="C78" s="1066" t="s">
        <v>1539</v>
      </c>
      <c r="D78" s="1066" t="s">
        <v>1540</v>
      </c>
      <c r="E78" s="1137">
        <v>0.2</v>
      </c>
      <c r="F78" s="1152">
        <v>30</v>
      </c>
    </row>
    <row r="79" spans="1:6" s="1103" customFormat="1" ht="24">
      <c r="A79" s="1152">
        <v>19</v>
      </c>
      <c r="B79" s="3752"/>
      <c r="C79" s="1066" t="s">
        <v>1541</v>
      </c>
      <c r="D79" s="1066" t="s">
        <v>1542</v>
      </c>
      <c r="E79" s="1137">
        <v>0.5</v>
      </c>
      <c r="F79" s="1152">
        <v>80</v>
      </c>
    </row>
    <row r="80" spans="1:6" s="1103" customFormat="1" ht="36">
      <c r="A80" s="1152">
        <v>20</v>
      </c>
      <c r="B80" s="3752"/>
      <c r="C80" s="1066" t="s">
        <v>1543</v>
      </c>
      <c r="D80" s="1066" t="s">
        <v>1544</v>
      </c>
      <c r="E80" s="1137">
        <v>0.2</v>
      </c>
      <c r="F80" s="1152">
        <v>30</v>
      </c>
    </row>
    <row r="81" spans="1:6" s="1103" customFormat="1" ht="36">
      <c r="A81" s="1152">
        <v>21</v>
      </c>
      <c r="B81" s="3752"/>
      <c r="C81" s="1066" t="s">
        <v>1545</v>
      </c>
      <c r="D81" s="1066" t="s">
        <v>1546</v>
      </c>
      <c r="E81" s="1137">
        <v>0.2</v>
      </c>
      <c r="F81" s="1152">
        <v>30</v>
      </c>
    </row>
    <row r="82" spans="1:6" s="1103" customFormat="1" ht="48">
      <c r="A82" s="1152">
        <v>22</v>
      </c>
      <c r="B82" s="3752"/>
      <c r="C82" s="1066" t="s">
        <v>1547</v>
      </c>
      <c r="D82" s="1066" t="s">
        <v>1548</v>
      </c>
      <c r="E82" s="1137">
        <v>0.2</v>
      </c>
      <c r="F82" s="1152">
        <v>30</v>
      </c>
    </row>
    <row r="83" spans="1:6" s="1103" customFormat="1" ht="48">
      <c r="A83" s="1152">
        <v>23</v>
      </c>
      <c r="B83" s="3752"/>
      <c r="C83" s="1066" t="s">
        <v>1549</v>
      </c>
      <c r="D83" s="1066" t="s">
        <v>1550</v>
      </c>
      <c r="E83" s="1137">
        <v>0.2</v>
      </c>
      <c r="F83" s="1152">
        <v>30</v>
      </c>
    </row>
    <row r="84" spans="1:6" s="1103" customFormat="1" ht="36">
      <c r="A84" s="1152">
        <v>24</v>
      </c>
      <c r="B84" s="3752"/>
      <c r="C84" s="1066" t="s">
        <v>1551</v>
      </c>
      <c r="D84" s="1066" t="s">
        <v>1552</v>
      </c>
      <c r="E84" s="1137">
        <v>0.2</v>
      </c>
      <c r="F84" s="1152">
        <v>30</v>
      </c>
    </row>
    <row r="85" spans="1:6" s="1103" customFormat="1" ht="36">
      <c r="A85" s="1152">
        <v>25</v>
      </c>
      <c r="B85" s="3752"/>
      <c r="C85" s="1066" t="s">
        <v>1553</v>
      </c>
      <c r="D85" s="1066" t="s">
        <v>1554</v>
      </c>
      <c r="E85" s="1137">
        <v>0.5</v>
      </c>
      <c r="F85" s="1152">
        <v>80</v>
      </c>
    </row>
    <row r="86" spans="1:6" s="1103" customFormat="1" ht="36">
      <c r="A86" s="1152">
        <v>26</v>
      </c>
      <c r="B86" s="3752"/>
      <c r="C86" s="1066" t="s">
        <v>1555</v>
      </c>
      <c r="D86" s="1066" t="s">
        <v>1556</v>
      </c>
      <c r="E86" s="1137">
        <v>0.2</v>
      </c>
      <c r="F86" s="1152">
        <v>30</v>
      </c>
    </row>
    <row r="87" spans="1:6" s="1103" customFormat="1" ht="36">
      <c r="A87" s="1152">
        <v>27</v>
      </c>
      <c r="B87" s="3752"/>
      <c r="C87" s="1066" t="s">
        <v>1557</v>
      </c>
      <c r="D87" s="1066" t="s">
        <v>1558</v>
      </c>
      <c r="E87" s="1137">
        <v>0.2</v>
      </c>
      <c r="F87" s="1152">
        <v>30</v>
      </c>
    </row>
    <row r="88" spans="1:6" s="1103" customFormat="1" ht="36">
      <c r="A88" s="1152">
        <v>28</v>
      </c>
      <c r="B88" s="3752"/>
      <c r="C88" s="1066" t="s">
        <v>1559</v>
      </c>
      <c r="D88" s="1066" t="s">
        <v>1560</v>
      </c>
      <c r="E88" s="1137">
        <v>0.2</v>
      </c>
      <c r="F88" s="1152">
        <v>30</v>
      </c>
    </row>
    <row r="89" spans="1:6" s="1103" customFormat="1" ht="24">
      <c r="A89" s="1152">
        <v>29</v>
      </c>
      <c r="B89" s="3752"/>
      <c r="C89" s="1066" t="s">
        <v>1561</v>
      </c>
      <c r="D89" s="1066" t="s">
        <v>1562</v>
      </c>
      <c r="E89" s="1137">
        <v>0.2</v>
      </c>
      <c r="F89" s="1152">
        <v>30</v>
      </c>
    </row>
    <row r="90" spans="1:6" s="1103" customFormat="1" ht="24">
      <c r="A90" s="1152">
        <v>30</v>
      </c>
      <c r="B90" s="3752"/>
      <c r="C90" s="1066" t="s">
        <v>1563</v>
      </c>
      <c r="D90" s="1066" t="s">
        <v>1564</v>
      </c>
      <c r="E90" s="1137">
        <v>0.2</v>
      </c>
      <c r="F90" s="1152">
        <v>30</v>
      </c>
    </row>
    <row r="91" spans="1:6" s="1103" customFormat="1" ht="36">
      <c r="A91" s="1152">
        <v>31</v>
      </c>
      <c r="B91" s="3752"/>
      <c r="C91" s="1066" t="s">
        <v>1565</v>
      </c>
      <c r="D91" s="1066" t="s">
        <v>1566</v>
      </c>
      <c r="E91" s="1137">
        <v>0.2</v>
      </c>
      <c r="F91" s="1152">
        <v>30</v>
      </c>
    </row>
    <row r="92" spans="1:6" s="1103" customFormat="1" ht="24">
      <c r="A92" s="1152">
        <v>32</v>
      </c>
      <c r="B92" s="3752" t="s">
        <v>1567</v>
      </c>
      <c r="C92" s="1152" t="s">
        <v>1568</v>
      </c>
      <c r="D92" s="1066" t="s">
        <v>1569</v>
      </c>
      <c r="E92" s="1137">
        <v>0.2</v>
      </c>
      <c r="F92" s="1152">
        <v>30</v>
      </c>
    </row>
    <row r="93" spans="1:6" s="1103" customFormat="1" ht="36">
      <c r="A93" s="1152">
        <v>33</v>
      </c>
      <c r="B93" s="3752"/>
      <c r="C93" s="1152" t="s">
        <v>1570</v>
      </c>
      <c r="D93" s="1066" t="s">
        <v>1571</v>
      </c>
      <c r="E93" s="1137">
        <v>0.2</v>
      </c>
      <c r="F93" s="1152">
        <v>30</v>
      </c>
    </row>
    <row r="94" spans="1:6" s="1103" customFormat="1" ht="48">
      <c r="A94" s="1152">
        <v>34</v>
      </c>
      <c r="B94" s="3752"/>
      <c r="C94" s="1152" t="s">
        <v>1572</v>
      </c>
      <c r="D94" s="1066" t="s">
        <v>1573</v>
      </c>
      <c r="E94" s="1137">
        <v>0.2</v>
      </c>
      <c r="F94" s="1152">
        <v>30</v>
      </c>
    </row>
    <row r="95" spans="1:6" s="1103" customFormat="1" ht="36">
      <c r="A95" s="1152">
        <v>35</v>
      </c>
      <c r="B95" s="3752"/>
      <c r="C95" s="1152" t="s">
        <v>1574</v>
      </c>
      <c r="D95" s="1066" t="s">
        <v>1575</v>
      </c>
      <c r="E95" s="1137">
        <v>0.2</v>
      </c>
      <c r="F95" s="1152">
        <v>30</v>
      </c>
    </row>
    <row r="96" spans="1:6" s="1103" customFormat="1" ht="48">
      <c r="A96" s="1152">
        <v>36</v>
      </c>
      <c r="B96" s="3752"/>
      <c r="C96" s="1066" t="s">
        <v>1576</v>
      </c>
      <c r="D96" s="1066" t="s">
        <v>1577</v>
      </c>
      <c r="E96" s="1137">
        <v>0.2</v>
      </c>
      <c r="F96" s="1152">
        <v>30</v>
      </c>
    </row>
    <row r="97" spans="1:6" s="1103" customFormat="1" ht="36">
      <c r="A97" s="1152">
        <v>37</v>
      </c>
      <c r="B97" s="3752"/>
      <c r="C97" s="1152" t="s">
        <v>1578</v>
      </c>
      <c r="D97" s="1066" t="s">
        <v>1579</v>
      </c>
      <c r="E97" s="1137">
        <v>0.2</v>
      </c>
      <c r="F97" s="1152">
        <v>30</v>
      </c>
    </row>
    <row r="98" spans="1:6" s="1103" customFormat="1" ht="36">
      <c r="A98" s="1152">
        <v>38</v>
      </c>
      <c r="B98" s="3752"/>
      <c r="C98" s="1152" t="s">
        <v>1580</v>
      </c>
      <c r="D98" s="1066" t="s">
        <v>1581</v>
      </c>
      <c r="E98" s="1137">
        <v>0.2</v>
      </c>
      <c r="F98" s="1152">
        <v>30</v>
      </c>
    </row>
    <row r="99" spans="1:6" s="1103" customFormat="1" ht="36">
      <c r="A99" s="1152">
        <v>39</v>
      </c>
      <c r="B99" s="3752" t="s">
        <v>1582</v>
      </c>
      <c r="C99" s="1152" t="s">
        <v>1583</v>
      </c>
      <c r="D99" s="1066" t="s">
        <v>1584</v>
      </c>
      <c r="E99" s="1137">
        <v>0.3</v>
      </c>
      <c r="F99" s="1152">
        <v>50</v>
      </c>
    </row>
    <row r="100" spans="1:6" s="1103" customFormat="1" ht="24">
      <c r="A100" s="1152">
        <v>40</v>
      </c>
      <c r="B100" s="3752"/>
      <c r="C100" s="1152" t="s">
        <v>1585</v>
      </c>
      <c r="D100" s="1066" t="s">
        <v>1586</v>
      </c>
      <c r="E100" s="1137">
        <v>0.2</v>
      </c>
      <c r="F100" s="1152">
        <v>30</v>
      </c>
    </row>
    <row r="101" spans="1:6" s="1103" customFormat="1" ht="36">
      <c r="A101" s="1152">
        <v>41</v>
      </c>
      <c r="B101" s="3752"/>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752" t="s">
        <v>1597</v>
      </c>
      <c r="C105" s="1152" t="s">
        <v>1598</v>
      </c>
      <c r="D105" s="1066" t="s">
        <v>1599</v>
      </c>
      <c r="E105" s="1137">
        <v>0.2</v>
      </c>
      <c r="F105" s="1152">
        <v>30</v>
      </c>
    </row>
    <row r="106" spans="1:6" s="1103" customFormat="1" ht="36">
      <c r="A106" s="1152">
        <v>46</v>
      </c>
      <c r="B106" s="3752"/>
      <c r="C106" s="1152" t="s">
        <v>1600</v>
      </c>
      <c r="D106" s="1066" t="s">
        <v>1601</v>
      </c>
      <c r="E106" s="1137">
        <v>0.2</v>
      </c>
      <c r="F106" s="1152">
        <v>30</v>
      </c>
    </row>
    <row r="107" spans="1:6" s="1103" customFormat="1" ht="36">
      <c r="A107" s="1152">
        <v>47</v>
      </c>
      <c r="B107" s="3752" t="s">
        <v>1602</v>
      </c>
      <c r="C107" s="1152" t="s">
        <v>1603</v>
      </c>
      <c r="D107" s="1066" t="s">
        <v>1604</v>
      </c>
      <c r="E107" s="1137">
        <v>0.3</v>
      </c>
      <c r="F107" s="1152">
        <v>50</v>
      </c>
    </row>
    <row r="108" spans="1:6" s="1103" customFormat="1" ht="36">
      <c r="A108" s="1152">
        <v>48</v>
      </c>
      <c r="B108" s="3752"/>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752" t="s">
        <v>1613</v>
      </c>
      <c r="C111" s="1152" t="s">
        <v>1614</v>
      </c>
      <c r="D111" s="1066" t="s">
        <v>1615</v>
      </c>
      <c r="E111" s="1137">
        <v>0.2</v>
      </c>
      <c r="F111" s="1152">
        <v>30</v>
      </c>
    </row>
    <row r="112" spans="1:6" s="1103" customFormat="1" ht="24">
      <c r="A112" s="1152">
        <v>52</v>
      </c>
      <c r="B112" s="3752"/>
      <c r="C112" s="1152" t="s">
        <v>1616</v>
      </c>
      <c r="D112" s="1066" t="s">
        <v>1617</v>
      </c>
      <c r="E112" s="1137">
        <v>0.2</v>
      </c>
      <c r="F112" s="1152">
        <v>30</v>
      </c>
    </row>
    <row r="113" spans="1:14" s="1103" customFormat="1" ht="24">
      <c r="A113" s="1152">
        <v>53</v>
      </c>
      <c r="B113" s="3752"/>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752" t="s">
        <v>1626</v>
      </c>
      <c r="C116" s="1152" t="s">
        <v>1627</v>
      </c>
      <c r="D116" s="1066" t="s">
        <v>1628</v>
      </c>
      <c r="E116" s="1137">
        <v>0.2</v>
      </c>
      <c r="F116" s="1152">
        <v>30</v>
      </c>
    </row>
    <row r="117" spans="1:14" ht="36">
      <c r="A117" s="1152">
        <v>57</v>
      </c>
      <c r="B117" s="3752"/>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751" t="s">
        <v>1635</v>
      </c>
      <c r="B121" s="3751"/>
      <c r="C121" s="3751"/>
      <c r="D121" s="3751"/>
      <c r="E121" s="3751"/>
      <c r="F121" s="3751"/>
      <c r="G121" s="3751"/>
      <c r="H121" s="3751"/>
      <c r="I121" s="3751"/>
      <c r="J121" s="375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64" t="s">
        <v>1041</v>
      </c>
      <c r="B1" s="3764"/>
      <c r="C1" s="3764"/>
      <c r="D1" s="3764"/>
      <c r="E1" s="3764"/>
      <c r="F1" s="3764"/>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765" t="s">
        <v>1054</v>
      </c>
      <c r="B2" s="3765"/>
      <c r="C2" s="3765"/>
      <c r="D2" s="3765"/>
      <c r="E2" s="3765"/>
      <c r="F2" s="3765"/>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766"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767"/>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2426</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2427</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514" t="str">
        <f>项目基本情况!B1</f>
        <v>江西省赣州市赣南大道南侧（原灯饰市场）地块出让国有建设用地使用权市场价格预评估</v>
      </c>
      <c r="C37" s="3514"/>
      <c r="D37" s="3514"/>
      <c r="E37" s="3514"/>
      <c r="F37" s="3514"/>
      <c r="G37" s="3514"/>
      <c r="H37" s="3514"/>
      <c r="I37" s="3514"/>
    </row>
    <row r="38" spans="1:9">
      <c r="A38" s="1655"/>
      <c r="B38" s="1655"/>
    </row>
    <row r="39" spans="1:9">
      <c r="A39" s="1653" t="s">
        <v>1903</v>
      </c>
      <c r="B39" s="1653" t="s">
        <v>2049</v>
      </c>
    </row>
    <row r="40" spans="1:9">
      <c r="A40" s="1653"/>
      <c r="B40" s="1653" t="str">
        <f>项目基本情况!B5</f>
        <v>赣州市恒臣置业有限公司</v>
      </c>
    </row>
    <row r="41" spans="1:9">
      <c r="A41" s="1653"/>
      <c r="B41" s="1653"/>
    </row>
    <row r="42" spans="1:9">
      <c r="A42" s="1653" t="s">
        <v>1903</v>
      </c>
      <c r="B42" s="1653" t="s">
        <v>2050</v>
      </c>
    </row>
    <row r="43" spans="1:9">
      <c r="A43" s="1653"/>
      <c r="B43" s="1653" t="s">
        <v>1905</v>
      </c>
    </row>
    <row r="44" spans="1:9">
      <c r="A44" s="1653"/>
      <c r="B44" s="1653"/>
    </row>
    <row r="45" spans="1:9">
      <c r="A45" s="1653" t="s">
        <v>1903</v>
      </c>
      <c r="B45" s="1653" t="s">
        <v>2048</v>
      </c>
    </row>
    <row r="46" spans="1:9" s="1653" customFormat="1" ht="12.75">
      <c r="B46" s="1653" t="str">
        <f>项目基本情况!K4</f>
        <v>刘梅、吴薇</v>
      </c>
    </row>
    <row r="47" spans="1:9">
      <c r="A47" s="1653"/>
      <c r="B47" s="1653"/>
    </row>
    <row r="48" spans="1:9">
      <c r="A48" s="1653" t="s">
        <v>1903</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68" t="s">
        <v>2082</v>
      </c>
      <c r="B1" s="3768"/>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1098</v>
      </c>
      <c r="B6" s="1858" t="s">
        <v>2091</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2092</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2093</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2094</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2095</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2096</v>
      </c>
      <c r="C72" s="1868"/>
      <c r="D72" s="1868"/>
      <c r="E72" s="1868"/>
      <c r="F72" s="1860">
        <v>0.05</v>
      </c>
    </row>
    <row r="73" spans="1:6" ht="14.25" thickBot="1">
      <c r="A73" s="1854" t="s">
        <v>926</v>
      </c>
      <c r="B73" s="1858" t="s">
        <v>2097</v>
      </c>
      <c r="C73" s="1868"/>
      <c r="D73" s="1868"/>
      <c r="E73" s="1868"/>
      <c r="F73" s="1860">
        <v>0.05</v>
      </c>
    </row>
    <row r="74" spans="1:6" ht="14.25" thickBot="1">
      <c r="A74" s="1854" t="s">
        <v>926</v>
      </c>
      <c r="B74" s="1858" t="s">
        <v>2098</v>
      </c>
      <c r="C74" s="1868"/>
      <c r="D74" s="1868"/>
      <c r="E74" s="1868"/>
      <c r="F74" s="1860">
        <v>0.05</v>
      </c>
    </row>
    <row r="75" spans="1:6" ht="14.25" thickBot="1">
      <c r="A75" s="1862" t="s">
        <v>926</v>
      </c>
      <c r="B75" s="1869" t="s">
        <v>2099</v>
      </c>
      <c r="C75" s="1865"/>
      <c r="D75" s="1865"/>
      <c r="E75" s="1865"/>
      <c r="F75" s="1870">
        <v>0.05</v>
      </c>
    </row>
    <row r="76" spans="1:6" ht="14.25" thickBot="1">
      <c r="A76" s="1854" t="s">
        <v>1409</v>
      </c>
      <c r="B76" s="1855" t="s">
        <v>2100</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2101</v>
      </c>
      <c r="C102" s="1868"/>
      <c r="D102" s="1868"/>
      <c r="E102" s="1868"/>
      <c r="F102" s="1860">
        <v>0.05</v>
      </c>
    </row>
    <row r="103" spans="1:6" ht="24.75" thickBot="1">
      <c r="A103" s="1854" t="s">
        <v>1409</v>
      </c>
      <c r="B103" s="1858" t="s">
        <v>2102</v>
      </c>
      <c r="C103" s="1868"/>
      <c r="D103" s="1868"/>
      <c r="E103" s="1868"/>
      <c r="F103" s="1860">
        <v>0.05</v>
      </c>
    </row>
    <row r="104" spans="1:6" ht="14.25" thickBot="1">
      <c r="A104" s="1854" t="s">
        <v>1409</v>
      </c>
      <c r="B104" s="1858" t="s">
        <v>2103</v>
      </c>
      <c r="C104" s="1868"/>
      <c r="D104" s="1868"/>
      <c r="E104" s="1868"/>
      <c r="F104" s="1860">
        <v>0.05</v>
      </c>
    </row>
    <row r="105" spans="1:6" ht="14.25" thickBot="1">
      <c r="A105" s="1854" t="s">
        <v>1409</v>
      </c>
      <c r="B105" s="1858" t="s">
        <v>2104</v>
      </c>
      <c r="C105" s="1868"/>
      <c r="D105" s="1868"/>
      <c r="E105" s="1868"/>
      <c r="F105" s="1860">
        <v>0.05</v>
      </c>
    </row>
    <row r="106" spans="1:6" ht="14.25" thickBot="1">
      <c r="A106" s="1854" t="s">
        <v>1409</v>
      </c>
      <c r="B106" s="1858" t="s">
        <v>2105</v>
      </c>
      <c r="C106" s="1868"/>
      <c r="D106" s="1868"/>
      <c r="E106" s="1868"/>
      <c r="F106" s="1860">
        <v>0.05</v>
      </c>
    </row>
    <row r="107" spans="1:6" ht="24.75" thickBot="1">
      <c r="A107" s="1854" t="s">
        <v>1409</v>
      </c>
      <c r="B107" s="1858" t="s">
        <v>2106</v>
      </c>
      <c r="C107" s="1868"/>
      <c r="D107" s="1868"/>
      <c r="E107" s="1868"/>
      <c r="F107" s="1860">
        <v>0.05</v>
      </c>
    </row>
    <row r="108" spans="1:6" ht="24.75" thickBot="1">
      <c r="A108" s="1854" t="s">
        <v>1409</v>
      </c>
      <c r="B108" s="1858" t="s">
        <v>2107</v>
      </c>
      <c r="C108" s="1868"/>
      <c r="D108" s="1868"/>
      <c r="E108" s="1868"/>
      <c r="F108" s="1860">
        <v>0.05</v>
      </c>
    </row>
    <row r="109" spans="1:6" ht="24.75" thickBot="1">
      <c r="A109" s="1862" t="s">
        <v>1409</v>
      </c>
      <c r="B109" s="1869" t="s">
        <v>2108</v>
      </c>
      <c r="C109" s="1865"/>
      <c r="D109" s="1865"/>
      <c r="E109" s="1865"/>
      <c r="F109" s="1870">
        <v>0.05</v>
      </c>
    </row>
    <row r="110" spans="1:6" ht="14.25" thickBot="1">
      <c r="A110" s="1854" t="s">
        <v>1411</v>
      </c>
      <c r="B110" s="1855" t="s">
        <v>2109</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2110</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2111</v>
      </c>
      <c r="C138" s="1859">
        <v>0.105</v>
      </c>
      <c r="D138" s="1859">
        <v>0.125</v>
      </c>
      <c r="E138" s="1859">
        <v>0.112</v>
      </c>
      <c r="F138" s="1867"/>
    </row>
    <row r="139" spans="1:6" ht="14.25" thickBot="1">
      <c r="A139" s="1854" t="s">
        <v>1411</v>
      </c>
      <c r="B139" s="1858" t="s">
        <v>2112</v>
      </c>
      <c r="C139" s="1859">
        <v>0.127</v>
      </c>
      <c r="D139" s="1859">
        <v>0.127</v>
      </c>
      <c r="E139" s="1859">
        <v>0.122</v>
      </c>
      <c r="F139" s="1860">
        <v>0.13</v>
      </c>
    </row>
    <row r="140" spans="1:6" ht="14.25" thickBot="1">
      <c r="A140" s="1854" t="s">
        <v>1411</v>
      </c>
      <c r="B140" s="1858" t="s">
        <v>2113</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2114</v>
      </c>
      <c r="C144" s="1872">
        <v>0.126</v>
      </c>
      <c r="D144" s="1872">
        <v>0.126</v>
      </c>
      <c r="E144" s="1872">
        <v>0.121</v>
      </c>
      <c r="F144" s="1867"/>
    </row>
    <row r="145" spans="1:6" ht="14.25" thickBot="1">
      <c r="A145" s="1862" t="s">
        <v>1411</v>
      </c>
      <c r="B145" s="1873" t="s">
        <v>2115</v>
      </c>
      <c r="C145" s="1874"/>
      <c r="D145" s="1874"/>
      <c r="E145" s="1874"/>
      <c r="F145" s="1875">
        <v>0.05</v>
      </c>
    </row>
    <row r="146" spans="1:6" ht="24.75" thickBot="1">
      <c r="A146" s="1876" t="s">
        <v>1411</v>
      </c>
      <c r="B146" s="1861" t="s">
        <v>2116</v>
      </c>
      <c r="C146" s="1868"/>
      <c r="D146" s="1868"/>
      <c r="E146" s="1868"/>
      <c r="F146" s="1877">
        <v>0.05</v>
      </c>
    </row>
    <row r="147" spans="1:6" ht="24.75" thickBot="1">
      <c r="A147" s="1854" t="s">
        <v>1411</v>
      </c>
      <c r="B147" s="1858" t="s">
        <v>2117</v>
      </c>
      <c r="C147" s="1868"/>
      <c r="D147" s="1868"/>
      <c r="E147" s="1868"/>
      <c r="F147" s="1860">
        <v>0.05</v>
      </c>
    </row>
    <row r="148" spans="1:6" ht="24.75" thickBot="1">
      <c r="A148" s="1854" t="s">
        <v>1411</v>
      </c>
      <c r="B148" s="1858" t="s">
        <v>2118</v>
      </c>
      <c r="C148" s="1868"/>
      <c r="D148" s="1868"/>
      <c r="E148" s="1868"/>
      <c r="F148" s="1860">
        <v>0.05</v>
      </c>
    </row>
    <row r="149" spans="1:6" ht="24.75" thickBot="1">
      <c r="A149" s="1854" t="s">
        <v>1411</v>
      </c>
      <c r="B149" s="1858" t="s">
        <v>2119</v>
      </c>
      <c r="C149" s="1868"/>
      <c r="D149" s="1868"/>
      <c r="E149" s="1868"/>
      <c r="F149" s="1860">
        <v>0.05</v>
      </c>
    </row>
    <row r="150" spans="1:6" ht="24.75" thickBot="1">
      <c r="A150" s="1854" t="s">
        <v>1411</v>
      </c>
      <c r="B150" s="1858" t="s">
        <v>2120</v>
      </c>
      <c r="C150" s="1868"/>
      <c r="D150" s="1868"/>
      <c r="E150" s="1868"/>
      <c r="F150" s="1860">
        <v>0.05</v>
      </c>
    </row>
    <row r="151" spans="1:6" ht="24.75" thickBot="1">
      <c r="A151" s="1854" t="s">
        <v>1411</v>
      </c>
      <c r="B151" s="1858" t="s">
        <v>2121</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2122</v>
      </c>
      <c r="C153" s="1868"/>
      <c r="D153" s="1868"/>
      <c r="E153" s="1868"/>
      <c r="F153" s="1860">
        <v>0.05</v>
      </c>
    </row>
    <row r="154" spans="1:6" ht="14.25" thickBot="1">
      <c r="A154" s="1854" t="s">
        <v>1411</v>
      </c>
      <c r="B154" s="1858" t="s">
        <v>2123</v>
      </c>
      <c r="C154" s="1868"/>
      <c r="D154" s="1868"/>
      <c r="E154" s="1868"/>
      <c r="F154" s="1860">
        <v>0.05</v>
      </c>
    </row>
    <row r="155" spans="1:6" ht="24.75" thickBot="1">
      <c r="A155" s="1854" t="s">
        <v>1411</v>
      </c>
      <c r="B155" s="1858" t="s">
        <v>2124</v>
      </c>
      <c r="C155" s="1868"/>
      <c r="D155" s="1868"/>
      <c r="E155" s="1868"/>
      <c r="F155" s="1860">
        <v>0.05</v>
      </c>
    </row>
    <row r="156" spans="1:6" ht="24.75" thickBot="1">
      <c r="A156" s="1854" t="s">
        <v>1411</v>
      </c>
      <c r="B156" s="1858" t="s">
        <v>2125</v>
      </c>
      <c r="C156" s="1868"/>
      <c r="D156" s="1868"/>
      <c r="E156" s="1868"/>
      <c r="F156" s="1860">
        <v>0.05</v>
      </c>
    </row>
    <row r="157" spans="1:6" ht="14.25" thickBot="1">
      <c r="A157" s="1862" t="s">
        <v>1411</v>
      </c>
      <c r="B157" s="1869" t="s">
        <v>2126</v>
      </c>
      <c r="C157" s="1865"/>
      <c r="D157" s="1865"/>
      <c r="E157" s="1865"/>
      <c r="F157" s="1870">
        <v>0.05</v>
      </c>
    </row>
    <row r="158" spans="1:6" ht="14.25" thickBot="1">
      <c r="A158" s="1854" t="s">
        <v>1413</v>
      </c>
      <c r="B158" s="1855" t="s">
        <v>2127</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2128</v>
      </c>
      <c r="C171" s="1859">
        <v>0.127</v>
      </c>
      <c r="D171" s="1859">
        <v>0.126</v>
      </c>
      <c r="E171" s="1859">
        <v>0.126</v>
      </c>
      <c r="F171" s="1860">
        <v>0.11799999999999999</v>
      </c>
    </row>
    <row r="172" spans="1:6" ht="14.25" thickBot="1">
      <c r="A172" s="1854" t="s">
        <v>1413</v>
      </c>
      <c r="B172" s="1858" t="s">
        <v>2129</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2130</v>
      </c>
      <c r="C174" s="1859">
        <v>0.13</v>
      </c>
      <c r="D174" s="1859">
        <v>0.13</v>
      </c>
      <c r="E174" s="1859">
        <v>0.13</v>
      </c>
      <c r="F174" s="1860">
        <v>0.13</v>
      </c>
    </row>
    <row r="175" spans="1:6" ht="14.25" thickBot="1">
      <c r="A175" s="1854" t="s">
        <v>1413</v>
      </c>
      <c r="B175" s="1858" t="s">
        <v>2131</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2132</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2133</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2134</v>
      </c>
      <c r="C185" s="1859">
        <v>0.127</v>
      </c>
      <c r="D185" s="1859">
        <v>0.127</v>
      </c>
      <c r="E185" s="1859">
        <v>0.128</v>
      </c>
      <c r="F185" s="1860">
        <v>0.13</v>
      </c>
    </row>
    <row r="186" spans="1:6" ht="24.75" thickBot="1">
      <c r="A186" s="1854" t="s">
        <v>1413</v>
      </c>
      <c r="B186" s="1858" t="s">
        <v>2135</v>
      </c>
      <c r="C186" s="1868"/>
      <c r="D186" s="1868"/>
      <c r="E186" s="1868"/>
      <c r="F186" s="1860">
        <v>0.05</v>
      </c>
    </row>
    <row r="187" spans="1:6" ht="14.25" thickBot="1">
      <c r="A187" s="1854" t="s">
        <v>1413</v>
      </c>
      <c r="B187" s="1858" t="s">
        <v>2136</v>
      </c>
      <c r="C187" s="1868"/>
      <c r="D187" s="1868"/>
      <c r="E187" s="1868"/>
      <c r="F187" s="1860">
        <v>0.05</v>
      </c>
    </row>
    <row r="188" spans="1:6" ht="14.25" thickBot="1">
      <c r="A188" s="1854" t="s">
        <v>1413</v>
      </c>
      <c r="B188" s="1858" t="s">
        <v>2137</v>
      </c>
      <c r="C188" s="1868"/>
      <c r="D188" s="1868"/>
      <c r="E188" s="1868"/>
      <c r="F188" s="1860">
        <v>0.05</v>
      </c>
    </row>
    <row r="189" spans="1:6" ht="24.75" thickBot="1">
      <c r="A189" s="1854" t="s">
        <v>1413</v>
      </c>
      <c r="B189" s="1858" t="s">
        <v>2138</v>
      </c>
      <c r="C189" s="1868"/>
      <c r="D189" s="1868"/>
      <c r="E189" s="1868"/>
      <c r="F189" s="1860">
        <v>0.05</v>
      </c>
    </row>
    <row r="190" spans="1:6" ht="24.75" thickBot="1">
      <c r="A190" s="1854" t="s">
        <v>1413</v>
      </c>
      <c r="B190" s="1858" t="s">
        <v>2139</v>
      </c>
      <c r="C190" s="1868"/>
      <c r="D190" s="1868"/>
      <c r="E190" s="1868"/>
      <c r="F190" s="1860">
        <v>0.05</v>
      </c>
    </row>
    <row r="191" spans="1:6" ht="24.75" thickBot="1">
      <c r="A191" s="1854" t="s">
        <v>1413</v>
      </c>
      <c r="B191" s="1858" t="s">
        <v>2140</v>
      </c>
      <c r="C191" s="1868"/>
      <c r="D191" s="1868"/>
      <c r="E191" s="1868"/>
      <c r="F191" s="1860">
        <v>0.05</v>
      </c>
    </row>
    <row r="192" spans="1:6" ht="24.75" thickBot="1">
      <c r="A192" s="1854" t="s">
        <v>1413</v>
      </c>
      <c r="B192" s="1858" t="s">
        <v>2141</v>
      </c>
      <c r="C192" s="1868"/>
      <c r="D192" s="1868"/>
      <c r="E192" s="1868"/>
      <c r="F192" s="1860">
        <v>0.05</v>
      </c>
    </row>
    <row r="193" spans="1:6" ht="24.75" thickBot="1">
      <c r="A193" s="1854" t="s">
        <v>1413</v>
      </c>
      <c r="B193" s="1858" t="s">
        <v>2142</v>
      </c>
      <c r="C193" s="1868"/>
      <c r="D193" s="1868"/>
      <c r="E193" s="1868"/>
      <c r="F193" s="1860">
        <v>0.05</v>
      </c>
    </row>
    <row r="194" spans="1:6" ht="24.75" thickBot="1">
      <c r="A194" s="1854" t="s">
        <v>1413</v>
      </c>
      <c r="B194" s="1858" t="s">
        <v>2143</v>
      </c>
      <c r="C194" s="1868"/>
      <c r="D194" s="1868"/>
      <c r="E194" s="1868"/>
      <c r="F194" s="1860">
        <v>0.05</v>
      </c>
    </row>
    <row r="195" spans="1:6" ht="14.25" thickBot="1">
      <c r="A195" s="1854" t="s">
        <v>1413</v>
      </c>
      <c r="B195" s="1858" t="s">
        <v>2144</v>
      </c>
      <c r="C195" s="1868"/>
      <c r="D195" s="1868"/>
      <c r="E195" s="1868"/>
      <c r="F195" s="1860">
        <v>0.05</v>
      </c>
    </row>
    <row r="196" spans="1:6" ht="24.75" thickBot="1">
      <c r="A196" s="1854" t="s">
        <v>1413</v>
      </c>
      <c r="B196" s="1858" t="s">
        <v>2145</v>
      </c>
      <c r="C196" s="1868"/>
      <c r="D196" s="1868"/>
      <c r="E196" s="1868"/>
      <c r="F196" s="1860">
        <v>0.05</v>
      </c>
    </row>
    <row r="197" spans="1:6" ht="24.75" thickBot="1">
      <c r="A197" s="1854" t="s">
        <v>1413</v>
      </c>
      <c r="B197" s="1858" t="s">
        <v>2146</v>
      </c>
      <c r="C197" s="1868"/>
      <c r="D197" s="1868"/>
      <c r="E197" s="1868"/>
      <c r="F197" s="1860">
        <v>0.05</v>
      </c>
    </row>
    <row r="198" spans="1:6" ht="24.75" thickBot="1">
      <c r="A198" s="1854" t="s">
        <v>1413</v>
      </c>
      <c r="B198" s="1858" t="s">
        <v>2147</v>
      </c>
      <c r="C198" s="1868"/>
      <c r="D198" s="1868"/>
      <c r="E198" s="1868"/>
      <c r="F198" s="1860">
        <v>0.05</v>
      </c>
    </row>
    <row r="199" spans="1:6" ht="24.75" thickBot="1">
      <c r="A199" s="1854" t="s">
        <v>1413</v>
      </c>
      <c r="B199" s="1858" t="s">
        <v>2148</v>
      </c>
      <c r="C199" s="1868"/>
      <c r="D199" s="1868"/>
      <c r="E199" s="1868"/>
      <c r="F199" s="1860">
        <v>0.05</v>
      </c>
    </row>
    <row r="200" spans="1:6" ht="24.75" thickBot="1">
      <c r="A200" s="1854" t="s">
        <v>1413</v>
      </c>
      <c r="B200" s="1858" t="s">
        <v>2149</v>
      </c>
      <c r="C200" s="1868"/>
      <c r="D200" s="1868"/>
      <c r="E200" s="1868"/>
      <c r="F200" s="1860">
        <v>0.05</v>
      </c>
    </row>
    <row r="201" spans="1:6" ht="24.75" thickBot="1">
      <c r="A201" s="1854" t="s">
        <v>1413</v>
      </c>
      <c r="B201" s="1858" t="s">
        <v>2150</v>
      </c>
      <c r="C201" s="1868"/>
      <c r="D201" s="1868"/>
      <c r="E201" s="1868"/>
      <c r="F201" s="1860">
        <v>0.05</v>
      </c>
    </row>
    <row r="202" spans="1:6" ht="24.75" thickBot="1">
      <c r="A202" s="1854" t="s">
        <v>1413</v>
      </c>
      <c r="B202" s="1858" t="s">
        <v>2151</v>
      </c>
      <c r="C202" s="1868"/>
      <c r="D202" s="1868"/>
      <c r="E202" s="1868"/>
      <c r="F202" s="1860">
        <v>0.05</v>
      </c>
    </row>
    <row r="203" spans="1:6" ht="24.75" thickBot="1">
      <c r="A203" s="1854" t="s">
        <v>1413</v>
      </c>
      <c r="B203" s="1858" t="s">
        <v>2152</v>
      </c>
      <c r="C203" s="1868"/>
      <c r="D203" s="1868"/>
      <c r="E203" s="1868"/>
      <c r="F203" s="1860">
        <v>0.05</v>
      </c>
    </row>
    <row r="204" spans="1:6" ht="14.25" thickBot="1">
      <c r="A204" s="1854" t="s">
        <v>1413</v>
      </c>
      <c r="B204" s="1858" t="s">
        <v>2153</v>
      </c>
      <c r="C204" s="1868"/>
      <c r="D204" s="1868"/>
      <c r="E204" s="1868"/>
      <c r="F204" s="1860">
        <v>0.05</v>
      </c>
    </row>
    <row r="205" spans="1:6" ht="14.25" thickBot="1">
      <c r="A205" s="1862" t="s">
        <v>1413</v>
      </c>
      <c r="B205" s="1869" t="s">
        <v>2154</v>
      </c>
      <c r="C205" s="1865"/>
      <c r="D205" s="1865"/>
      <c r="E205" s="1865"/>
      <c r="F205" s="1870">
        <v>0.05</v>
      </c>
    </row>
    <row r="206" spans="1:6" ht="14.25" thickBot="1">
      <c r="A206" s="1854" t="s">
        <v>1415</v>
      </c>
      <c r="B206" s="1855" t="s">
        <v>2155</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2156</v>
      </c>
      <c r="C210" s="1859">
        <v>0.15</v>
      </c>
      <c r="D210" s="1859">
        <v>0.15</v>
      </c>
      <c r="E210" s="1859">
        <v>0.15</v>
      </c>
      <c r="F210" s="1860">
        <v>0.13800000000000001</v>
      </c>
    </row>
    <row r="211" spans="1:6" ht="14.25" thickBot="1">
      <c r="A211" s="1854" t="s">
        <v>1415</v>
      </c>
      <c r="B211" s="1858" t="s">
        <v>2157</v>
      </c>
      <c r="C211" s="1859">
        <v>0.13700000000000001</v>
      </c>
      <c r="D211" s="1859">
        <v>0.13500000000000001</v>
      </c>
      <c r="E211" s="1859">
        <v>0.13600000000000001</v>
      </c>
      <c r="F211" s="1860">
        <v>0.1</v>
      </c>
    </row>
    <row r="212" spans="1:6" ht="14.25" thickBot="1">
      <c r="A212" s="1854" t="s">
        <v>1415</v>
      </c>
      <c r="B212" s="1858" t="s">
        <v>2158</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2159</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2160</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2161</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2162</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2163</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2164</v>
      </c>
      <c r="C231" s="1859">
        <v>0.128</v>
      </c>
      <c r="D231" s="1859">
        <v>0.125</v>
      </c>
      <c r="E231" s="1859">
        <v>0.13200000000000001</v>
      </c>
      <c r="F231" s="1867"/>
    </row>
    <row r="232" spans="1:6" ht="14.25" thickBot="1">
      <c r="A232" s="1854" t="s">
        <v>1415</v>
      </c>
      <c r="B232" s="1858" t="s">
        <v>2165</v>
      </c>
      <c r="C232" s="1859">
        <v>0.14499999999999999</v>
      </c>
      <c r="D232" s="1859">
        <v>0.14399999999999999</v>
      </c>
      <c r="E232" s="1859">
        <v>0.14599999999999999</v>
      </c>
      <c r="F232" s="1860">
        <v>0.13800000000000001</v>
      </c>
    </row>
    <row r="233" spans="1:6" ht="14.25" thickBot="1">
      <c r="A233" s="1854" t="s">
        <v>1415</v>
      </c>
      <c r="B233" s="1858" t="s">
        <v>2166</v>
      </c>
      <c r="C233" s="1859">
        <v>0.14499999999999999</v>
      </c>
      <c r="D233" s="1859">
        <v>0.14299999999999999</v>
      </c>
      <c r="E233" s="1859">
        <v>0.14199999999999999</v>
      </c>
      <c r="F233" s="1867"/>
    </row>
    <row r="234" spans="1:6" ht="14.25" thickBot="1">
      <c r="A234" s="1854" t="s">
        <v>1415</v>
      </c>
      <c r="B234" s="1858" t="s">
        <v>2167</v>
      </c>
      <c r="C234" s="1859">
        <v>0.14000000000000001</v>
      </c>
      <c r="D234" s="1859">
        <v>0.14000000000000001</v>
      </c>
      <c r="E234" s="1859">
        <v>0.14399999999999999</v>
      </c>
      <c r="F234" s="1867"/>
    </row>
    <row r="235" spans="1:6" ht="14.25" thickBot="1">
      <c r="A235" s="1854" t="s">
        <v>1415</v>
      </c>
      <c r="B235" s="1858" t="s">
        <v>2168</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2169</v>
      </c>
      <c r="C237" s="1868"/>
      <c r="D237" s="1868"/>
      <c r="E237" s="1868"/>
      <c r="F237" s="1860">
        <v>0.05</v>
      </c>
    </row>
    <row r="238" spans="1:6" ht="24.75" thickBot="1">
      <c r="A238" s="1854" t="s">
        <v>1415</v>
      </c>
      <c r="B238" s="1858" t="s">
        <v>2170</v>
      </c>
      <c r="C238" s="1868"/>
      <c r="D238" s="1868"/>
      <c r="E238" s="1868"/>
      <c r="F238" s="1860">
        <v>0.05</v>
      </c>
    </row>
    <row r="239" spans="1:6" ht="24.75" thickBot="1">
      <c r="A239" s="1854" t="s">
        <v>1415</v>
      </c>
      <c r="B239" s="1858" t="s">
        <v>2171</v>
      </c>
      <c r="C239" s="1868"/>
      <c r="D239" s="1868"/>
      <c r="E239" s="1868"/>
      <c r="F239" s="1860">
        <v>0.05</v>
      </c>
    </row>
    <row r="240" spans="1:6" ht="24.75" thickBot="1">
      <c r="A240" s="1854" t="s">
        <v>1415</v>
      </c>
      <c r="B240" s="1858" t="s">
        <v>2172</v>
      </c>
      <c r="C240" s="1868"/>
      <c r="D240" s="1868"/>
      <c r="E240" s="1868"/>
      <c r="F240" s="1860">
        <v>0.05</v>
      </c>
    </row>
    <row r="241" spans="1:6" ht="24.75" thickBot="1">
      <c r="A241" s="1854" t="s">
        <v>1415</v>
      </c>
      <c r="B241" s="1858" t="s">
        <v>2173</v>
      </c>
      <c r="C241" s="1868"/>
      <c r="D241" s="1868"/>
      <c r="E241" s="1868"/>
      <c r="F241" s="1860">
        <v>0.05</v>
      </c>
    </row>
    <row r="242" spans="1:6" ht="24.75" thickBot="1">
      <c r="A242" s="1854" t="s">
        <v>1415</v>
      </c>
      <c r="B242" s="1858" t="s">
        <v>2174</v>
      </c>
      <c r="C242" s="1868"/>
      <c r="D242" s="1868"/>
      <c r="E242" s="1868"/>
      <c r="F242" s="1860">
        <v>0.05</v>
      </c>
    </row>
    <row r="243" spans="1:6" ht="24.75" thickBot="1">
      <c r="A243" s="1854" t="s">
        <v>1415</v>
      </c>
      <c r="B243" s="1858" t="s">
        <v>2175</v>
      </c>
      <c r="C243" s="1868"/>
      <c r="D243" s="1868"/>
      <c r="E243" s="1868"/>
      <c r="F243" s="1860">
        <v>0.05</v>
      </c>
    </row>
    <row r="244" spans="1:6" ht="24.75" thickBot="1">
      <c r="A244" s="1862" t="s">
        <v>1415</v>
      </c>
      <c r="B244" s="1869" t="s">
        <v>2176</v>
      </c>
      <c r="C244" s="1865"/>
      <c r="D244" s="1865"/>
      <c r="E244" s="1865"/>
      <c r="F244" s="1870">
        <v>0.05</v>
      </c>
    </row>
    <row r="245" spans="1:6" ht="14.25" thickBot="1">
      <c r="A245" s="1854" t="s">
        <v>1417</v>
      </c>
      <c r="B245" s="1855" t="s">
        <v>2177</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2178</v>
      </c>
      <c r="C247" s="1859">
        <v>0.15</v>
      </c>
      <c r="D247" s="1859">
        <v>0.15</v>
      </c>
      <c r="E247" s="1859">
        <v>0.15</v>
      </c>
      <c r="F247" s="1860">
        <v>0.15</v>
      </c>
    </row>
    <row r="248" spans="1:6" ht="14.25" thickBot="1">
      <c r="A248" s="1854" t="s">
        <v>1417</v>
      </c>
      <c r="B248" s="1858" t="s">
        <v>2179</v>
      </c>
      <c r="C248" s="1859">
        <v>0.15</v>
      </c>
      <c r="D248" s="1859">
        <v>0.15</v>
      </c>
      <c r="E248" s="1859">
        <v>0.15</v>
      </c>
      <c r="F248" s="1860">
        <v>0.14000000000000001</v>
      </c>
    </row>
    <row r="249" spans="1:6" ht="14.25" thickBot="1">
      <c r="A249" s="1854" t="s">
        <v>1417</v>
      </c>
      <c r="B249" s="1858" t="s">
        <v>2180</v>
      </c>
      <c r="C249" s="1859">
        <v>0.15</v>
      </c>
      <c r="D249" s="1859">
        <v>0.14899999999999999</v>
      </c>
      <c r="E249" s="1859">
        <v>0.15</v>
      </c>
      <c r="F249" s="1860">
        <v>0.1</v>
      </c>
    </row>
    <row r="250" spans="1:6" ht="14.25" thickBot="1">
      <c r="A250" s="1854" t="s">
        <v>1417</v>
      </c>
      <c r="B250" s="1858" t="s">
        <v>2181</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2182</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2183</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2184</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2185</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2186</v>
      </c>
      <c r="C273" s="1859">
        <v>0.14199999999999999</v>
      </c>
      <c r="D273" s="1859">
        <v>0.14299999999999999</v>
      </c>
      <c r="E273" s="1859">
        <v>0.15</v>
      </c>
      <c r="F273" s="1860">
        <v>0.1</v>
      </c>
    </row>
    <row r="274" spans="1:6" ht="14.25" thickBot="1">
      <c r="A274" s="1854" t="s">
        <v>1417</v>
      </c>
      <c r="B274" s="1858" t="s">
        <v>2187</v>
      </c>
      <c r="C274" s="1859">
        <v>0.14799999999999999</v>
      </c>
      <c r="D274" s="1859">
        <v>0.14799999999999999</v>
      </c>
      <c r="E274" s="1859">
        <v>0.15</v>
      </c>
      <c r="F274" s="1860">
        <v>6.7000000000000004E-2</v>
      </c>
    </row>
    <row r="275" spans="1:6" ht="14.25" thickBot="1">
      <c r="A275" s="1854" t="s">
        <v>1417</v>
      </c>
      <c r="B275" s="1858" t="s">
        <v>2188</v>
      </c>
      <c r="C275" s="1859">
        <v>0.15</v>
      </c>
      <c r="D275" s="1859">
        <v>0.15</v>
      </c>
      <c r="E275" s="1859">
        <v>0.15</v>
      </c>
      <c r="F275" s="1860">
        <v>0.15</v>
      </c>
    </row>
    <row r="276" spans="1:6" ht="14.25" thickBot="1">
      <c r="A276" s="1854" t="s">
        <v>1417</v>
      </c>
      <c r="B276" s="1858" t="s">
        <v>2189</v>
      </c>
      <c r="C276" s="1859">
        <v>0.14499999999999999</v>
      </c>
      <c r="D276" s="1859">
        <v>0.14299999999999999</v>
      </c>
      <c r="E276" s="1859">
        <v>0.15</v>
      </c>
      <c r="F276" s="1860">
        <v>5.8999999999999997E-2</v>
      </c>
    </row>
    <row r="277" spans="1:6" ht="14.25" thickBot="1">
      <c r="A277" s="1854" t="s">
        <v>1417</v>
      </c>
      <c r="B277" s="1858" t="s">
        <v>2190</v>
      </c>
      <c r="C277" s="1859">
        <v>0.15</v>
      </c>
      <c r="D277" s="1859">
        <v>0.15</v>
      </c>
      <c r="E277" s="1859">
        <v>0.15</v>
      </c>
      <c r="F277" s="1860">
        <v>0.121</v>
      </c>
    </row>
    <row r="278" spans="1:6" ht="14.25" thickBot="1">
      <c r="A278" s="1854" t="s">
        <v>1417</v>
      </c>
      <c r="B278" s="1858" t="s">
        <v>2191</v>
      </c>
      <c r="C278" s="1859">
        <v>0.15</v>
      </c>
      <c r="D278" s="1859">
        <v>0.15</v>
      </c>
      <c r="E278" s="1859">
        <v>0.15</v>
      </c>
      <c r="F278" s="1860">
        <v>0.13800000000000001</v>
      </c>
    </row>
    <row r="279" spans="1:6" ht="24.75" thickBot="1">
      <c r="A279" s="1854" t="s">
        <v>1417</v>
      </c>
      <c r="B279" s="1858" t="s">
        <v>2192</v>
      </c>
      <c r="C279" s="1868"/>
      <c r="D279" s="1868"/>
      <c r="E279" s="1868"/>
      <c r="F279" s="1860">
        <v>0.05</v>
      </c>
    </row>
    <row r="280" spans="1:6" ht="24.75" thickBot="1">
      <c r="A280" s="1854" t="s">
        <v>1417</v>
      </c>
      <c r="B280" s="1858" t="s">
        <v>2193</v>
      </c>
      <c r="C280" s="1868"/>
      <c r="D280" s="1868"/>
      <c r="E280" s="1868"/>
      <c r="F280" s="1860">
        <v>0.05</v>
      </c>
    </row>
    <row r="281" spans="1:6" ht="24.75" thickBot="1">
      <c r="A281" s="1854" t="s">
        <v>1417</v>
      </c>
      <c r="B281" s="1858" t="s">
        <v>2194</v>
      </c>
      <c r="C281" s="1868"/>
      <c r="D281" s="1868"/>
      <c r="E281" s="1868"/>
      <c r="F281" s="1860">
        <v>0.05</v>
      </c>
    </row>
    <row r="282" spans="1:6" ht="24.75" thickBot="1">
      <c r="A282" s="1854" t="s">
        <v>1417</v>
      </c>
      <c r="B282" s="1858" t="s">
        <v>2195</v>
      </c>
      <c r="C282" s="1868"/>
      <c r="D282" s="1868"/>
      <c r="E282" s="1868"/>
      <c r="F282" s="1860">
        <v>0.05</v>
      </c>
    </row>
    <row r="283" spans="1:6" ht="24.75" thickBot="1">
      <c r="A283" s="1854" t="s">
        <v>1417</v>
      </c>
      <c r="B283" s="1858" t="s">
        <v>2196</v>
      </c>
      <c r="C283" s="1868"/>
      <c r="D283" s="1868"/>
      <c r="E283" s="1868"/>
      <c r="F283" s="1860">
        <v>0.05</v>
      </c>
    </row>
    <row r="284" spans="1:6" ht="24.75" thickBot="1">
      <c r="A284" s="1854" t="s">
        <v>1417</v>
      </c>
      <c r="B284" s="1858" t="s">
        <v>2197</v>
      </c>
      <c r="C284" s="1868"/>
      <c r="D284" s="1868"/>
      <c r="E284" s="1868"/>
      <c r="F284" s="1860">
        <v>0.05</v>
      </c>
    </row>
    <row r="285" spans="1:6" ht="24.75" thickBot="1">
      <c r="A285" s="1854" t="s">
        <v>1417</v>
      </c>
      <c r="B285" s="1858" t="s">
        <v>2198</v>
      </c>
      <c r="C285" s="1868"/>
      <c r="D285" s="1868"/>
      <c r="E285" s="1868"/>
      <c r="F285" s="1860">
        <v>0.05</v>
      </c>
    </row>
    <row r="286" spans="1:6" ht="24.75" thickBot="1">
      <c r="A286" s="1854" t="s">
        <v>1417</v>
      </c>
      <c r="B286" s="1858" t="s">
        <v>2199</v>
      </c>
      <c r="C286" s="1868"/>
      <c r="D286" s="1868"/>
      <c r="E286" s="1868"/>
      <c r="F286" s="1860">
        <v>0.05</v>
      </c>
    </row>
    <row r="287" spans="1:6" ht="24.75" thickBot="1">
      <c r="A287" s="1854" t="s">
        <v>1417</v>
      </c>
      <c r="B287" s="1858" t="s">
        <v>2200</v>
      </c>
      <c r="C287" s="1868"/>
      <c r="D287" s="1868"/>
      <c r="E287" s="1868"/>
      <c r="F287" s="1860">
        <v>0.05</v>
      </c>
    </row>
    <row r="288" spans="1:6" ht="24.75" thickBot="1">
      <c r="A288" s="1854" t="s">
        <v>1417</v>
      </c>
      <c r="B288" s="1858" t="s">
        <v>2201</v>
      </c>
      <c r="C288" s="1868"/>
      <c r="D288" s="1868"/>
      <c r="E288" s="1868"/>
      <c r="F288" s="1860">
        <v>0.05</v>
      </c>
    </row>
    <row r="289" spans="1:6" ht="24.75" thickBot="1">
      <c r="A289" s="1862" t="s">
        <v>1417</v>
      </c>
      <c r="B289" s="1869" t="s">
        <v>2202</v>
      </c>
      <c r="C289" s="1865"/>
      <c r="D289" s="1865"/>
      <c r="E289" s="1865"/>
      <c r="F289" s="1870">
        <v>0.05</v>
      </c>
    </row>
    <row r="290" spans="1:6" ht="14.25" thickBot="1">
      <c r="A290" s="1854" t="s">
        <v>1421</v>
      </c>
      <c r="B290" s="1855" t="s">
        <v>2203</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2204</v>
      </c>
      <c r="C292" s="1859">
        <v>0.15</v>
      </c>
      <c r="D292" s="1859">
        <v>0.15</v>
      </c>
      <c r="E292" s="1859">
        <v>0.15</v>
      </c>
      <c r="F292" s="1860">
        <v>0.14699999999999999</v>
      </c>
    </row>
    <row r="293" spans="1:6" ht="14.25" thickBot="1">
      <c r="A293" s="1854" t="s">
        <v>1421</v>
      </c>
      <c r="B293" s="1858" t="s">
        <v>2205</v>
      </c>
      <c r="C293" s="1868"/>
      <c r="D293" s="1868"/>
      <c r="E293" s="1868"/>
      <c r="F293" s="1860">
        <v>0.1</v>
      </c>
    </row>
    <row r="294" spans="1:6" ht="14.25" thickBot="1">
      <c r="A294" s="1854" t="s">
        <v>1421</v>
      </c>
      <c r="B294" s="1858" t="s">
        <v>2206</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2207</v>
      </c>
      <c r="C296" s="1859">
        <v>0.15</v>
      </c>
      <c r="D296" s="1859">
        <v>0.15</v>
      </c>
      <c r="E296" s="1859">
        <v>0.15</v>
      </c>
      <c r="F296" s="1860">
        <v>0.15</v>
      </c>
    </row>
    <row r="297" spans="1:6" ht="14.25" thickBot="1">
      <c r="A297" s="1854" t="s">
        <v>1421</v>
      </c>
      <c r="B297" s="1858" t="s">
        <v>2208</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2209</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2210</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2211</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2212</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2213</v>
      </c>
      <c r="C310" s="1859">
        <v>0.15</v>
      </c>
      <c r="D310" s="1859">
        <v>0.15</v>
      </c>
      <c r="E310" s="1859">
        <v>0.15</v>
      </c>
      <c r="F310" s="1860">
        <v>0.13700000000000001</v>
      </c>
    </row>
    <row r="311" spans="1:6" ht="14.25" thickBot="1">
      <c r="A311" s="1854" t="s">
        <v>1421</v>
      </c>
      <c r="B311" s="1858" t="s">
        <v>2214</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2215</v>
      </c>
      <c r="C313" s="1859">
        <v>0.15</v>
      </c>
      <c r="D313" s="1859">
        <v>0.15</v>
      </c>
      <c r="E313" s="1859">
        <v>0.15</v>
      </c>
      <c r="F313" s="1860">
        <v>0.15</v>
      </c>
    </row>
    <row r="314" spans="1:6" ht="24.75" thickBot="1">
      <c r="A314" s="1854" t="s">
        <v>1421</v>
      </c>
      <c r="B314" s="1858" t="s">
        <v>2216</v>
      </c>
      <c r="C314" s="1868"/>
      <c r="D314" s="1868"/>
      <c r="E314" s="1868"/>
      <c r="F314" s="1860">
        <v>0.05</v>
      </c>
    </row>
    <row r="315" spans="1:6" ht="24.75" thickBot="1">
      <c r="A315" s="1854" t="s">
        <v>1421</v>
      </c>
      <c r="B315" s="1858" t="s">
        <v>2217</v>
      </c>
      <c r="C315" s="1868"/>
      <c r="D315" s="1868"/>
      <c r="E315" s="1868"/>
      <c r="F315" s="1860">
        <v>0.05</v>
      </c>
    </row>
    <row r="316" spans="1:6" ht="24.75" thickBot="1">
      <c r="A316" s="1862" t="s">
        <v>1421</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1109</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1178</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1198</v>
      </c>
      <c r="C328" s="1859">
        <v>0.15</v>
      </c>
      <c r="D328" s="1859">
        <v>0.15</v>
      </c>
      <c r="E328" s="1859">
        <v>0.15</v>
      </c>
      <c r="F328" s="1860">
        <v>0.14099999999999999</v>
      </c>
    </row>
    <row r="329" spans="1:6" ht="14.25" thickBot="1">
      <c r="A329" s="1854" t="s">
        <v>2219</v>
      </c>
      <c r="B329" s="1858" t="s">
        <v>1208</v>
      </c>
      <c r="C329" s="1859">
        <v>0.15</v>
      </c>
      <c r="D329" s="1859">
        <v>0.15</v>
      </c>
      <c r="E329" s="1859">
        <v>0.15</v>
      </c>
      <c r="F329" s="1860">
        <v>0.15</v>
      </c>
    </row>
    <row r="330" spans="1:6" ht="14.25" thickBot="1">
      <c r="A330" s="1854" t="s">
        <v>2219</v>
      </c>
      <c r="B330" s="1858" t="s">
        <v>1218</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1238</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1258</v>
      </c>
      <c r="C334" s="1859">
        <v>0.15</v>
      </c>
      <c r="D334" s="1859">
        <v>0.15</v>
      </c>
      <c r="E334" s="1859">
        <v>0.15</v>
      </c>
      <c r="F334" s="1860">
        <v>0.15</v>
      </c>
    </row>
    <row r="335" spans="1:6" ht="14.25" thickBot="1">
      <c r="A335" s="1854" t="s">
        <v>2219</v>
      </c>
      <c r="B335" s="1858" t="s">
        <v>1268</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1286</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2956</v>
      </c>
      <c r="B1" s="3131"/>
      <c r="C1" s="3131"/>
      <c r="D1" s="3131"/>
      <c r="E1" s="3131"/>
      <c r="F1" s="3131"/>
    </row>
    <row r="2" spans="1:6" ht="14.25">
      <c r="A2" s="3132" t="s">
        <v>2950</v>
      </c>
      <c r="B2" s="3133" t="e">
        <f ca="1">SUMIF(B7:B14,"&lt;&gt;#ref!",B7:B14)</f>
        <v>#DIV/0!</v>
      </c>
      <c r="C2" s="3132" t="s">
        <v>2951</v>
      </c>
      <c r="D2" s="3131"/>
      <c r="E2" s="3131"/>
      <c r="F2" s="3131"/>
    </row>
    <row r="3" spans="1:6" ht="14.25">
      <c r="A3" s="3132" t="s">
        <v>2953</v>
      </c>
      <c r="B3" s="3133" t="e">
        <f ca="1">ROUND(B2*10000/E3,0)</f>
        <v>#DIV/0!</v>
      </c>
      <c r="C3" s="3132" t="s">
        <v>2081</v>
      </c>
      <c r="D3" s="3132" t="s">
        <v>2952</v>
      </c>
      <c r="E3" s="3133" t="e">
        <f ca="1">SUM(E7:E14)</f>
        <v>#REF!</v>
      </c>
      <c r="F3" s="3131"/>
    </row>
    <row r="4" spans="1:6" ht="14.25">
      <c r="A4" s="3132" t="s">
        <v>2960</v>
      </c>
      <c r="B4" s="3133" t="e">
        <f ca="1">ROUND(B2*10000/E4,0)</f>
        <v>#DIV/0!</v>
      </c>
      <c r="C4" s="3132" t="s">
        <v>2081</v>
      </c>
      <c r="D4" s="3132" t="s">
        <v>2961</v>
      </c>
      <c r="E4" s="3133" t="e">
        <f ca="1">SUM(F7:F14)</f>
        <v>#REF!</v>
      </c>
      <c r="F4" s="3131"/>
    </row>
    <row r="5" spans="1:6" ht="14.25">
      <c r="A5" s="3134"/>
      <c r="B5" s="1880"/>
      <c r="C5" s="1880"/>
      <c r="D5" s="1880"/>
      <c r="E5" s="1880"/>
      <c r="F5" s="3131"/>
    </row>
    <row r="6" spans="1:6" ht="28.5">
      <c r="A6" s="3135" t="s">
        <v>2957</v>
      </c>
      <c r="B6" s="3132" t="s">
        <v>2954</v>
      </c>
      <c r="C6" s="3133"/>
      <c r="D6" s="1880"/>
      <c r="E6" s="3132" t="s">
        <v>2955</v>
      </c>
      <c r="F6" s="3132" t="s">
        <v>2959</v>
      </c>
    </row>
    <row r="7" spans="1:6" ht="14.25">
      <c r="A7" s="259" t="s">
        <v>2958</v>
      </c>
      <c r="B7" s="3136" t="e">
        <f ca="1">SUMIF(INDIRECT("'"&amp;A7&amp;"'"&amp;"!A:A"),"总价",INDIRECT("'"&amp;A7&amp;"'"&amp;"!B:B"))</f>
        <v>#DIV/0!</v>
      </c>
      <c r="C7" s="3132" t="s">
        <v>2951</v>
      </c>
      <c r="D7" s="1880"/>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2951</v>
      </c>
      <c r="D8" s="1880"/>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2951</v>
      </c>
      <c r="D9" s="1880"/>
      <c r="E9" s="3137" t="e">
        <f t="shared" ca="1" si="1"/>
        <v>#REF!</v>
      </c>
      <c r="F9" s="3137" t="e">
        <f t="shared" ca="1" si="2"/>
        <v>#REF!</v>
      </c>
    </row>
    <row r="10" spans="1:6" ht="14.25">
      <c r="A10" s="259"/>
      <c r="B10" s="3136" t="e">
        <f t="shared" ca="1" si="0"/>
        <v>#REF!</v>
      </c>
      <c r="C10" s="3132" t="s">
        <v>2951</v>
      </c>
      <c r="D10" s="1880"/>
      <c r="E10" s="3137" t="e">
        <f t="shared" ca="1" si="1"/>
        <v>#REF!</v>
      </c>
      <c r="F10" s="3137" t="e">
        <f t="shared" ca="1" si="2"/>
        <v>#REF!</v>
      </c>
    </row>
    <row r="11" spans="1:6" ht="14.25">
      <c r="A11" s="259"/>
      <c r="B11" s="3136" t="e">
        <f t="shared" ca="1" si="0"/>
        <v>#REF!</v>
      </c>
      <c r="C11" s="3132" t="s">
        <v>2951</v>
      </c>
      <c r="D11" s="1880"/>
      <c r="E11" s="3137" t="e">
        <f t="shared" ca="1" si="1"/>
        <v>#REF!</v>
      </c>
      <c r="F11" s="3137" t="e">
        <f t="shared" ca="1" si="2"/>
        <v>#REF!</v>
      </c>
    </row>
    <row r="12" spans="1:6" ht="14.25">
      <c r="A12" s="259"/>
      <c r="B12" s="3136" t="e">
        <f t="shared" ca="1" si="0"/>
        <v>#REF!</v>
      </c>
      <c r="C12" s="3132" t="s">
        <v>2951</v>
      </c>
      <c r="D12" s="1880"/>
      <c r="E12" s="3137" t="e">
        <f t="shared" ca="1" si="1"/>
        <v>#REF!</v>
      </c>
      <c r="F12" s="3137" t="e">
        <f t="shared" ca="1" si="2"/>
        <v>#REF!</v>
      </c>
    </row>
    <row r="13" spans="1:6" ht="14.25">
      <c r="A13" s="259"/>
      <c r="B13" s="3136" t="e">
        <f t="shared" ca="1" si="0"/>
        <v>#REF!</v>
      </c>
      <c r="C13" s="3132" t="s">
        <v>2951</v>
      </c>
      <c r="D13" s="1880"/>
      <c r="E13" s="3137" t="e">
        <f t="shared" ca="1" si="1"/>
        <v>#REF!</v>
      </c>
      <c r="F13" s="3137" t="e">
        <f t="shared" ca="1" si="2"/>
        <v>#REF!</v>
      </c>
    </row>
    <row r="14" spans="1:6" ht="14.25">
      <c r="A14" s="3130"/>
      <c r="B14" s="3136" t="e">
        <f t="shared" ca="1" si="0"/>
        <v>#REF!</v>
      </c>
      <c r="C14" s="3132" t="s">
        <v>2951</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08" t="s">
        <v>2378</v>
      </c>
      <c r="F1" s="2409">
        <f ca="1">J54</f>
        <v>0</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3" t="s">
        <v>630</v>
      </c>
      <c r="B2" s="774">
        <f ca="1">IF(ISERROR(C45+J31),0,C45+J31)</f>
        <v>0</v>
      </c>
      <c r="C2" s="1349"/>
      <c r="D2" s="2054"/>
      <c r="E2" s="2055"/>
      <c r="F2" s="2055"/>
      <c r="G2" s="1589"/>
      <c r="H2" s="1361"/>
      <c r="I2" s="2056"/>
      <c r="J2" s="2056"/>
      <c r="K2" s="2057"/>
      <c r="L2" s="2056"/>
      <c r="M2" s="2056"/>
    </row>
    <row r="3" spans="1:25" ht="18" customHeight="1">
      <c r="A3" s="1644" t="s">
        <v>1688</v>
      </c>
      <c r="B3" s="1390">
        <f ca="1">ROUND(B2*10000/'数据-汇总表'!E3,0)</f>
        <v>0</v>
      </c>
      <c r="C3" s="1349"/>
      <c r="D3" s="2054"/>
      <c r="E3" s="2055"/>
      <c r="F3" s="2055"/>
      <c r="G3" s="1589"/>
      <c r="H3" s="775" t="s">
        <v>696</v>
      </c>
      <c r="I3" s="2056"/>
      <c r="J3" s="2056"/>
      <c r="K3" s="2057"/>
      <c r="L3" s="2056"/>
      <c r="M3" s="2056"/>
    </row>
    <row r="4" spans="1:25" ht="18" customHeight="1">
      <c r="A4" s="1645" t="s">
        <v>697</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698</v>
      </c>
      <c r="D5" s="2054"/>
      <c r="E5" s="2055"/>
      <c r="F5" s="2055"/>
      <c r="G5" s="1589"/>
      <c r="H5" s="775"/>
      <c r="I5" s="2056"/>
      <c r="J5" s="2056"/>
      <c r="K5" s="2057"/>
      <c r="L5" s="2056"/>
      <c r="M5" s="2056"/>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2463</v>
      </c>
      <c r="C7" s="53">
        <f ca="1">C8+C12+C14</f>
        <v>0</v>
      </c>
      <c r="D7" s="2517" t="s">
        <v>2466</v>
      </c>
      <c r="E7" s="2511"/>
      <c r="F7" s="2512"/>
      <c r="G7" s="1591"/>
      <c r="H7" s="780">
        <v>1</v>
      </c>
      <c r="I7" s="781" t="s">
        <v>2463</v>
      </c>
      <c r="J7" s="53">
        <f ca="1">J8+J12+J14</f>
        <v>0</v>
      </c>
      <c r="K7" s="2517" t="s">
        <v>2466</v>
      </c>
      <c r="L7" s="2511"/>
      <c r="M7" s="2512"/>
    </row>
    <row r="8" spans="1:25" ht="18" customHeight="1">
      <c r="A8" s="1829" t="s">
        <v>1826</v>
      </c>
      <c r="B8" s="3736" t="s">
        <v>2468</v>
      </c>
      <c r="C8" s="1824">
        <f ca="1">ROUND(F8*F10*F9*(1-F11)/10000,0)</f>
        <v>0</v>
      </c>
      <c r="D8" s="1821" t="s">
        <v>2540</v>
      </c>
      <c r="E8" s="61" t="s">
        <v>638</v>
      </c>
      <c r="F8" s="784">
        <f ca="1">INDIRECT("'数据-取费表'!u"&amp;$G$1)</f>
        <v>0</v>
      </c>
      <c r="G8" s="1591"/>
      <c r="H8" s="2525" t="s">
        <v>1826</v>
      </c>
      <c r="I8" s="3736" t="s">
        <v>2468</v>
      </c>
      <c r="J8" s="782">
        <f ca="1">ROUND(M8*M10*M9*(1-M11)/10000,0)</f>
        <v>0</v>
      </c>
      <c r="K8" s="340" t="s">
        <v>2540</v>
      </c>
      <c r="L8" s="783" t="s">
        <v>1740</v>
      </c>
      <c r="M8" s="784">
        <f ca="1">INDIRECT("'数据-取费表'!z"&amp;$G$1)</f>
        <v>0</v>
      </c>
    </row>
    <row r="9" spans="1:25" ht="18" customHeight="1">
      <c r="A9" s="2521"/>
      <c r="B9" s="3737"/>
      <c r="C9" s="1825"/>
      <c r="D9" s="1822"/>
      <c r="E9" s="61" t="s">
        <v>639</v>
      </c>
      <c r="F9" s="784">
        <f ca="1">IF(INDIRECT("'数据-取费表'!ah"&amp;$G$1)="",INDIRECT("'数据-取费表'!k"&amp;$G$1),INDIRECT("'数据-取费表'!ah"&amp;$G$1))</f>
        <v>0</v>
      </c>
      <c r="G9" s="1591"/>
      <c r="H9" s="2510"/>
      <c r="I9" s="3737"/>
      <c r="J9" s="787"/>
      <c r="K9" s="788"/>
      <c r="L9" s="783" t="s">
        <v>1741</v>
      </c>
      <c r="M9" s="784">
        <f ca="1">F9</f>
        <v>0</v>
      </c>
    </row>
    <row r="10" spans="1:25" ht="18" customHeight="1">
      <c r="A10" s="2514"/>
      <c r="B10" s="3738"/>
      <c r="C10" s="1825"/>
      <c r="D10" s="1822"/>
      <c r="E10" s="61" t="s">
        <v>640</v>
      </c>
      <c r="F10" s="784">
        <f ca="1">INDIRECT("'数据-取费表'!ai"&amp;$G$1)</f>
        <v>0</v>
      </c>
      <c r="G10" s="1591"/>
      <c r="H10" s="2510"/>
      <c r="I10" s="3738"/>
      <c r="J10" s="787"/>
      <c r="K10" s="788"/>
      <c r="L10" s="783" t="s">
        <v>1742</v>
      </c>
      <c r="M10" s="784">
        <f ca="1">INDIRECT("'数据-取费表'!ai"&amp;$G$1)</f>
        <v>0</v>
      </c>
    </row>
    <row r="11" spans="1:25" ht="18" customHeight="1">
      <c r="A11" s="785"/>
      <c r="B11" s="3739"/>
      <c r="C11" s="1825"/>
      <c r="D11" s="1822"/>
      <c r="E11" s="61" t="s">
        <v>641</v>
      </c>
      <c r="F11" s="793">
        <f ca="1">INDIRECT("'数据-取费表'!w"&amp;$G$1)</f>
        <v>0</v>
      </c>
      <c r="G11" s="1591"/>
      <c r="H11" s="2526"/>
      <c r="I11" s="3738"/>
      <c r="J11" s="787"/>
      <c r="K11" s="788"/>
      <c r="L11" s="794" t="s">
        <v>1743</v>
      </c>
      <c r="M11" s="795">
        <f ca="1">INDIRECT("'数据-取费表'!ab"&amp;$G$1)</f>
        <v>0</v>
      </c>
    </row>
    <row r="12" spans="1:25" ht="18" customHeight="1">
      <c r="A12" s="1829" t="s">
        <v>1827</v>
      </c>
      <c r="B12" s="2515" t="s">
        <v>2464</v>
      </c>
      <c r="C12" s="798">
        <f ca="1">ROUND(IF(F12="押一",F8*F10*F9/12*F13,IF(F12="押二",F8*F10*F9/12*2*F13,IF(F12="押三",F8*F10*F9/12*3*F13,C13*F13)))/10000,0)</f>
        <v>0</v>
      </c>
      <c r="D12" s="2522" t="s">
        <v>2471</v>
      </c>
      <c r="E12" s="2519" t="s">
        <v>2469</v>
      </c>
      <c r="F12" s="2642"/>
      <c r="G12" s="1591"/>
      <c r="H12" s="2582" t="s">
        <v>1827</v>
      </c>
      <c r="I12" s="2587" t="s">
        <v>2464</v>
      </c>
      <c r="J12" s="782">
        <f ca="1">ROUND(IF(M12="押一",M8*M10*M9/12*M13,IF(M12="押二",M8*M10*M9/12*2*M13,IF(M12="押三",M8*M10*M9/12*3*M13,J13*M13)))/10000,0)</f>
        <v>0</v>
      </c>
      <c r="K12" s="2522" t="s">
        <v>2471</v>
      </c>
      <c r="L12" s="2519" t="s">
        <v>2469</v>
      </c>
      <c r="M12" s="2642"/>
    </row>
    <row r="13" spans="1:25" ht="18" customHeight="1">
      <c r="A13" s="789"/>
      <c r="B13" s="2516" t="s">
        <v>2579</v>
      </c>
      <c r="C13" s="2520"/>
      <c r="D13" s="788"/>
      <c r="E13" s="2519" t="s">
        <v>2461</v>
      </c>
      <c r="F13" s="795">
        <f ca="1">'数据-取费表'!B39</f>
        <v>1.4999999999999999E-2</v>
      </c>
      <c r="G13" s="1591"/>
      <c r="H13" s="2583"/>
      <c r="I13" s="2516" t="s">
        <v>2579</v>
      </c>
      <c r="J13" s="2520"/>
      <c r="K13" s="2584"/>
      <c r="L13" s="2519" t="s">
        <v>2461</v>
      </c>
      <c r="M13" s="2513">
        <f ca="1">'数据-取费表'!B39</f>
        <v>1.4999999999999999E-2</v>
      </c>
    </row>
    <row r="14" spans="1:25" ht="18" customHeight="1" thickBot="1">
      <c r="A14" s="2558" t="s">
        <v>2473</v>
      </c>
      <c r="B14" s="2559" t="s">
        <v>2465</v>
      </c>
      <c r="C14" s="2560"/>
      <c r="D14" s="2561"/>
      <c r="E14" s="2562"/>
      <c r="F14" s="2563"/>
      <c r="G14" s="1591"/>
      <c r="H14" s="2572" t="s">
        <v>2473</v>
      </c>
      <c r="I14" s="2585" t="s">
        <v>2465</v>
      </c>
      <c r="J14" s="2586"/>
      <c r="K14" s="2561"/>
      <c r="L14" s="2562"/>
      <c r="M14" s="2575"/>
    </row>
    <row r="15" spans="1:25" ht="18" customHeight="1" thickTop="1">
      <c r="A15" s="1828" t="s">
        <v>1876</v>
      </c>
      <c r="B15" s="1826" t="s">
        <v>642</v>
      </c>
      <c r="C15" s="791">
        <f ca="1">ROUND(C31*F15,0)</f>
        <v>0</v>
      </c>
      <c r="D15" s="1833" t="s">
        <v>643</v>
      </c>
      <c r="E15" s="794" t="s">
        <v>644</v>
      </c>
      <c r="F15" s="799">
        <f ca="1">INDIRECT("'数据-取费表'!y"&amp;$G$1)</f>
        <v>0</v>
      </c>
      <c r="G15" s="1591"/>
      <c r="H15" s="1828" t="s">
        <v>1828</v>
      </c>
      <c r="I15" s="1826" t="s">
        <v>645</v>
      </c>
      <c r="J15" s="1818">
        <f ca="1">ROUND(J16*J17,0)</f>
        <v>0</v>
      </c>
      <c r="K15" s="1820" t="s">
        <v>643</v>
      </c>
      <c r="L15" s="800"/>
      <c r="M15" s="801"/>
    </row>
    <row r="16" spans="1:25" ht="18" customHeight="1">
      <c r="A16" s="802" t="s">
        <v>1877</v>
      </c>
      <c r="B16" s="783" t="s">
        <v>646</v>
      </c>
      <c r="C16" s="803">
        <f ca="1">INDIRECT("'数据-取费表'!m"&amp;$G$1)+INDIRECT("'数据-取费表'!t"&amp;$G$1)</f>
        <v>0</v>
      </c>
      <c r="D16" s="1978" t="s">
        <v>647</v>
      </c>
      <c r="E16" s="1979"/>
      <c r="F16" s="804"/>
      <c r="G16" s="1591"/>
      <c r="H16" s="802" t="s">
        <v>2072</v>
      </c>
      <c r="I16" s="2230" t="s">
        <v>2831</v>
      </c>
      <c r="J16" s="53">
        <f ca="1">C31</f>
        <v>0</v>
      </c>
      <c r="K16" s="26"/>
      <c r="L16" s="800"/>
      <c r="M16" s="801"/>
    </row>
    <row r="17" spans="1:25" s="2063" customFormat="1" ht="18" customHeight="1">
      <c r="A17" s="802" t="s">
        <v>1851</v>
      </c>
      <c r="B17" s="783" t="s">
        <v>648</v>
      </c>
      <c r="C17" s="53">
        <f ca="1">ROUND(C16*F17,0)</f>
        <v>0</v>
      </c>
      <c r="D17" s="805" t="s">
        <v>649</v>
      </c>
      <c r="E17" s="805" t="s">
        <v>650</v>
      </c>
      <c r="F17" s="806">
        <f>'数据-取费表'!B33</f>
        <v>0.03</v>
      </c>
      <c r="G17" s="1592"/>
      <c r="H17" s="802" t="s">
        <v>2073</v>
      </c>
      <c r="I17" s="783" t="s">
        <v>644</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1"/>
      <c r="H18" s="796" t="s">
        <v>1829</v>
      </c>
      <c r="I18" s="797" t="s">
        <v>652</v>
      </c>
      <c r="J18" s="798">
        <f ca="1">ROUND(J19+J24+J25+J26,0)</f>
        <v>0</v>
      </c>
      <c r="K18" s="26" t="s">
        <v>653</v>
      </c>
      <c r="L18" s="1981"/>
      <c r="M18" s="56"/>
    </row>
    <row r="19" spans="1:25" s="2063" customFormat="1" ht="18" customHeight="1">
      <c r="A19" s="802" t="s">
        <v>1853</v>
      </c>
      <c r="B19" s="783" t="s">
        <v>654</v>
      </c>
      <c r="C19" s="53">
        <f ca="1">ROUND(F19*(INDIRECT("'数据-取费表'!k"&amp;$G$1)+INDIRECT("'数据-取费表'!S"&amp;$G$1))/10000,0)</f>
        <v>0</v>
      </c>
      <c r="D19" s="783" t="s">
        <v>655</v>
      </c>
      <c r="E19" s="783" t="s">
        <v>656</v>
      </c>
      <c r="F19" s="56">
        <f>'数据-取费表'!B35</f>
        <v>200</v>
      </c>
      <c r="G19" s="1592"/>
      <c r="H19" s="802" t="s">
        <v>2072</v>
      </c>
      <c r="I19" s="783" t="s">
        <v>657</v>
      </c>
      <c r="J19" s="53">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1854</v>
      </c>
      <c r="B20" s="783" t="s">
        <v>660</v>
      </c>
      <c r="C20" s="53">
        <f ca="1">ROUND(C16*F20,0)</f>
        <v>0</v>
      </c>
      <c r="D20" s="783" t="s">
        <v>649</v>
      </c>
      <c r="E20" s="783" t="s">
        <v>650</v>
      </c>
      <c r="F20" s="808">
        <f>'数据-取费表'!B36</f>
        <v>1.4999999999999999E-2</v>
      </c>
      <c r="G20" s="1592"/>
      <c r="H20" s="802" t="s">
        <v>1833</v>
      </c>
      <c r="I20" s="783" t="s">
        <v>661</v>
      </c>
      <c r="J20" s="53">
        <f ca="1">ROUND(J7*M20/1.05,1)</f>
        <v>0</v>
      </c>
      <c r="K20" s="1976" t="s">
        <v>662</v>
      </c>
      <c r="L20" s="783" t="s">
        <v>650</v>
      </c>
      <c r="M20" s="808">
        <f>'数据-取费表'!B41</f>
        <v>5.5000000000000007E-2</v>
      </c>
      <c r="N20" s="2062"/>
      <c r="O20" s="2062"/>
      <c r="P20" s="2062"/>
      <c r="Q20" s="2062"/>
      <c r="R20" s="2062"/>
      <c r="S20" s="2062"/>
      <c r="T20" s="2062"/>
      <c r="U20" s="2062"/>
      <c r="V20" s="2062"/>
      <c r="W20" s="2062"/>
      <c r="X20" s="2062"/>
      <c r="Y20" s="2062"/>
    </row>
    <row r="21" spans="1:25" ht="18" customHeight="1">
      <c r="A21" s="802" t="s">
        <v>1878</v>
      </c>
      <c r="B21" s="783" t="s">
        <v>663</v>
      </c>
      <c r="C21" s="53">
        <f ca="1">SUM(C16:C20)</f>
        <v>0</v>
      </c>
      <c r="D21" s="260" t="s">
        <v>664</v>
      </c>
      <c r="E21" s="1981"/>
      <c r="F21" s="56"/>
      <c r="G21" s="1591"/>
      <c r="H21" s="1829" t="s">
        <v>1851</v>
      </c>
      <c r="I21" s="783" t="s">
        <v>665</v>
      </c>
      <c r="J21" s="53">
        <f ca="1">IF(K21="按租金收入计税",ROUND(J7*M21,1),ROUND(C31*F35*0.7,1))</f>
        <v>0</v>
      </c>
      <c r="K21" s="810" t="s">
        <v>666</v>
      </c>
      <c r="L21" s="783" t="s">
        <v>650</v>
      </c>
      <c r="M21" s="808">
        <f>IF(K21="按租金收入计税",'数据-取费表'!B51,'数据-取费表'!B50)</f>
        <v>1.2E-2</v>
      </c>
    </row>
    <row r="22" spans="1:25" s="2063" customFormat="1" ht="18" customHeight="1">
      <c r="A22" s="802" t="s">
        <v>1879</v>
      </c>
      <c r="B22" s="783" t="s">
        <v>667</v>
      </c>
      <c r="C22" s="53">
        <f ca="1">ROUND(C21*F22,0)</f>
        <v>0</v>
      </c>
      <c r="D22" s="811" t="s">
        <v>668</v>
      </c>
      <c r="E22" s="783" t="s">
        <v>650</v>
      </c>
      <c r="F22" s="808">
        <f>'数据-取费表'!B37</f>
        <v>0.02</v>
      </c>
      <c r="G22" s="1592"/>
      <c r="H22" s="1831" t="s">
        <v>1852</v>
      </c>
      <c r="I22" s="1821" t="s">
        <v>669</v>
      </c>
      <c r="J22" s="54">
        <f ca="1">ROUND(M22*M23/10000,0)</f>
        <v>0</v>
      </c>
      <c r="K22" s="813" t="s">
        <v>670</v>
      </c>
      <c r="L22" s="783" t="s">
        <v>671</v>
      </c>
      <c r="M22" s="639">
        <f>'数据-取费表'!B52</f>
        <v>4</v>
      </c>
      <c r="N22" s="2062"/>
      <c r="O22" s="2062"/>
      <c r="P22" s="2062"/>
      <c r="Q22" s="2062"/>
      <c r="R22" s="2062"/>
      <c r="S22" s="2062"/>
      <c r="T22" s="2062"/>
      <c r="U22" s="2062"/>
      <c r="V22" s="2062"/>
      <c r="W22" s="2062"/>
      <c r="X22" s="2062"/>
      <c r="Y22" s="2062"/>
    </row>
    <row r="23" spans="1:25" s="2063" customFormat="1" ht="18" customHeight="1">
      <c r="A23" s="802" t="s">
        <v>1880</v>
      </c>
      <c r="B23" s="783" t="s">
        <v>672</v>
      </c>
      <c r="C23" s="53" t="s">
        <v>1</v>
      </c>
      <c r="D23" s="811" t="s">
        <v>673</v>
      </c>
      <c r="E23" s="783" t="s">
        <v>674</v>
      </c>
      <c r="F23" s="808">
        <f>'数据-取费表'!B38</f>
        <v>0.02</v>
      </c>
      <c r="G23" s="1592"/>
      <c r="H23" s="1832"/>
      <c r="I23" s="1823"/>
      <c r="J23" s="69"/>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1881</v>
      </c>
      <c r="B24" s="783" t="s">
        <v>676</v>
      </c>
      <c r="C24" s="53"/>
      <c r="D24" s="2593" t="str">
        <f>IF(F25&lt;=1,"单利计息。","复利计息。")&amp;"建造成本、管理费用、销售费用产生的利息。"</f>
        <v>复利计息。建造成本、管理费用、销售费用产生的利息。</v>
      </c>
      <c r="E24" s="1981"/>
      <c r="F24" s="56"/>
      <c r="G24" s="1591"/>
      <c r="H24" s="1830" t="s">
        <v>2073</v>
      </c>
      <c r="I24" s="783" t="s">
        <v>677</v>
      </c>
      <c r="J24" s="53">
        <f ca="1">ROUND(J16*M24,0)</f>
        <v>0</v>
      </c>
      <c r="K24" s="1976" t="s">
        <v>678</v>
      </c>
      <c r="L24" s="783" t="s">
        <v>650</v>
      </c>
      <c r="M24" s="816">
        <f ca="1">INDIRECT("'数据-取费表'!Ak"&amp;$G$1)</f>
        <v>0</v>
      </c>
    </row>
    <row r="25" spans="1:25" s="2063" customFormat="1" ht="18" customHeight="1">
      <c r="A25" s="802" t="s">
        <v>1877</v>
      </c>
      <c r="B25" s="783" t="s">
        <v>2441</v>
      </c>
      <c r="C25" s="53">
        <f ca="1">ROUND(IF('数据-取费表'!B22&lt;=1,(C21+C22)*F26*F25/2,(C21+C22)*(POWER((1+F26),F25/2)-1)),0)</f>
        <v>0</v>
      </c>
      <c r="D25" s="2592" t="str">
        <f>IF(F25&lt;=1,"(建造成本+管理费用)×利率×(建设周期÷2)","(建造成本+管理费用)×((1+利率)^(建设周期÷2)-1)")</f>
        <v>(建造成本+管理费用)×((1+利率)^(建设周期÷2)-1)</v>
      </c>
      <c r="E25" s="783" t="s">
        <v>679</v>
      </c>
      <c r="F25" s="639">
        <f>'数据-取费表'!B20</f>
        <v>2.5</v>
      </c>
      <c r="G25" s="1592"/>
      <c r="H25" s="802" t="s">
        <v>1880</v>
      </c>
      <c r="I25" s="783" t="s">
        <v>680</v>
      </c>
      <c r="J25" s="53">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1851</v>
      </c>
      <c r="B26" s="783" t="s">
        <v>682</v>
      </c>
      <c r="C26" s="53">
        <f ca="1">ROUND(IF('数据-取费表'!B22&lt;=1,F23*F26*F25/2,F23*(POWER((1+F26),F25/2)-1)),4)</f>
        <v>1.1999999999999999E-3</v>
      </c>
      <c r="D26" s="2592" t="str">
        <f>IF(F25&lt;=1,"销售费用×利率×(建设周期÷2)","销售费用×((1+利率)^(建设周期÷2)-1)")</f>
        <v>销售费用×((1+利率)^(建设周期÷2)-1)</v>
      </c>
      <c r="E26" s="783" t="s">
        <v>683</v>
      </c>
      <c r="F26" s="818">
        <f ca="1">'数据-取费表'!B40</f>
        <v>4.7500000000000001E-2</v>
      </c>
      <c r="G26" s="1592"/>
      <c r="H26" s="802" t="s">
        <v>1881</v>
      </c>
      <c r="I26" s="783" t="s">
        <v>667</v>
      </c>
      <c r="J26" s="53">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1883</v>
      </c>
      <c r="B27" s="783" t="s">
        <v>685</v>
      </c>
      <c r="C27" s="53"/>
      <c r="D27" s="260" t="s">
        <v>686</v>
      </c>
      <c r="E27" s="1981"/>
      <c r="F27" s="56"/>
      <c r="G27" s="1591"/>
      <c r="H27" s="796" t="s">
        <v>1830</v>
      </c>
      <c r="I27" s="3032" t="s">
        <v>2828</v>
      </c>
      <c r="J27" s="798">
        <f ca="1">J7-J18</f>
        <v>0</v>
      </c>
      <c r="K27" s="1978" t="s">
        <v>701</v>
      </c>
      <c r="L27" s="1980"/>
      <c r="M27" s="819"/>
    </row>
    <row r="28" spans="1:25" ht="18" customHeight="1">
      <c r="A28" s="802" t="s">
        <v>1877</v>
      </c>
      <c r="B28" s="783" t="s">
        <v>2442</v>
      </c>
      <c r="C28" s="53">
        <f ca="1">ROUND((C21+C22)*F28,0)</f>
        <v>0</v>
      </c>
      <c r="D28" s="811" t="s">
        <v>702</v>
      </c>
      <c r="E28" s="794" t="s">
        <v>703</v>
      </c>
      <c r="F28" s="793">
        <f ca="1">INDIRECT("'数据-取费表'!q"&amp;$G$1)</f>
        <v>0</v>
      </c>
      <c r="G28" s="1591"/>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3" customFormat="1" ht="18" customHeight="1">
      <c r="A30" s="802" t="s">
        <v>1884</v>
      </c>
      <c r="B30" s="783" t="s">
        <v>688</v>
      </c>
      <c r="C30" s="53">
        <f>ROUND(F30/(1+'数据-取费表'!C42),4)</f>
        <v>5.2400000000000002E-2</v>
      </c>
      <c r="D30" s="811" t="s">
        <v>710</v>
      </c>
      <c r="E30" s="783" t="s">
        <v>650</v>
      </c>
      <c r="F30" s="808">
        <f>'数据-取费表'!B41</f>
        <v>5.5000000000000007E-2</v>
      </c>
      <c r="G30" s="1592"/>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1885</v>
      </c>
      <c r="B31" s="2562" t="s">
        <v>2829</v>
      </c>
      <c r="C31" s="2565">
        <f ca="1">ROUND((C21+C22+C25+C28)/(1-F23-C26-C29-C30),0)</f>
        <v>0</v>
      </c>
      <c r="D31" s="2566"/>
      <c r="E31" s="2567"/>
      <c r="F31" s="2568"/>
      <c r="G31" s="1592"/>
      <c r="H31" s="822" t="s">
        <v>1874</v>
      </c>
      <c r="I31" s="3033" t="s">
        <v>2830</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08"/>
      <c r="F32" s="2512"/>
      <c r="G32" s="2061"/>
      <c r="H32" s="2064"/>
      <c r="I32" s="2065"/>
      <c r="J32" s="2066"/>
      <c r="K32" s="2067"/>
      <c r="L32" s="2068"/>
      <c r="M32" s="2069"/>
    </row>
    <row r="33" spans="1:18" ht="18" customHeight="1">
      <c r="A33" s="802" t="s">
        <v>1878</v>
      </c>
      <c r="B33" s="783" t="s">
        <v>657</v>
      </c>
      <c r="C33" s="53">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1877</v>
      </c>
      <c r="B34" s="783" t="s">
        <v>661</v>
      </c>
      <c r="C34" s="53">
        <f ca="1">ROUND(C7*F34/1.05,1)</f>
        <v>0</v>
      </c>
      <c r="D34" s="1976" t="s">
        <v>662</v>
      </c>
      <c r="E34" s="783" t="s">
        <v>650</v>
      </c>
      <c r="F34" s="808">
        <f>'数据-取费表'!B41</f>
        <v>5.5000000000000007E-2</v>
      </c>
      <c r="G34" s="2061"/>
      <c r="H34" s="2070"/>
      <c r="I34" s="2071"/>
      <c r="J34" s="2072"/>
      <c r="K34" s="2073"/>
      <c r="L34" s="2074"/>
      <c r="M34" s="2075"/>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1"/>
      <c r="H35" s="2076"/>
      <c r="I35" s="2076"/>
      <c r="J35" s="2076"/>
      <c r="K35" s="2077"/>
      <c r="L35" s="2076"/>
      <c r="M35" s="2076"/>
    </row>
    <row r="36" spans="1:18" ht="18" customHeight="1">
      <c r="A36" s="812" t="s">
        <v>1882</v>
      </c>
      <c r="B36" s="340" t="s">
        <v>669</v>
      </c>
      <c r="C36" s="54">
        <f ca="1">ROUND(F36*F37/10000,1)</f>
        <v>0</v>
      </c>
      <c r="D36" s="813" t="s">
        <v>670</v>
      </c>
      <c r="E36" s="783" t="s">
        <v>671</v>
      </c>
      <c r="F36" s="639">
        <f>'数据-取费表'!B52</f>
        <v>4</v>
      </c>
      <c r="G36" s="2061"/>
      <c r="H36" s="2064"/>
      <c r="I36" s="3769"/>
      <c r="J36" s="2078"/>
      <c r="K36" s="2079"/>
      <c r="L36" s="2078"/>
      <c r="M36" s="2078"/>
    </row>
    <row r="37" spans="1:18" ht="18" customHeight="1">
      <c r="A37" s="814"/>
      <c r="B37" s="792"/>
      <c r="C37" s="69"/>
      <c r="D37" s="815"/>
      <c r="E37" s="783" t="s">
        <v>675</v>
      </c>
      <c r="F37" s="784">
        <f ca="1">INDIRECT("'数据-取费表'!r"&amp;$G$1)</f>
        <v>0</v>
      </c>
      <c r="G37" s="2061"/>
      <c r="H37" s="2064"/>
      <c r="I37" s="3769"/>
      <c r="J37" s="2076"/>
      <c r="K37" s="2077"/>
      <c r="L37" s="2076"/>
      <c r="M37" s="2076"/>
    </row>
    <row r="38" spans="1:18" ht="18" customHeight="1">
      <c r="A38" s="802" t="s">
        <v>1879</v>
      </c>
      <c r="B38" s="783" t="s">
        <v>677</v>
      </c>
      <c r="C38" s="53">
        <f ca="1">ROUND(C31*F38,1)</f>
        <v>0</v>
      </c>
      <c r="D38" s="1976" t="s">
        <v>692</v>
      </c>
      <c r="E38" s="783" t="s">
        <v>650</v>
      </c>
      <c r="F38" s="816">
        <f ca="1">INDIRECT("'数据-取费表'!Ak"&amp;$G$1)</f>
        <v>0</v>
      </c>
      <c r="G38" s="2061"/>
      <c r="H38" s="2076"/>
      <c r="I38" s="2080"/>
      <c r="J38" s="1987"/>
      <c r="K38" s="2081"/>
      <c r="L38" s="2076"/>
      <c r="M38" s="2076"/>
    </row>
    <row r="39" spans="1:18" ht="18" customHeight="1">
      <c r="A39" s="802" t="s">
        <v>1880</v>
      </c>
      <c r="B39" s="783" t="s">
        <v>680</v>
      </c>
      <c r="C39" s="53">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1" t="s">
        <v>1881</v>
      </c>
      <c r="B40" s="2567" t="s">
        <v>667</v>
      </c>
      <c r="C40" s="2565">
        <f ca="1">ROUND(C7*F40,1)</f>
        <v>0</v>
      </c>
      <c r="D40" s="2566" t="s">
        <v>684</v>
      </c>
      <c r="E40" s="2567" t="s">
        <v>650</v>
      </c>
      <c r="F40" s="2563">
        <f ca="1">INDIRECT("'数据-取费表'!Am"&amp;$G$1)</f>
        <v>0</v>
      </c>
      <c r="G40" s="2061"/>
      <c r="H40" s="2076"/>
      <c r="I40" s="2080"/>
      <c r="J40" s="1987"/>
      <c r="K40" s="2082"/>
      <c r="L40" s="2076"/>
      <c r="M40" s="2076"/>
    </row>
    <row r="41" spans="1:18" ht="18" customHeight="1" thickTop="1">
      <c r="A41" s="1828">
        <v>4</v>
      </c>
      <c r="B41" s="1826" t="s">
        <v>693</v>
      </c>
      <c r="C41" s="1351"/>
      <c r="D41" s="1352"/>
      <c r="E41" s="1352"/>
      <c r="F41" s="1353"/>
      <c r="G41" s="2061"/>
      <c r="H41" s="2061"/>
      <c r="I41" s="2061"/>
      <c r="J41" s="2061"/>
      <c r="K41" s="2082"/>
      <c r="L41" s="2061"/>
      <c r="M41" s="2061"/>
    </row>
    <row r="42" spans="1:18" ht="18" customHeight="1">
      <c r="A42" s="802" t="s">
        <v>1878</v>
      </c>
      <c r="B42" s="834" t="s">
        <v>694</v>
      </c>
      <c r="C42" s="828">
        <f ca="1">C7-C32</f>
        <v>0</v>
      </c>
      <c r="D42" s="1978" t="s">
        <v>695</v>
      </c>
      <c r="E42" s="1980"/>
      <c r="F42" s="819"/>
      <c r="G42" s="2061"/>
      <c r="H42" s="2061"/>
      <c r="I42" s="2061"/>
      <c r="J42" s="2061"/>
      <c r="K42" s="2082"/>
      <c r="L42" s="2061"/>
      <c r="M42" s="2061"/>
    </row>
    <row r="43" spans="1:18" ht="18" customHeight="1">
      <c r="A43" s="802" t="s">
        <v>1879</v>
      </c>
      <c r="B43" s="834" t="s">
        <v>712</v>
      </c>
      <c r="C43" s="835">
        <f ca="1">ROUND(C15*F43,0)</f>
        <v>0</v>
      </c>
      <c r="D43" s="1354" t="s">
        <v>713</v>
      </c>
      <c r="E43" s="3150" t="s">
        <v>2969</v>
      </c>
      <c r="F43" s="3151">
        <f ca="1">INDIRECT("'数据-取费表'!j"&amp;$G$1)</f>
        <v>0</v>
      </c>
      <c r="G43" s="2061"/>
      <c r="H43" s="2061"/>
      <c r="I43" s="2061"/>
      <c r="J43" s="2061"/>
      <c r="K43" s="2082"/>
      <c r="L43" s="2061"/>
      <c r="M43" s="2061"/>
    </row>
    <row r="44" spans="1:18" ht="18" customHeight="1">
      <c r="A44" s="802" t="s">
        <v>1880</v>
      </c>
      <c r="B44" s="834" t="s">
        <v>714</v>
      </c>
      <c r="C44" s="1355">
        <f ca="1">C42-C43</f>
        <v>0</v>
      </c>
      <c r="D44" s="462" t="s">
        <v>715</v>
      </c>
      <c r="E44" s="463"/>
      <c r="F44" s="464"/>
      <c r="G44" s="2061"/>
      <c r="H44" s="2061"/>
      <c r="I44" s="2061"/>
      <c r="J44" s="2061"/>
      <c r="K44" s="2082"/>
      <c r="L44" s="2061"/>
      <c r="M44" s="2061"/>
    </row>
    <row r="45" spans="1:18" ht="18" customHeight="1">
      <c r="A45" s="802" t="s">
        <v>1881</v>
      </c>
      <c r="B45" s="1354" t="s">
        <v>716</v>
      </c>
      <c r="C45" s="3059">
        <f ca="1">ROUND(-PV(F45,F46,C44,0),0)</f>
        <v>0</v>
      </c>
      <c r="D45" s="1356" t="s">
        <v>717</v>
      </c>
      <c r="E45" s="805" t="s">
        <v>718</v>
      </c>
      <c r="F45" s="829">
        <f ca="1">INDIRECT("'数据-取费表'!h"&amp;$G$1)</f>
        <v>0</v>
      </c>
      <c r="G45" s="2061"/>
      <c r="H45" s="2061"/>
      <c r="I45" s="2061"/>
      <c r="J45" s="2061"/>
      <c r="K45" s="2082"/>
      <c r="L45" s="2061"/>
      <c r="M45" s="2061"/>
    </row>
    <row r="46" spans="1:18" ht="18" customHeight="1" thickBot="1">
      <c r="A46" s="830"/>
      <c r="B46" s="1357"/>
      <c r="C46" s="1358"/>
      <c r="D46" s="1359"/>
      <c r="E46" s="3152" t="s">
        <v>2972</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5" t="s">
        <v>2346</v>
      </c>
      <c r="J47" s="2376"/>
      <c r="K47" s="2377"/>
      <c r="L47" s="2378" t="str">
        <f ca="1">IF(M48="住宅",0,IF(L49&gt;J52,L61,J61))</f>
        <v>0</v>
      </c>
      <c r="O47" s="2415" t="s">
        <v>2414</v>
      </c>
      <c r="P47" s="1591"/>
      <c r="Q47" s="1603"/>
      <c r="R47" s="1591"/>
    </row>
    <row r="48" spans="1:18" s="2058" customFormat="1" ht="18" customHeight="1" thickBot="1">
      <c r="A48" s="2083"/>
      <c r="C48" s="2086"/>
      <c r="D48" s="2087"/>
      <c r="E48" s="2087"/>
      <c r="F48" s="2088"/>
      <c r="G48" s="2089"/>
      <c r="I48" s="2379" t="s">
        <v>2347</v>
      </c>
      <c r="J48" s="2384"/>
      <c r="K48" s="2385" t="s">
        <v>2353</v>
      </c>
      <c r="L48" s="2386">
        <f ca="1">INDIRECT("'数据-取费表'!d"&amp;$G$1)</f>
        <v>0</v>
      </c>
      <c r="M48" s="3147" t="str">
        <f>IF(ISNUMBER(FIND("住宅",C1)),"住宅","非住宅")</f>
        <v>非住宅</v>
      </c>
      <c r="O48" s="2416" t="s">
        <v>2379</v>
      </c>
      <c r="P48" s="2417" t="s">
        <v>2380</v>
      </c>
      <c r="Q48" s="2418" t="s">
        <v>2381</v>
      </c>
      <c r="R48" s="2417" t="s">
        <v>2382</v>
      </c>
    </row>
    <row r="49" spans="1:18" s="2058" customFormat="1" ht="18" customHeight="1" thickBot="1">
      <c r="A49" s="2083"/>
      <c r="D49" s="2090"/>
      <c r="E49" s="2091"/>
      <c r="F49" s="2088"/>
      <c r="G49" s="2089"/>
      <c r="H49" s="2092"/>
      <c r="I49" s="2380" t="s">
        <v>2348</v>
      </c>
      <c r="J49" s="2387"/>
      <c r="K49" s="2388" t="s">
        <v>2355</v>
      </c>
      <c r="L49" s="2389">
        <f ca="1">INDIRECT("'数据-取费表'!f"&amp;$G$1)</f>
        <v>0</v>
      </c>
      <c r="O49" s="2419" t="s">
        <v>2383</v>
      </c>
      <c r="P49" s="2420" t="s">
        <v>2409</v>
      </c>
      <c r="Q49" s="2421">
        <f ca="1">C41+J31</f>
        <v>0</v>
      </c>
      <c r="R49" s="2420" t="s">
        <v>2384</v>
      </c>
    </row>
    <row r="50" spans="1:18" s="2058" customFormat="1" ht="18" customHeight="1" thickBot="1">
      <c r="A50" s="2083"/>
      <c r="D50" s="2093"/>
      <c r="E50" s="2093"/>
      <c r="F50" s="2087"/>
      <c r="G50" s="2094"/>
      <c r="H50" s="2092"/>
      <c r="I50" s="2380" t="s">
        <v>2349</v>
      </c>
      <c r="J50" s="2390"/>
      <c r="K50" s="2391" t="s">
        <v>2356</v>
      </c>
      <c r="L50" s="2392"/>
      <c r="O50" s="2419" t="s">
        <v>2385</v>
      </c>
      <c r="P50" s="2420" t="s">
        <v>2410</v>
      </c>
      <c r="Q50" s="2421" t="str">
        <f ca="1">J61</f>
        <v>0</v>
      </c>
      <c r="R50" s="2420" t="s">
        <v>2386</v>
      </c>
    </row>
    <row r="51" spans="1:18" s="2058" customFormat="1" ht="18" customHeight="1" thickBot="1">
      <c r="A51" s="2095"/>
      <c r="D51" s="2093"/>
      <c r="E51" s="2093"/>
      <c r="F51" s="2084"/>
      <c r="H51" s="2092"/>
      <c r="I51" s="2380" t="s">
        <v>2350</v>
      </c>
      <c r="J51" s="2393">
        <f>SUMPRODUCT((I64:I66=J48)*(J63:L63=J49)*(J64:L66))</f>
        <v>0</v>
      </c>
      <c r="K51" s="2391" t="s">
        <v>2357</v>
      </c>
      <c r="L51" s="2392"/>
      <c r="O51" s="2422" t="s">
        <v>2387</v>
      </c>
      <c r="P51" s="2420" t="s">
        <v>2411</v>
      </c>
      <c r="Q51" s="2421">
        <f ca="1">C31</f>
        <v>0</v>
      </c>
      <c r="R51" s="2420" t="s">
        <v>2384</v>
      </c>
    </row>
    <row r="52" spans="1:18" s="2058" customFormat="1" ht="18" customHeight="1" thickBot="1">
      <c r="A52" s="2095"/>
      <c r="F52" s="2084"/>
      <c r="I52" s="2381" t="s">
        <v>2351</v>
      </c>
      <c r="J52" s="2394">
        <f>IF(J50="",J51,J50+J51-YEAR('数据-取费表'!B3))</f>
        <v>0</v>
      </c>
      <c r="K52" s="2380" t="s">
        <v>2358</v>
      </c>
      <c r="L52" s="2395">
        <f ca="1">ROUND(-PV(INDIRECT("'数据-取费表'!h"&amp;$G$1),L49,(C40-C14*J36),0),0)</f>
        <v>0</v>
      </c>
      <c r="O52" s="2422" t="s">
        <v>2388</v>
      </c>
      <c r="P52" s="2420" t="s">
        <v>2389</v>
      </c>
      <c r="Q52" s="2423" t="e">
        <f ca="1">J59</f>
        <v>#VALUE!</v>
      </c>
      <c r="R52" s="2424"/>
    </row>
    <row r="53" spans="1:18" s="2058" customFormat="1" ht="18" customHeight="1" thickBot="1">
      <c r="A53" s="2095"/>
      <c r="F53" s="2084"/>
      <c r="I53" s="2382" t="s">
        <v>2425</v>
      </c>
      <c r="J53" s="2396"/>
      <c r="K53" s="2382" t="s">
        <v>2424</v>
      </c>
      <c r="L53" s="2396"/>
      <c r="O53" s="2422" t="s">
        <v>2390</v>
      </c>
      <c r="P53" s="2420" t="s">
        <v>2391</v>
      </c>
      <c r="Q53" s="2423">
        <f>J53</f>
        <v>0</v>
      </c>
      <c r="R53" s="2424"/>
    </row>
    <row r="54" spans="1:18" s="2058" customFormat="1" ht="43.5" thickBot="1">
      <c r="A54" s="2095"/>
      <c r="I54" s="2383" t="s">
        <v>2352</v>
      </c>
      <c r="J54" s="2397">
        <f ca="1">IF(M48="住宅",J52,IF(J52&gt;L49,L49-'数据-取费表'!B25,J52))</f>
        <v>0</v>
      </c>
      <c r="K54" s="3770"/>
      <c r="L54" s="3771"/>
      <c r="O54" s="2422" t="s">
        <v>2392</v>
      </c>
      <c r="P54" s="2420" t="s">
        <v>2393</v>
      </c>
      <c r="Q54" s="2421">
        <f ca="1">J54</f>
        <v>0</v>
      </c>
      <c r="R54" s="2420" t="s">
        <v>2394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19" t="s">
        <v>2395</v>
      </c>
      <c r="P55" s="2420" t="s">
        <v>2412</v>
      </c>
      <c r="Q55" s="2421">
        <f ca="1">Q49+Q50</f>
        <v>0</v>
      </c>
      <c r="R55" s="2424" t="s">
        <v>2396</v>
      </c>
    </row>
    <row r="56" spans="1:18" s="2058" customFormat="1" ht="16.5" thickBot="1">
      <c r="A56" s="2095"/>
      <c r="B56" s="2096"/>
      <c r="C56" s="2096"/>
      <c r="I56" s="3124" t="s">
        <v>2359</v>
      </c>
      <c r="J56" s="3148" t="e">
        <f ca="1">ROUND(IF(J48="钢混",J58/J51,1-(1-2%)*(J51-J58)/J51),3)</f>
        <v>#VALUE!</v>
      </c>
      <c r="K56" s="2398" t="s">
        <v>2360</v>
      </c>
      <c r="L56" s="2399"/>
      <c r="O56" s="2425" t="s">
        <v>2415</v>
      </c>
      <c r="P56" s="1591"/>
      <c r="Q56" s="1603"/>
      <c r="R56" s="1591"/>
    </row>
    <row r="57" spans="1:18" s="2058" customFormat="1" ht="43.5" thickBot="1">
      <c r="A57" s="2095"/>
      <c r="B57" s="2096"/>
      <c r="C57" s="2096"/>
      <c r="I57" s="2400" t="s">
        <v>2361</v>
      </c>
      <c r="J57" s="3147" t="s">
        <v>1680</v>
      </c>
      <c r="K57" s="2380" t="s">
        <v>2366</v>
      </c>
      <c r="L57" s="2389">
        <f ca="1">IF(L49&lt;J52,"——",L49-J52)</f>
        <v>0</v>
      </c>
      <c r="O57" s="2416" t="s">
        <v>2379</v>
      </c>
      <c r="P57" s="2417" t="s">
        <v>2380</v>
      </c>
      <c r="Q57" s="2418" t="s">
        <v>2381</v>
      </c>
      <c r="R57" s="2417" t="s">
        <v>2382</v>
      </c>
    </row>
    <row r="58" spans="1:18" s="2058" customFormat="1" ht="29.25" thickBot="1">
      <c r="A58" s="2095"/>
      <c r="B58" s="2096"/>
      <c r="C58" s="2096"/>
      <c r="I58" s="2401" t="s">
        <v>2362</v>
      </c>
      <c r="J58" s="2403" t="str">
        <f ca="1">IF(OR(M48="住宅",J52&lt;L49,J57="是"),"——",J52-L49)</f>
        <v>——</v>
      </c>
      <c r="K58" s="2380" t="s">
        <v>2367</v>
      </c>
      <c r="L58" s="2389">
        <f ca="1">IF(L49&lt;J52,"——",IF(L56="比较法",L50,IF(L56="基准地价",L51,L52)))</f>
        <v>0</v>
      </c>
      <c r="O58" s="2419" t="s">
        <v>2383</v>
      </c>
      <c r="P58" s="2420" t="s">
        <v>2409</v>
      </c>
      <c r="Q58" s="2421">
        <f ca="1">C41+J31</f>
        <v>0</v>
      </c>
      <c r="R58" s="2420" t="s">
        <v>2384</v>
      </c>
    </row>
    <row r="59" spans="1:18" s="2058" customFormat="1" ht="29.25" thickBot="1">
      <c r="A59" s="2095"/>
      <c r="B59" s="2096"/>
      <c r="C59" s="2096"/>
      <c r="I59" s="2401" t="s">
        <v>2363</v>
      </c>
      <c r="J59" s="3149" t="e">
        <f ca="1">IF(J56&lt;0.4,0.4,J56)</f>
        <v>#VALUE!</v>
      </c>
      <c r="K59" s="2380" t="s">
        <v>2368</v>
      </c>
      <c r="L59" s="2389">
        <f ca="1">IF(ISERROR(POWER(1+L53,L48-L49)*(POWER(1+L53,L49)-1)/(POWER(1+L53,L48)-1)),0,POWER(1+L53,L48-L49)*(POWER(1+L53,L49)-1)/(POWER(1+L53,L48)-1))</f>
        <v>0</v>
      </c>
      <c r="O59" s="2419" t="s">
        <v>2385</v>
      </c>
      <c r="P59" s="2420" t="s">
        <v>2416</v>
      </c>
      <c r="Q59" s="2421" t="e">
        <f ca="1">L61</f>
        <v>#DIV/0!</v>
      </c>
      <c r="R59" s="2424" t="s">
        <v>2418</v>
      </c>
    </row>
    <row r="60" spans="1:18" s="2058" customFormat="1" ht="29.25" thickBot="1">
      <c r="A60" s="2095"/>
      <c r="B60" s="2096"/>
      <c r="C60" s="2096"/>
      <c r="I60" s="2401" t="s">
        <v>2364</v>
      </c>
      <c r="J60" s="2403" t="str">
        <f ca="1">IF(OR(M48="住宅",J52&lt;L49,J57="是"),"——",ROUND(C30*J59,0))</f>
        <v>——</v>
      </c>
      <c r="K60" s="2380" t="s">
        <v>2369</v>
      </c>
      <c r="L60" s="2389">
        <f ca="1">IF(ISERROR(POWER(1+L53,L48-J52)*(POWER(1+L53,J52)-1)/(POWER(1+L53,L48)-1)),0,POWER(1+L53,L48-J52)*(POWER(1+L53,J52)-1)/(POWER(1+L53,L48)-1))</f>
        <v>0</v>
      </c>
      <c r="O60" s="2422" t="s">
        <v>2387</v>
      </c>
      <c r="P60" s="2420" t="s">
        <v>2417</v>
      </c>
      <c r="Q60" s="2421">
        <f>IF(L56="比较法",L50,IF(L56="基准地价",L51,0))</f>
        <v>0</v>
      </c>
      <c r="R60" s="2420" t="s">
        <v>2384</v>
      </c>
    </row>
    <row r="61" spans="1:18" s="2058" customFormat="1" ht="15.75" thickBot="1">
      <c r="A61" s="2095"/>
      <c r="B61" s="2096"/>
      <c r="C61" s="2096"/>
      <c r="I61" s="2402" t="s">
        <v>2365</v>
      </c>
      <c r="J61" s="2404" t="str">
        <f ca="1">IF(OR(M48="住宅",J52&lt;L49,J57="是"),"0",ROUND(J60/(1+J53)^J54,0))</f>
        <v>0</v>
      </c>
      <c r="K61" s="2405" t="s">
        <v>2370</v>
      </c>
      <c r="L61" s="2404" t="e">
        <f ca="1">IF(OR(M48="住宅",L49&lt;J52),0,ROUND(L58*(L59/L60-1),0))</f>
        <v>#DIV/0!</v>
      </c>
      <c r="O61" s="2422" t="s">
        <v>2388</v>
      </c>
      <c r="P61" s="2420" t="s">
        <v>2397</v>
      </c>
      <c r="Q61" s="2423">
        <f>L53</f>
        <v>0</v>
      </c>
      <c r="R61" s="2424"/>
    </row>
    <row r="62" spans="1:18" s="2058" customFormat="1" ht="20.25" thickBot="1">
      <c r="A62" s="2095"/>
      <c r="B62" s="2096"/>
      <c r="C62" s="2096"/>
      <c r="K62" s="2085"/>
      <c r="O62" s="2422" t="s">
        <v>2390</v>
      </c>
      <c r="P62" s="2420" t="s">
        <v>2398</v>
      </c>
      <c r="Q62" s="2421">
        <f ca="1">L59</f>
        <v>0</v>
      </c>
      <c r="R62" s="2424" t="s">
        <v>2399</v>
      </c>
    </row>
    <row r="63" spans="1:18" s="2058" customFormat="1" ht="20.25" thickBot="1">
      <c r="A63" s="2095"/>
      <c r="B63" s="2096"/>
      <c r="C63" s="2096"/>
      <c r="I63" s="2406" t="s">
        <v>2371</v>
      </c>
      <c r="J63" s="2407" t="s">
        <v>2372</v>
      </c>
      <c r="K63" s="2407" t="s">
        <v>2373</v>
      </c>
      <c r="L63" s="2407" t="s">
        <v>2354</v>
      </c>
      <c r="M63" s="3126" t="s">
        <v>2948</v>
      </c>
      <c r="O63" s="2422" t="s">
        <v>2392</v>
      </c>
      <c r="P63" s="2420" t="s">
        <v>2400</v>
      </c>
      <c r="Q63" s="2421">
        <f ca="1">L60</f>
        <v>0</v>
      </c>
      <c r="R63" s="2424" t="s">
        <v>2401</v>
      </c>
    </row>
    <row r="64" spans="1:18" s="2058" customFormat="1" ht="15.75" thickBot="1">
      <c r="A64" s="2095"/>
      <c r="B64" s="2096"/>
      <c r="C64" s="2096"/>
      <c r="I64" s="2406" t="s">
        <v>2374</v>
      </c>
      <c r="J64" s="2407">
        <v>70</v>
      </c>
      <c r="K64" s="2407">
        <v>50</v>
      </c>
      <c r="L64" s="2407">
        <v>80</v>
      </c>
      <c r="M64" s="3127">
        <v>0.02</v>
      </c>
      <c r="O64" s="2419" t="s">
        <v>2395</v>
      </c>
      <c r="P64" s="2420" t="s">
        <v>2412</v>
      </c>
      <c r="Q64" s="2421" t="e">
        <f ca="1">Q58+Q59</f>
        <v>#DIV/0!</v>
      </c>
      <c r="R64" s="2424" t="s">
        <v>2396</v>
      </c>
    </row>
    <row r="65" spans="1:18" s="2058" customFormat="1" ht="16.5" thickBot="1">
      <c r="A65" s="2095"/>
      <c r="B65" s="2096"/>
      <c r="C65" s="2096"/>
      <c r="I65" s="2406" t="s">
        <v>2375</v>
      </c>
      <c r="J65" s="2407">
        <v>50</v>
      </c>
      <c r="K65" s="2407">
        <v>35</v>
      </c>
      <c r="L65" s="2407">
        <v>60</v>
      </c>
      <c r="M65" s="3128">
        <v>0</v>
      </c>
      <c r="O65" s="2425" t="s">
        <v>2419</v>
      </c>
      <c r="P65" s="1591"/>
      <c r="Q65" s="1603"/>
      <c r="R65" s="1591"/>
    </row>
    <row r="66" spans="1:18" s="2058" customFormat="1" ht="15.75" thickBot="1">
      <c r="A66" s="2095"/>
      <c r="B66" s="2096"/>
      <c r="C66" s="2096"/>
      <c r="I66" s="2406" t="s">
        <v>2376</v>
      </c>
      <c r="J66" s="2407">
        <v>40</v>
      </c>
      <c r="K66" s="2407">
        <v>30</v>
      </c>
      <c r="L66" s="2407">
        <v>50</v>
      </c>
      <c r="M66" s="3127">
        <v>0.02</v>
      </c>
      <c r="O66" s="2416" t="s">
        <v>2379</v>
      </c>
      <c r="P66" s="2417" t="s">
        <v>2380</v>
      </c>
      <c r="Q66" s="2418" t="s">
        <v>2381</v>
      </c>
      <c r="R66" s="2417" t="s">
        <v>2382</v>
      </c>
    </row>
    <row r="67" spans="1:18" s="2058" customFormat="1" ht="15.75" thickBot="1">
      <c r="A67" s="2095"/>
      <c r="B67" s="2096"/>
      <c r="C67" s="2096"/>
      <c r="K67" s="2085"/>
      <c r="O67" s="2419" t="s">
        <v>2383</v>
      </c>
      <c r="P67" s="2420" t="s">
        <v>2409</v>
      </c>
      <c r="Q67" s="2421">
        <f ca="1">C41+J31</f>
        <v>0</v>
      </c>
      <c r="R67" s="2420" t="s">
        <v>2384</v>
      </c>
    </row>
    <row r="68" spans="1:18" s="2058" customFormat="1" ht="20.25" thickBot="1">
      <c r="A68" s="2095"/>
      <c r="B68" s="2096"/>
      <c r="C68" s="2096"/>
      <c r="K68" s="2085"/>
      <c r="O68" s="2419" t="s">
        <v>2385</v>
      </c>
      <c r="P68" s="2420" t="s">
        <v>2416</v>
      </c>
      <c r="Q68" s="2421" t="e">
        <f ca="1">L61</f>
        <v>#DIV/0!</v>
      </c>
      <c r="R68" s="2424" t="s">
        <v>2418</v>
      </c>
    </row>
    <row r="69" spans="1:18" s="2058" customFormat="1" ht="21.75" thickBot="1">
      <c r="A69" s="2095"/>
      <c r="B69" s="2096"/>
      <c r="C69" s="2096"/>
      <c r="K69" s="2085"/>
      <c r="O69" s="2422" t="s">
        <v>2387</v>
      </c>
      <c r="P69" s="2420" t="s">
        <v>2417</v>
      </c>
      <c r="Q69" s="2426">
        <f ca="1">L52</f>
        <v>0</v>
      </c>
      <c r="R69" s="2427" t="s">
        <v>2420</v>
      </c>
    </row>
    <row r="70" spans="1:18" s="2058" customFormat="1" ht="20.25" thickBot="1">
      <c r="A70" s="2095"/>
      <c r="B70" s="2096"/>
      <c r="C70" s="2096"/>
      <c r="K70" s="2085"/>
      <c r="O70" s="2422" t="s">
        <v>2388</v>
      </c>
      <c r="P70" s="2428" t="s">
        <v>2402</v>
      </c>
      <c r="Q70" s="2421">
        <f ca="1">ROUND(Q71-Q72*Q73,0)</f>
        <v>0</v>
      </c>
      <c r="R70" s="2424"/>
    </row>
    <row r="71" spans="1:18" s="2058" customFormat="1" ht="15.75" thickBot="1">
      <c r="A71" s="2095"/>
      <c r="B71" s="2096"/>
      <c r="C71" s="2096"/>
      <c r="K71" s="2085"/>
      <c r="O71" s="2422" t="s">
        <v>2403</v>
      </c>
      <c r="P71" s="2428" t="s">
        <v>2404</v>
      </c>
      <c r="Q71" s="2421">
        <f ca="1">C42</f>
        <v>0</v>
      </c>
      <c r="R71" s="2420" t="s">
        <v>2384</v>
      </c>
    </row>
    <row r="72" spans="1:18" s="2058" customFormat="1" ht="15.75" thickBot="1">
      <c r="A72" s="2095"/>
      <c r="B72" s="2096"/>
      <c r="C72" s="2096"/>
      <c r="K72" s="2085"/>
      <c r="O72" s="2422" t="s">
        <v>2405</v>
      </c>
      <c r="P72" s="2428" t="s">
        <v>2406</v>
      </c>
      <c r="Q72" s="2421">
        <f ca="1">C15</f>
        <v>0</v>
      </c>
      <c r="R72" s="2420" t="s">
        <v>2384</v>
      </c>
    </row>
    <row r="73" spans="1:18" s="2058" customFormat="1" ht="15.75" thickBot="1">
      <c r="A73" s="2095"/>
      <c r="B73" s="2096"/>
      <c r="C73" s="2096"/>
      <c r="K73" s="2085"/>
      <c r="O73" s="2422" t="s">
        <v>2407</v>
      </c>
      <c r="P73" s="2428" t="s">
        <v>2408</v>
      </c>
      <c r="Q73" s="2423">
        <f ca="1">F43</f>
        <v>0</v>
      </c>
      <c r="R73" s="2424"/>
    </row>
    <row r="74" spans="1:18" s="2058" customFormat="1" ht="15.75" thickBot="1">
      <c r="A74" s="2095"/>
      <c r="B74" s="2096"/>
      <c r="C74" s="2096"/>
      <c r="K74" s="2085"/>
      <c r="O74" s="2422" t="s">
        <v>2390</v>
      </c>
      <c r="P74" s="2420" t="s">
        <v>2397</v>
      </c>
      <c r="Q74" s="2423">
        <f>L53</f>
        <v>0</v>
      </c>
      <c r="R74" s="2424"/>
    </row>
    <row r="75" spans="1:18" s="2058" customFormat="1" ht="20.25" thickBot="1">
      <c r="A75" s="2095"/>
      <c r="B75" s="2096"/>
      <c r="C75" s="2096"/>
      <c r="K75" s="2085"/>
      <c r="O75" s="2422" t="s">
        <v>2392</v>
      </c>
      <c r="P75" s="2420" t="s">
        <v>2398</v>
      </c>
      <c r="Q75" s="2421">
        <f ca="1">L59</f>
        <v>0</v>
      </c>
      <c r="R75" s="2424" t="s">
        <v>2399</v>
      </c>
    </row>
    <row r="76" spans="1:18" s="2058" customFormat="1" ht="20.25" thickBot="1">
      <c r="A76" s="2095"/>
      <c r="B76" s="2096"/>
      <c r="C76" s="2096"/>
      <c r="K76" s="2085"/>
      <c r="O76" s="2422" t="s">
        <v>2421</v>
      </c>
      <c r="P76" s="2420" t="s">
        <v>2400</v>
      </c>
      <c r="Q76" s="2421">
        <f ca="1">L60</f>
        <v>0</v>
      </c>
      <c r="R76" s="2424" t="s">
        <v>2401</v>
      </c>
    </row>
    <row r="77" spans="1:18" s="2058" customFormat="1" ht="15.75" thickBot="1">
      <c r="A77" s="2095"/>
      <c r="B77" s="2096"/>
      <c r="C77" s="2096"/>
      <c r="K77" s="2085"/>
      <c r="O77" s="2419" t="s">
        <v>2395</v>
      </c>
      <c r="P77" s="2420" t="s">
        <v>2412</v>
      </c>
      <c r="Q77" s="2421" t="e">
        <f ca="1">Q67+Q68</f>
        <v>#DIV/0!</v>
      </c>
      <c r="R77" s="2424" t="s">
        <v>2396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65" priority="6">
      <formula>$F$12="自定义"</formula>
    </cfRule>
  </conditionalFormatting>
  <conditionalFormatting sqref="J13">
    <cfRule type="expression" dxfId="64" priority="5">
      <formula>$M$10="自定义"</formula>
    </cfRule>
  </conditionalFormatting>
  <conditionalFormatting sqref="K56">
    <cfRule type="expression" dxfId="63" priority="3">
      <formula>$L$48&gt;$J$51</formula>
    </cfRule>
  </conditionalFormatting>
  <conditionalFormatting sqref="I56">
    <cfRule type="expression" dxfId="62" priority="4">
      <formula>$J$51&gt;$L$48</formula>
    </cfRule>
  </conditionalFormatting>
  <conditionalFormatting sqref="I61">
    <cfRule type="expression" dxfId="61" priority="2">
      <formula>$J$51&gt;$L$48</formula>
    </cfRule>
  </conditionalFormatting>
  <conditionalFormatting sqref="K61">
    <cfRule type="expression" dxfId="6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774" t="s">
        <v>2582</v>
      </c>
      <c r="C1" s="3774"/>
      <c r="D1" s="3774"/>
      <c r="E1" s="3774"/>
      <c r="F1" s="3774"/>
      <c r="G1" s="3773" t="s">
        <v>2583</v>
      </c>
      <c r="H1" s="3773"/>
      <c r="I1" s="3773"/>
      <c r="J1" s="3773"/>
      <c r="K1" s="3773"/>
      <c r="L1" s="3773"/>
      <c r="N1" s="3773" t="s">
        <v>2584</v>
      </c>
      <c r="O1" s="3773"/>
      <c r="P1" s="3773"/>
      <c r="Q1" s="3773"/>
      <c r="R1" s="2676"/>
      <c r="S1" s="3773" t="s">
        <v>2585</v>
      </c>
      <c r="T1" s="3773"/>
      <c r="U1" s="3773"/>
      <c r="V1" s="3773"/>
      <c r="X1" s="3772" t="s">
        <v>2645</v>
      </c>
      <c r="Y1" s="3773"/>
      <c r="Z1" s="3773"/>
      <c r="AA1" s="3773"/>
      <c r="AB1" s="3773"/>
      <c r="AD1" s="3772" t="s">
        <v>2649</v>
      </c>
      <c r="AE1" s="3773"/>
      <c r="AF1" s="3773"/>
      <c r="AG1" s="3773"/>
      <c r="AH1" s="3773"/>
    </row>
    <row r="2" spans="1:34" s="2778" customFormat="1" ht="14.25" thickBot="1">
      <c r="B2" s="2786" t="s">
        <v>2586</v>
      </c>
      <c r="C2" s="2786" t="s">
        <v>2647</v>
      </c>
      <c r="D2" s="2779" t="s">
        <v>1646</v>
      </c>
      <c r="E2" s="2779" t="s">
        <v>1953</v>
      </c>
      <c r="F2" s="2786" t="s">
        <v>2648</v>
      </c>
      <c r="G2" s="2782"/>
      <c r="H2" s="2781"/>
      <c r="I2" s="2786" t="s">
        <v>2963</v>
      </c>
      <c r="J2" s="2779" t="s">
        <v>2965</v>
      </c>
      <c r="K2" s="2779" t="s">
        <v>2966</v>
      </c>
      <c r="L2" s="2786" t="s">
        <v>2967</v>
      </c>
      <c r="N2" s="2786" t="s">
        <v>2586</v>
      </c>
      <c r="O2" s="2779" t="s">
        <v>2964</v>
      </c>
      <c r="P2" s="2779" t="s">
        <v>1953</v>
      </c>
      <c r="Q2" s="2786" t="s">
        <v>2648</v>
      </c>
      <c r="R2" s="2780"/>
      <c r="S2" s="2786" t="s">
        <v>2586</v>
      </c>
      <c r="T2" s="2779" t="s">
        <v>2964</v>
      </c>
      <c r="U2" s="2779" t="s">
        <v>1953</v>
      </c>
      <c r="V2" s="2786" t="s">
        <v>2648</v>
      </c>
      <c r="X2" s="2786" t="s">
        <v>2586</v>
      </c>
      <c r="Y2" s="2786" t="s">
        <v>2647</v>
      </c>
      <c r="Z2" s="2779" t="s">
        <v>1646</v>
      </c>
      <c r="AA2" s="2779" t="s">
        <v>1953</v>
      </c>
      <c r="AB2" s="2786" t="s">
        <v>2648</v>
      </c>
      <c r="AD2" s="2786" t="s">
        <v>2586</v>
      </c>
      <c r="AE2" s="2786" t="s">
        <v>2647</v>
      </c>
      <c r="AF2" s="2779" t="s">
        <v>1646</v>
      </c>
      <c r="AG2" s="2779" t="s">
        <v>1953</v>
      </c>
      <c r="AH2" s="2786" t="s">
        <v>2648</v>
      </c>
    </row>
    <row r="3" spans="1:34" s="3162" customFormat="1" ht="14.25">
      <c r="A3" s="3174" t="s">
        <v>2977</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1" customFormat="1" ht="13.5" thickBot="1">
      <c r="A5" s="3139" t="s">
        <v>2976</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40">
        <v>1</v>
      </c>
      <c r="I5" s="3156">
        <v>0</v>
      </c>
      <c r="J5" s="3156">
        <v>0</v>
      </c>
      <c r="K5" s="3156">
        <v>0</v>
      </c>
      <c r="L5" s="3156">
        <v>0</v>
      </c>
      <c r="N5" s="2784">
        <f t="shared" ref="N5:N10" si="6">I5/100</f>
        <v>0</v>
      </c>
      <c r="O5" s="2784">
        <f t="shared" ref="O5" si="7">J5/100</f>
        <v>0</v>
      </c>
      <c r="P5" s="2784">
        <f t="shared" ref="P5" si="8">K5/100</f>
        <v>0</v>
      </c>
      <c r="Q5" s="2784">
        <f t="shared" ref="Q5" si="9">L5/100</f>
        <v>0</v>
      </c>
      <c r="R5" s="3142"/>
      <c r="S5" s="3143"/>
      <c r="T5" s="3142"/>
      <c r="U5" s="3142"/>
      <c r="V5" s="3142"/>
      <c r="W5" s="3172" t="s">
        <v>2978</v>
      </c>
      <c r="X5" s="3144">
        <f>ROUND(SUMPRODUCT(PRODUCT(1+N5:N$20)),4)</f>
        <v>1.4274</v>
      </c>
      <c r="Y5" s="3144">
        <f>ROUND(SUMPRODUCT(PRODUCT(1+O5:O$20)),4)</f>
        <v>1.2685</v>
      </c>
      <c r="Z5" s="3144">
        <f t="shared" ref="Z5" si="10">Y5</f>
        <v>1.2685</v>
      </c>
      <c r="AA5" s="3144">
        <f>ROUND(SUMPRODUCT(PRODUCT(1+P5:P$20)),4)</f>
        <v>1.4825999999999999</v>
      </c>
      <c r="AB5" s="3144">
        <f>ROUND(SUMPRODUCT(PRODUCT(1+Q5:Q$20)),4)</f>
        <v>1.2309000000000001</v>
      </c>
      <c r="AD5" s="3145">
        <f>ROUND(AVERAGE(I5:I$21)/100,4)</f>
        <v>2.3E-2</v>
      </c>
      <c r="AE5" s="3145">
        <f>ROUND(AVERAGE(J5:J$21)/100,4)</f>
        <v>1.55E-2</v>
      </c>
      <c r="AF5" s="3145">
        <f t="shared" ref="AF5" si="11">AE5</f>
        <v>1.55E-2</v>
      </c>
      <c r="AG5" s="3145">
        <f>ROUND(AVERAGE(K5:K$21)/100,4)</f>
        <v>2.5499999999999998E-2</v>
      </c>
      <c r="AH5" s="3145">
        <f>ROUND(AVERAGE(L5:L$21)/100,4)</f>
        <v>1.3100000000000001E-2</v>
      </c>
    </row>
    <row r="6" spans="1:34">
      <c r="A6" s="2677" t="s">
        <v>2974</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59">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2979</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1"/>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2587</v>
      </c>
      <c r="B8" s="2691">
        <f t="shared" si="19"/>
        <v>419.31181600000002</v>
      </c>
      <c r="C8" s="2691">
        <f t="shared" si="19"/>
        <v>313.95436800000004</v>
      </c>
      <c r="D8" s="2691">
        <f t="shared" si="3"/>
        <v>313.95436800000004</v>
      </c>
      <c r="E8" s="2691">
        <f t="shared" si="20"/>
        <v>596.63028431999999</v>
      </c>
      <c r="F8" s="2691">
        <f t="shared" si="20"/>
        <v>274.74220703999998</v>
      </c>
      <c r="G8" s="3160"/>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2588</v>
      </c>
      <c r="B9" s="2691">
        <f t="shared" si="19"/>
        <v>405.524</v>
      </c>
      <c r="C9" s="2691">
        <f t="shared" si="19"/>
        <v>307.79840000000002</v>
      </c>
      <c r="D9" s="2691">
        <f t="shared" si="3"/>
        <v>307.79840000000002</v>
      </c>
      <c r="E9" s="2691">
        <f t="shared" si="20"/>
        <v>574.67759999999998</v>
      </c>
      <c r="F9" s="2691">
        <f t="shared" si="20"/>
        <v>270.20280000000002</v>
      </c>
      <c r="G9" s="3161"/>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972</v>
      </c>
      <c r="B10" s="2683">
        <v>392</v>
      </c>
      <c r="C10" s="2683">
        <v>302</v>
      </c>
      <c r="D10" s="2683">
        <f t="shared" si="3"/>
        <v>302</v>
      </c>
      <c r="E10" s="2683">
        <v>553</v>
      </c>
      <c r="F10" s="2684">
        <v>266</v>
      </c>
      <c r="G10" s="3781">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971</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776"/>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961</v>
      </c>
      <c r="B12" s="2691">
        <f t="shared" si="28"/>
        <v>360.06949782209392</v>
      </c>
      <c r="C12" s="2691">
        <f t="shared" si="28"/>
        <v>289.84672674747821</v>
      </c>
      <c r="D12" s="2691">
        <f t="shared" si="29"/>
        <v>289.84672674747821</v>
      </c>
      <c r="E12" s="2691">
        <f t="shared" si="30"/>
        <v>501.06543001181495</v>
      </c>
      <c r="F12" s="2691">
        <f t="shared" si="30"/>
        <v>256.82882500744967</v>
      </c>
      <c r="G12" s="3776"/>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970</v>
      </c>
      <c r="B13" s="2691">
        <f t="shared" si="28"/>
        <v>346.720748986128</v>
      </c>
      <c r="C13" s="2691">
        <f t="shared" si="28"/>
        <v>284.30282172386285</v>
      </c>
      <c r="D13" s="2691">
        <f t="shared" si="29"/>
        <v>284.30282172386285</v>
      </c>
      <c r="E13" s="2691">
        <f t="shared" si="30"/>
        <v>479.58023546306947</v>
      </c>
      <c r="F13" s="2691">
        <f t="shared" si="30"/>
        <v>253.25788877571213</v>
      </c>
      <c r="G13" s="3777"/>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969</v>
      </c>
      <c r="B14" s="2683">
        <v>333</v>
      </c>
      <c r="C14" s="2683">
        <v>277</v>
      </c>
      <c r="D14" s="2683">
        <f t="shared" si="29"/>
        <v>277</v>
      </c>
      <c r="E14" s="2683">
        <v>459</v>
      </c>
      <c r="F14" s="2684">
        <v>249</v>
      </c>
      <c r="G14" s="3775">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968</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776"/>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967</v>
      </c>
      <c r="B16" s="2691">
        <f t="shared" si="32"/>
        <v>322.34053690220776</v>
      </c>
      <c r="C16" s="2691">
        <f t="shared" si="32"/>
        <v>271.46160770422546</v>
      </c>
      <c r="D16" s="2691">
        <f t="shared" si="29"/>
        <v>271.46160770422546</v>
      </c>
      <c r="E16" s="2691">
        <f t="shared" si="33"/>
        <v>442.69434542172456</v>
      </c>
      <c r="F16" s="2691">
        <f t="shared" si="33"/>
        <v>241.34030753190925</v>
      </c>
      <c r="G16" s="3776"/>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966</v>
      </c>
      <c r="B17" s="2691">
        <f t="shared" si="32"/>
        <v>319.87748030386797</v>
      </c>
      <c r="C17" s="2691">
        <f t="shared" si="32"/>
        <v>269.60135833173649</v>
      </c>
      <c r="D17" s="2691">
        <f t="shared" si="29"/>
        <v>269.60135833173649</v>
      </c>
      <c r="E17" s="2691">
        <f t="shared" si="33"/>
        <v>439.18089823583784</v>
      </c>
      <c r="F17" s="2691">
        <f t="shared" si="33"/>
        <v>239.23503918706311</v>
      </c>
      <c r="G17" s="3777"/>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965</v>
      </c>
      <c r="B18" s="2705">
        <v>318</v>
      </c>
      <c r="C18" s="2705">
        <v>268</v>
      </c>
      <c r="D18" s="2705">
        <f t="shared" si="29"/>
        <v>268</v>
      </c>
      <c r="E18" s="2705">
        <v>437</v>
      </c>
      <c r="F18" s="2706">
        <v>237</v>
      </c>
      <c r="G18" s="3775">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964</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776"/>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963</v>
      </c>
      <c r="B20" s="2691">
        <f t="shared" si="34"/>
        <v>314.72141172386546</v>
      </c>
      <c r="C20" s="2691">
        <f t="shared" si="34"/>
        <v>263.03901319069001</v>
      </c>
      <c r="D20" s="2691">
        <f t="shared" si="29"/>
        <v>263.03901319069001</v>
      </c>
      <c r="E20" s="2691">
        <f t="shared" si="35"/>
        <v>433.65745506782821</v>
      </c>
      <c r="F20" s="2691">
        <f t="shared" si="35"/>
        <v>233.23005080045735</v>
      </c>
      <c r="G20" s="3776"/>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962</v>
      </c>
      <c r="B21" s="2710">
        <f t="shared" si="34"/>
        <v>307.34512863658733</v>
      </c>
      <c r="C21" s="2710">
        <f t="shared" si="34"/>
        <v>257.80556031626975</v>
      </c>
      <c r="D21" s="2710">
        <f t="shared" si="29"/>
        <v>257.80556031626975</v>
      </c>
      <c r="E21" s="2710">
        <f t="shared" si="35"/>
        <v>422.70928459677179</v>
      </c>
      <c r="F21" s="2710">
        <f t="shared" si="35"/>
        <v>229.73803270336617</v>
      </c>
      <c r="G21" s="3777"/>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2646</v>
      </c>
      <c r="X21" s="2787">
        <v>1</v>
      </c>
      <c r="Y21" s="2787">
        <v>1</v>
      </c>
      <c r="Z21" s="2787">
        <v>1</v>
      </c>
      <c r="AA21" s="2787">
        <v>1</v>
      </c>
      <c r="AB21" s="2787">
        <v>1</v>
      </c>
      <c r="AD21" s="3030">
        <f>I21/100</f>
        <v>2.9700000000000001E-2</v>
      </c>
      <c r="AE21" s="3030">
        <f>J21/100</f>
        <v>2.3399999999999997E-2</v>
      </c>
      <c r="AF21" s="3030">
        <f>AE21</f>
        <v>2.3399999999999997E-2</v>
      </c>
      <c r="AG21" s="3030">
        <f>K21/100</f>
        <v>3.2799999999999996E-2</v>
      </c>
      <c r="AH21" s="3030">
        <f>L21/100</f>
        <v>1.3600000000000001E-2</v>
      </c>
    </row>
    <row r="22" spans="1:34" ht="13.5" thickBot="1">
      <c r="A22" s="2677" t="s">
        <v>2589</v>
      </c>
      <c r="B22" s="2683">
        <v>299</v>
      </c>
      <c r="C22" s="2683">
        <v>252</v>
      </c>
      <c r="D22" s="2683">
        <f t="shared" si="29"/>
        <v>252</v>
      </c>
      <c r="E22" s="2683">
        <v>409</v>
      </c>
      <c r="F22" s="2684">
        <v>227</v>
      </c>
      <c r="G22" s="3778">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2590</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779"/>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2591</v>
      </c>
      <c r="B24" s="2691">
        <f t="shared" si="38"/>
        <v>288.2649053828776</v>
      </c>
      <c r="C24" s="2691">
        <f t="shared" si="38"/>
        <v>243.64564425013293</v>
      </c>
      <c r="D24" s="2691">
        <f t="shared" si="29"/>
        <v>243.64564425013293</v>
      </c>
      <c r="E24" s="2691">
        <f t="shared" si="39"/>
        <v>393.31080825986544</v>
      </c>
      <c r="F24" s="2691">
        <f t="shared" si="39"/>
        <v>223.07903790551154</v>
      </c>
      <c r="G24" s="3779"/>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2592</v>
      </c>
      <c r="B25" s="2691">
        <f t="shared" si="38"/>
        <v>282.50186729015837</v>
      </c>
      <c r="C25" s="2691">
        <f t="shared" si="38"/>
        <v>238.09796174155468</v>
      </c>
      <c r="D25" s="2691">
        <f t="shared" si="29"/>
        <v>238.09796174155468</v>
      </c>
      <c r="E25" s="2691">
        <f t="shared" si="39"/>
        <v>385.33438646014054</v>
      </c>
      <c r="F25" s="2691">
        <f t="shared" si="39"/>
        <v>221.55034055567739</v>
      </c>
      <c r="G25" s="3780"/>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2593</v>
      </c>
      <c r="B26" s="2721">
        <v>278</v>
      </c>
      <c r="C26" s="2721">
        <v>234</v>
      </c>
      <c r="D26" s="2721">
        <f t="shared" si="29"/>
        <v>234</v>
      </c>
      <c r="E26" s="2721">
        <v>379</v>
      </c>
      <c r="F26" s="2722">
        <v>220</v>
      </c>
      <c r="G26" s="3775">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2594</v>
      </c>
      <c r="B27" s="2691">
        <f>B26/(1+N26)</f>
        <v>275.49301357645425</v>
      </c>
      <c r="C27" s="2691">
        <f>C26/(1+O26)</f>
        <v>232.41954707985698</v>
      </c>
      <c r="D27" s="2691">
        <f t="shared" si="29"/>
        <v>232.41954707985698</v>
      </c>
      <c r="E27" s="2691">
        <f t="shared" ref="E27:F29" si="40">E26/(1+P26)</f>
        <v>375.32184591008121</v>
      </c>
      <c r="F27" s="2691">
        <f t="shared" si="40"/>
        <v>218.03766105054513</v>
      </c>
      <c r="G27" s="3776"/>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2595</v>
      </c>
      <c r="B28" s="2691">
        <f>B27/(1+N27)</f>
        <v>275.24529281292263</v>
      </c>
      <c r="C28" s="2691">
        <f>C27/(1+O27)</f>
        <v>231.74747938962707</v>
      </c>
      <c r="D28" s="2691">
        <f t="shared" si="29"/>
        <v>231.74747938962707</v>
      </c>
      <c r="E28" s="2691">
        <f t="shared" si="40"/>
        <v>375.35938184826603</v>
      </c>
      <c r="F28" s="2691">
        <f t="shared" si="40"/>
        <v>216.78033510692495</v>
      </c>
      <c r="G28" s="3776"/>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2596</v>
      </c>
      <c r="B29" s="2691">
        <f>B28/(1+N28)</f>
        <v>275.19025476197027</v>
      </c>
      <c r="C29" s="2723">
        <v>232</v>
      </c>
      <c r="D29" s="2723">
        <f t="shared" si="29"/>
        <v>232</v>
      </c>
      <c r="E29" s="2691">
        <f t="shared" si="40"/>
        <v>375.65990977608692</v>
      </c>
      <c r="F29" s="2691">
        <f t="shared" si="40"/>
        <v>214.12518283971252</v>
      </c>
      <c r="G29" s="3777"/>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2597</v>
      </c>
      <c r="B30" s="2683">
        <v>275</v>
      </c>
      <c r="C30" s="2683">
        <v>232</v>
      </c>
      <c r="D30" s="2683">
        <f t="shared" si="29"/>
        <v>232</v>
      </c>
      <c r="E30" s="2683">
        <v>376</v>
      </c>
      <c r="F30" s="2684">
        <v>213</v>
      </c>
      <c r="G30" s="3775">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2598</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776">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2599</v>
      </c>
      <c r="B32" s="2691">
        <f t="shared" si="41"/>
        <v>275.19335084830601</v>
      </c>
      <c r="C32" s="2691">
        <f t="shared" si="41"/>
        <v>230.18088050139744</v>
      </c>
      <c r="D32" s="2691">
        <f t="shared" si="29"/>
        <v>230.18088050139744</v>
      </c>
      <c r="E32" s="2691">
        <f t="shared" si="42"/>
        <v>377.58482925212331</v>
      </c>
      <c r="F32" s="2691">
        <f t="shared" si="42"/>
        <v>210.90687997847917</v>
      </c>
      <c r="G32" s="3776">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2600</v>
      </c>
      <c r="B33" s="2691">
        <f t="shared" si="41"/>
        <v>276.29854502841971</v>
      </c>
      <c r="C33" s="2691">
        <f t="shared" si="41"/>
        <v>229.79023709833027</v>
      </c>
      <c r="D33" s="2691">
        <f t="shared" si="29"/>
        <v>229.79023709833027</v>
      </c>
      <c r="E33" s="2691">
        <f t="shared" si="42"/>
        <v>379.78759731655936</v>
      </c>
      <c r="F33" s="2691">
        <f t="shared" si="42"/>
        <v>211.32953905659235</v>
      </c>
      <c r="G33" s="3777">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2601</v>
      </c>
      <c r="B34" s="2683">
        <v>269</v>
      </c>
      <c r="C34" s="2683">
        <v>221</v>
      </c>
      <c r="D34" s="2683">
        <f t="shared" si="29"/>
        <v>221</v>
      </c>
      <c r="E34" s="2683">
        <v>373</v>
      </c>
      <c r="F34" s="2684">
        <v>196</v>
      </c>
      <c r="G34" s="3775">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2602</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776">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2603</v>
      </c>
      <c r="B36" s="2691">
        <f t="shared" si="43"/>
        <v>242.95398227588385</v>
      </c>
      <c r="C36" s="2691">
        <f t="shared" si="43"/>
        <v>199.59137053614126</v>
      </c>
      <c r="D36" s="2691">
        <f t="shared" si="29"/>
        <v>199.59137053614126</v>
      </c>
      <c r="E36" s="2691">
        <f t="shared" si="44"/>
        <v>335.92189522342125</v>
      </c>
      <c r="F36" s="2691">
        <f t="shared" si="44"/>
        <v>183.10139991109489</v>
      </c>
      <c r="G36" s="3776">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2604</v>
      </c>
      <c r="B37" s="2691">
        <f t="shared" si="43"/>
        <v>232.06990378821649</v>
      </c>
      <c r="C37" s="2691">
        <f t="shared" si="43"/>
        <v>192.74878854286936</v>
      </c>
      <c r="D37" s="2691">
        <f t="shared" si="29"/>
        <v>192.74878854286936</v>
      </c>
      <c r="E37" s="2691">
        <f t="shared" si="44"/>
        <v>319.71247284992984</v>
      </c>
      <c r="F37" s="2691">
        <f t="shared" si="44"/>
        <v>175.67053622862409</v>
      </c>
      <c r="G37" s="3777">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2605</v>
      </c>
      <c r="B38" s="2683">
        <v>220</v>
      </c>
      <c r="C38" s="2683">
        <v>187</v>
      </c>
      <c r="D38" s="2683">
        <f t="shared" si="29"/>
        <v>187</v>
      </c>
      <c r="E38" s="2683">
        <v>301</v>
      </c>
      <c r="F38" s="2684">
        <v>168</v>
      </c>
      <c r="G38" s="3775">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2606</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776">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2607</v>
      </c>
      <c r="B40" s="2691">
        <f t="shared" si="45"/>
        <v>210.630522469011</v>
      </c>
      <c r="C40" s="2691">
        <f t="shared" si="45"/>
        <v>181.69567812247232</v>
      </c>
      <c r="D40" s="2691">
        <f t="shared" si="29"/>
        <v>181.69567812247232</v>
      </c>
      <c r="E40" s="2691">
        <f t="shared" si="46"/>
        <v>286.13517466736738</v>
      </c>
      <c r="F40" s="2691">
        <f t="shared" si="46"/>
        <v>165.47535084591149</v>
      </c>
      <c r="G40" s="3776">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2608</v>
      </c>
      <c r="B41" s="2691">
        <f t="shared" si="45"/>
        <v>208.83454537875372</v>
      </c>
      <c r="C41" s="2691">
        <f t="shared" si="45"/>
        <v>183.77230517090351</v>
      </c>
      <c r="D41" s="2691">
        <f t="shared" si="29"/>
        <v>183.77230517090351</v>
      </c>
      <c r="E41" s="2691">
        <f t="shared" si="46"/>
        <v>281.10342338870947</v>
      </c>
      <c r="F41" s="2691">
        <f t="shared" si="46"/>
        <v>168.97309388942256</v>
      </c>
      <c r="G41" s="3777">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2609</v>
      </c>
      <c r="B42" s="2721">
        <v>214</v>
      </c>
      <c r="C42" s="2721">
        <v>188</v>
      </c>
      <c r="D42" s="2721">
        <f t="shared" si="29"/>
        <v>188</v>
      </c>
      <c r="E42" s="2721">
        <v>289</v>
      </c>
      <c r="F42" s="2722">
        <v>166</v>
      </c>
      <c r="G42" s="3775">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2610</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776">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2611</v>
      </c>
      <c r="B44" s="2691">
        <f t="shared" si="47"/>
        <v>206.31694671589116</v>
      </c>
      <c r="C44" s="2691">
        <f t="shared" si="47"/>
        <v>183.61041121036101</v>
      </c>
      <c r="D44" s="2691">
        <f t="shared" si="29"/>
        <v>183.61041121036101</v>
      </c>
      <c r="E44" s="2691">
        <f t="shared" si="48"/>
        <v>276.66850301795557</v>
      </c>
      <c r="F44" s="2691">
        <f t="shared" si="48"/>
        <v>165.1360938278614</v>
      </c>
      <c r="G44" s="3776">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2612</v>
      </c>
      <c r="B45" s="2724">
        <f t="shared" si="47"/>
        <v>196.62341248059772</v>
      </c>
      <c r="C45" s="2724">
        <f t="shared" si="47"/>
        <v>170.99125648199012</v>
      </c>
      <c r="D45" s="2724">
        <f t="shared" si="29"/>
        <v>170.99125648199012</v>
      </c>
      <c r="E45" s="2724">
        <f t="shared" si="48"/>
        <v>266.07857570490052</v>
      </c>
      <c r="F45" s="2724">
        <f t="shared" si="48"/>
        <v>154.53499328828505</v>
      </c>
      <c r="G45" s="3777">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2613</v>
      </c>
      <c r="B46" s="2683">
        <v>188</v>
      </c>
      <c r="C46" s="2683">
        <v>165</v>
      </c>
      <c r="D46" s="2683">
        <f t="shared" si="29"/>
        <v>165</v>
      </c>
      <c r="E46" s="2683">
        <v>254</v>
      </c>
      <c r="F46" s="2684">
        <v>148</v>
      </c>
      <c r="G46" s="3775">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2614</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776">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2615</v>
      </c>
      <c r="B48" s="2691">
        <f t="shared" si="51"/>
        <v>168.82017748715555</v>
      </c>
      <c r="C48" s="2691">
        <f t="shared" si="51"/>
        <v>148.06267029972753</v>
      </c>
      <c r="D48" s="2691">
        <f t="shared" si="29"/>
        <v>148.06267029972753</v>
      </c>
      <c r="E48" s="2691">
        <f t="shared" si="52"/>
        <v>216.46288379323747</v>
      </c>
      <c r="F48" s="2691">
        <f t="shared" si="52"/>
        <v>134.23529411764704</v>
      </c>
      <c r="G48" s="3776">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2616</v>
      </c>
      <c r="B49" s="2691">
        <f t="shared" si="51"/>
        <v>163.84913591779542</v>
      </c>
      <c r="C49" s="2691">
        <f t="shared" si="51"/>
        <v>145.0283378746594</v>
      </c>
      <c r="D49" s="2691">
        <f t="shared" si="29"/>
        <v>145.0283378746594</v>
      </c>
      <c r="E49" s="2691">
        <f t="shared" si="52"/>
        <v>204.95180722891567</v>
      </c>
      <c r="F49" s="2691">
        <f t="shared" si="52"/>
        <v>125.95920303605313</v>
      </c>
      <c r="G49" s="3777">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2617</v>
      </c>
      <c r="B50" s="2705">
        <v>159</v>
      </c>
      <c r="C50" s="2705">
        <v>141</v>
      </c>
      <c r="D50" s="2705">
        <f t="shared" si="29"/>
        <v>141</v>
      </c>
      <c r="E50" s="2705">
        <v>195</v>
      </c>
      <c r="F50" s="2706">
        <v>122</v>
      </c>
      <c r="G50" s="3775">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2618</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776">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2619</v>
      </c>
      <c r="B52" s="2691">
        <f t="shared" si="55"/>
        <v>146.57412060301507</v>
      </c>
      <c r="C52" s="2691">
        <f t="shared" si="55"/>
        <v>136.46831955922866</v>
      </c>
      <c r="D52" s="2691">
        <f t="shared" si="29"/>
        <v>136.46831955922866</v>
      </c>
      <c r="E52" s="2691">
        <f t="shared" si="56"/>
        <v>166.73864894795128</v>
      </c>
      <c r="F52" s="2691">
        <f t="shared" si="56"/>
        <v>115.05882352941177</v>
      </c>
      <c r="G52" s="3776">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2620</v>
      </c>
      <c r="B53" s="2691">
        <f t="shared" si="55"/>
        <v>144.04145728643215</v>
      </c>
      <c r="C53" s="2691">
        <f t="shared" si="55"/>
        <v>136.12396694214877</v>
      </c>
      <c r="D53" s="2691">
        <f t="shared" si="29"/>
        <v>136.12396694214877</v>
      </c>
      <c r="E53" s="2691">
        <f t="shared" si="56"/>
        <v>158.32225913621264</v>
      </c>
      <c r="F53" s="2691">
        <f t="shared" si="56"/>
        <v>114.04278074866311</v>
      </c>
      <c r="G53" s="3777">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2621</v>
      </c>
      <c r="B54" s="2705">
        <v>138</v>
      </c>
      <c r="C54" s="2705">
        <v>131</v>
      </c>
      <c r="D54" s="2705">
        <f t="shared" si="29"/>
        <v>131</v>
      </c>
      <c r="E54" s="2705">
        <v>155</v>
      </c>
      <c r="F54" s="2706">
        <v>114</v>
      </c>
      <c r="G54" s="3775">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2622</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776">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2623</v>
      </c>
      <c r="B56" s="2691">
        <f t="shared" si="59"/>
        <v>124.29032258064517</v>
      </c>
      <c r="C56" s="2691">
        <f t="shared" si="59"/>
        <v>123.8968609865471</v>
      </c>
      <c r="D56" s="2691">
        <f t="shared" si="29"/>
        <v>123.8968609865471</v>
      </c>
      <c r="E56" s="2691">
        <f t="shared" si="60"/>
        <v>138.00507614213197</v>
      </c>
      <c r="F56" s="2691">
        <f t="shared" si="60"/>
        <v>107.96106557377048</v>
      </c>
      <c r="G56" s="3776">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2624</v>
      </c>
      <c r="B57" s="2691">
        <f t="shared" si="59"/>
        <v>122.57204301075269</v>
      </c>
      <c r="C57" s="2691">
        <f t="shared" si="59"/>
        <v>123.4932735426009</v>
      </c>
      <c r="D57" s="2691">
        <f t="shared" si="29"/>
        <v>123.4932735426009</v>
      </c>
      <c r="E57" s="2691">
        <f t="shared" si="60"/>
        <v>129.82233502538071</v>
      </c>
      <c r="F57" s="2691">
        <f t="shared" si="60"/>
        <v>107.39446721311475</v>
      </c>
      <c r="G57" s="3777">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2625</v>
      </c>
      <c r="B58" s="2721">
        <v>121</v>
      </c>
      <c r="C58" s="2721">
        <v>122</v>
      </c>
      <c r="D58" s="2721">
        <f t="shared" si="29"/>
        <v>122</v>
      </c>
      <c r="E58" s="2721">
        <v>124</v>
      </c>
      <c r="F58" s="2722">
        <v>107</v>
      </c>
      <c r="G58" s="3775">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2626</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776">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2627</v>
      </c>
      <c r="B60" s="2691">
        <f t="shared" si="63"/>
        <v>116.99099099099099</v>
      </c>
      <c r="C60" s="2691">
        <f t="shared" si="63"/>
        <v>118.84848484848486</v>
      </c>
      <c r="D60" s="2691">
        <f t="shared" si="29"/>
        <v>118.84848484848486</v>
      </c>
      <c r="E60" s="2691">
        <f t="shared" si="64"/>
        <v>117.60960960960961</v>
      </c>
      <c r="F60" s="2691">
        <f t="shared" si="64"/>
        <v>104</v>
      </c>
      <c r="G60" s="3776">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2628</v>
      </c>
      <c r="B61" s="2724">
        <f t="shared" si="63"/>
        <v>112.48648648648648</v>
      </c>
      <c r="C61" s="2724">
        <f t="shared" si="63"/>
        <v>115.21212121212122</v>
      </c>
      <c r="D61" s="2724">
        <f t="shared" si="29"/>
        <v>115.21212121212122</v>
      </c>
      <c r="E61" s="2724">
        <f t="shared" si="64"/>
        <v>110.4024024024024</v>
      </c>
      <c r="F61" s="2724">
        <f t="shared" si="64"/>
        <v>104</v>
      </c>
      <c r="G61" s="3777">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2629</v>
      </c>
      <c r="B62" s="2742">
        <v>111</v>
      </c>
      <c r="C62" s="2742">
        <v>114</v>
      </c>
      <c r="D62" s="2742">
        <f t="shared" si="29"/>
        <v>114</v>
      </c>
      <c r="E62" s="2742">
        <v>108</v>
      </c>
      <c r="F62" s="2743">
        <v>104</v>
      </c>
      <c r="G62" s="3775">
        <v>2003</v>
      </c>
      <c r="H62" s="2732">
        <v>4</v>
      </c>
      <c r="I62" s="2744"/>
      <c r="J62" s="2744"/>
      <c r="K62" s="2744"/>
      <c r="L62" s="2744"/>
      <c r="N62" s="2745"/>
      <c r="O62" s="2744"/>
      <c r="P62" s="2744"/>
      <c r="Q62" s="2744"/>
      <c r="S62" s="2745"/>
      <c r="T62" s="2744"/>
      <c r="U62" s="2744"/>
      <c r="V62" s="2744"/>
      <c r="X62" s="2736"/>
      <c r="Y62" s="2736"/>
      <c r="Z62" s="2736"/>
    </row>
    <row r="63" spans="1:26">
      <c r="A63" s="2677" t="s">
        <v>2630</v>
      </c>
      <c r="B63" s="2746">
        <f t="shared" ref="B63:C65" si="65">B64+(B$62-B$66)/4</f>
        <v>109.75</v>
      </c>
      <c r="C63" s="2746">
        <f t="shared" si="65"/>
        <v>112.25</v>
      </c>
      <c r="D63" s="2746">
        <f t="shared" si="29"/>
        <v>112.25</v>
      </c>
      <c r="E63" s="2746">
        <f t="shared" ref="E63:F65" si="66">E64+(E$62-E$66)/4</f>
        <v>107.25</v>
      </c>
      <c r="F63" s="2746">
        <f t="shared" si="66"/>
        <v>103.5</v>
      </c>
      <c r="G63" s="3776">
        <v>2003</v>
      </c>
      <c r="H63" s="2702">
        <v>3</v>
      </c>
      <c r="I63" s="2744"/>
      <c r="J63" s="2744"/>
      <c r="K63" s="2744"/>
      <c r="L63" s="2744"/>
      <c r="X63" s="2736"/>
      <c r="Y63" s="2736"/>
      <c r="Z63" s="2736"/>
    </row>
    <row r="64" spans="1:26">
      <c r="A64" s="2677" t="s">
        <v>2631</v>
      </c>
      <c r="B64" s="2746">
        <f t="shared" si="65"/>
        <v>108.5</v>
      </c>
      <c r="C64" s="2746">
        <f t="shared" si="65"/>
        <v>110.5</v>
      </c>
      <c r="D64" s="2746">
        <f t="shared" si="29"/>
        <v>110.5</v>
      </c>
      <c r="E64" s="2746">
        <f t="shared" si="66"/>
        <v>106.5</v>
      </c>
      <c r="F64" s="2746">
        <f t="shared" si="66"/>
        <v>103</v>
      </c>
      <c r="G64" s="3776">
        <v>2003</v>
      </c>
      <c r="H64" s="2682">
        <v>2</v>
      </c>
      <c r="I64" s="2744"/>
      <c r="J64" s="2744"/>
      <c r="K64" s="2744"/>
      <c r="L64" s="2744"/>
      <c r="X64" s="2736"/>
      <c r="Y64" s="2736"/>
      <c r="Z64" s="2736"/>
    </row>
    <row r="65" spans="1:26" ht="13.5" thickBot="1">
      <c r="A65" s="2677" t="s">
        <v>2632</v>
      </c>
      <c r="B65" s="2746">
        <f t="shared" si="65"/>
        <v>107.25</v>
      </c>
      <c r="C65" s="2746">
        <f t="shared" si="65"/>
        <v>108.75</v>
      </c>
      <c r="D65" s="2746">
        <f t="shared" si="29"/>
        <v>108.75</v>
      </c>
      <c r="E65" s="2746">
        <f t="shared" si="66"/>
        <v>105.75</v>
      </c>
      <c r="F65" s="2746">
        <f t="shared" si="66"/>
        <v>102.5</v>
      </c>
      <c r="G65" s="3777">
        <v>2003</v>
      </c>
      <c r="H65" s="2747">
        <v>1</v>
      </c>
      <c r="I65" s="2744"/>
      <c r="J65" s="2744"/>
      <c r="K65" s="2744"/>
      <c r="L65" s="2744"/>
      <c r="S65" s="2686"/>
      <c r="T65" s="2687"/>
      <c r="U65" s="2687"/>
      <c r="X65" s="2736"/>
      <c r="Y65" s="2736"/>
      <c r="Z65" s="2736"/>
    </row>
    <row r="66" spans="1:26" ht="13.5" thickBot="1">
      <c r="A66" s="2677" t="s">
        <v>2633</v>
      </c>
      <c r="B66" s="2748">
        <v>106</v>
      </c>
      <c r="C66" s="2748">
        <v>107</v>
      </c>
      <c r="D66" s="2748">
        <f t="shared" si="29"/>
        <v>107</v>
      </c>
      <c r="E66" s="2748">
        <v>105</v>
      </c>
      <c r="F66" s="2749">
        <v>102</v>
      </c>
      <c r="G66" s="3775">
        <v>2002</v>
      </c>
      <c r="H66" s="2697">
        <v>4</v>
      </c>
      <c r="I66" s="2744"/>
      <c r="J66" s="2744"/>
      <c r="K66" s="2744"/>
      <c r="L66" s="2744"/>
      <c r="N66" s="2745"/>
      <c r="O66" s="2744"/>
      <c r="P66" s="2744"/>
      <c r="Q66" s="2744"/>
      <c r="S66" s="2745"/>
      <c r="T66" s="2744"/>
      <c r="U66" s="2744"/>
      <c r="V66" s="2744"/>
      <c r="X66" s="2736"/>
      <c r="Y66" s="2736"/>
      <c r="Z66" s="2736"/>
    </row>
    <row r="67" spans="1:26">
      <c r="A67" s="2677" t="s">
        <v>2634</v>
      </c>
      <c r="B67" s="2746">
        <f t="shared" ref="B67:C69" si="67">B68+(B$66-B$70)/4</f>
        <v>105</v>
      </c>
      <c r="C67" s="2746">
        <f t="shared" si="67"/>
        <v>106</v>
      </c>
      <c r="D67" s="2746">
        <f t="shared" si="29"/>
        <v>106</v>
      </c>
      <c r="E67" s="2746">
        <f t="shared" ref="E67:F69" si="68">E68+(E$66-E$70)/4</f>
        <v>104.5</v>
      </c>
      <c r="F67" s="2746">
        <f t="shared" si="68"/>
        <v>101.5</v>
      </c>
      <c r="G67" s="3776">
        <v>2002</v>
      </c>
      <c r="H67" s="2702">
        <v>3</v>
      </c>
      <c r="I67" s="2744"/>
      <c r="J67" s="2744"/>
      <c r="K67" s="2744"/>
      <c r="L67" s="2744"/>
      <c r="X67" s="2736"/>
      <c r="Y67" s="2736"/>
      <c r="Z67" s="2736"/>
    </row>
    <row r="68" spans="1:26">
      <c r="A68" s="2677" t="s">
        <v>2635</v>
      </c>
      <c r="B68" s="2746">
        <f t="shared" si="67"/>
        <v>104</v>
      </c>
      <c r="C68" s="2746">
        <f t="shared" si="67"/>
        <v>105</v>
      </c>
      <c r="D68" s="2746">
        <f t="shared" si="29"/>
        <v>105</v>
      </c>
      <c r="E68" s="2746">
        <f t="shared" si="68"/>
        <v>104</v>
      </c>
      <c r="F68" s="2746">
        <f t="shared" si="68"/>
        <v>101</v>
      </c>
      <c r="G68" s="3776">
        <v>2002</v>
      </c>
      <c r="H68" s="2682">
        <v>2</v>
      </c>
      <c r="I68" s="2744"/>
      <c r="J68" s="2744"/>
      <c r="K68" s="2744"/>
      <c r="L68" s="2744"/>
      <c r="X68" s="2736"/>
      <c r="Y68" s="2736"/>
      <c r="Z68" s="2736"/>
    </row>
    <row r="69" spans="1:26" s="2713" customFormat="1" ht="13.5" thickBot="1">
      <c r="A69" s="2709" t="s">
        <v>2636</v>
      </c>
      <c r="B69" s="2750">
        <f t="shared" si="67"/>
        <v>103</v>
      </c>
      <c r="C69" s="2750">
        <f t="shared" si="67"/>
        <v>104</v>
      </c>
      <c r="D69" s="2750">
        <f t="shared" si="29"/>
        <v>104</v>
      </c>
      <c r="E69" s="2750">
        <f t="shared" si="68"/>
        <v>103.5</v>
      </c>
      <c r="F69" s="2750">
        <f t="shared" si="68"/>
        <v>100.5</v>
      </c>
      <c r="G69" s="3777">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2637</v>
      </c>
      <c r="G72" s="2760"/>
      <c r="N72" s="2760"/>
      <c r="S72" s="2760"/>
    </row>
    <row r="73" spans="1:26" s="2759" customFormat="1">
      <c r="A73" s="2759" t="s">
        <v>2638</v>
      </c>
      <c r="G73" s="2760"/>
      <c r="N73" s="2760"/>
      <c r="S73" s="2760"/>
    </row>
    <row r="74" spans="1:26" s="2759" customFormat="1">
      <c r="A74" s="2759" t="s">
        <v>2639</v>
      </c>
      <c r="G74" s="2760"/>
      <c r="I74" s="2761"/>
      <c r="J74" s="2761"/>
      <c r="K74" s="2761"/>
      <c r="L74" s="2761"/>
      <c r="N74" s="2762"/>
      <c r="O74" s="2761"/>
      <c r="P74" s="2761"/>
      <c r="Q74" s="2761"/>
      <c r="S74" s="2762"/>
      <c r="T74" s="2761"/>
      <c r="U74" s="2761"/>
      <c r="V74" s="2761"/>
    </row>
    <row r="75" spans="1:26" s="2759" customFormat="1">
      <c r="A75" s="2759" t="s">
        <v>2640</v>
      </c>
      <c r="G75" s="2760"/>
      <c r="N75" s="2760"/>
      <c r="S75" s="2760"/>
    </row>
    <row r="82" spans="7:22" ht="13.5" thickBot="1"/>
    <row r="83" spans="7:22">
      <c r="G83" s="2685"/>
      <c r="S83" s="2763" t="s">
        <v>2641</v>
      </c>
      <c r="T83" s="2764" t="s">
        <v>2642</v>
      </c>
      <c r="U83" s="2764" t="s">
        <v>2643</v>
      </c>
      <c r="V83" s="2764" t="s">
        <v>2644</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8" t="s">
        <v>2477</v>
      </c>
      <c r="B1" s="3799"/>
      <c r="C1" s="3800"/>
      <c r="D1" s="3801">
        <f>SUM(I10,I15,I20,I21,I23)</f>
        <v>0</v>
      </c>
      <c r="E1" s="3801"/>
      <c r="F1" s="3801"/>
      <c r="G1" s="3801"/>
      <c r="H1" s="3801"/>
      <c r="I1" s="3802"/>
    </row>
    <row r="2" spans="1:9">
      <c r="A2" s="3788" t="s">
        <v>2478</v>
      </c>
      <c r="B2" s="3789" t="s">
        <v>2479</v>
      </c>
      <c r="C2" s="3789"/>
      <c r="D2" s="2528" t="s">
        <v>2480</v>
      </c>
      <c r="E2" s="2528" t="s">
        <v>2481</v>
      </c>
      <c r="F2" s="2528" t="s">
        <v>2482</v>
      </c>
      <c r="G2" s="2528" t="s">
        <v>2483</v>
      </c>
      <c r="H2" s="2528" t="s">
        <v>2484</v>
      </c>
      <c r="I2" s="2529" t="s">
        <v>2485</v>
      </c>
    </row>
    <row r="3" spans="1:9">
      <c r="A3" s="3788"/>
      <c r="B3" s="3789" t="s">
        <v>2486</v>
      </c>
      <c r="C3" s="3789"/>
      <c r="D3" s="2530"/>
      <c r="E3" s="2528"/>
      <c r="F3" s="2531"/>
      <c r="G3" s="2531"/>
      <c r="H3" s="2532"/>
      <c r="I3" s="2533">
        <f>ROUND(D3*E3*F3*G3*H3/10000,0)</f>
        <v>0</v>
      </c>
    </row>
    <row r="4" spans="1:9">
      <c r="A4" s="3788"/>
      <c r="B4" s="3789" t="s">
        <v>2487</v>
      </c>
      <c r="C4" s="3789"/>
      <c r="D4" s="2530"/>
      <c r="E4" s="2528"/>
      <c r="F4" s="2531"/>
      <c r="G4" s="2531"/>
      <c r="H4" s="2532"/>
      <c r="I4" s="2533">
        <f t="shared" ref="I4:I9" si="0">ROUND(D4*E4*F4*G4*H4/10000,0)</f>
        <v>0</v>
      </c>
    </row>
    <row r="5" spans="1:9">
      <c r="A5" s="3788"/>
      <c r="B5" s="3789" t="s">
        <v>2488</v>
      </c>
      <c r="C5" s="3789"/>
      <c r="D5" s="2530"/>
      <c r="E5" s="2528"/>
      <c r="F5" s="2531"/>
      <c r="G5" s="2531"/>
      <c r="H5" s="2532"/>
      <c r="I5" s="2533">
        <f t="shared" si="0"/>
        <v>0</v>
      </c>
    </row>
    <row r="6" spans="1:9">
      <c r="A6" s="3788"/>
      <c r="B6" s="3789" t="s">
        <v>2489</v>
      </c>
      <c r="C6" s="3789"/>
      <c r="D6" s="2530"/>
      <c r="E6" s="2528"/>
      <c r="F6" s="2531"/>
      <c r="G6" s="2531"/>
      <c r="H6" s="2532"/>
      <c r="I6" s="2533">
        <f t="shared" si="0"/>
        <v>0</v>
      </c>
    </row>
    <row r="7" spans="1:9">
      <c r="A7" s="3788"/>
      <c r="B7" s="3789" t="s">
        <v>2490</v>
      </c>
      <c r="C7" s="3789"/>
      <c r="D7" s="2530"/>
      <c r="E7" s="2528"/>
      <c r="F7" s="2531"/>
      <c r="G7" s="2531"/>
      <c r="H7" s="2532"/>
      <c r="I7" s="2533">
        <f t="shared" si="0"/>
        <v>0</v>
      </c>
    </row>
    <row r="8" spans="1:9">
      <c r="A8" s="3788"/>
      <c r="B8" s="3789" t="s">
        <v>2491</v>
      </c>
      <c r="C8" s="3789"/>
      <c r="D8" s="2530"/>
      <c r="E8" s="2528"/>
      <c r="F8" s="2531"/>
      <c r="G8" s="2531"/>
      <c r="H8" s="2532"/>
      <c r="I8" s="2533">
        <f t="shared" si="0"/>
        <v>0</v>
      </c>
    </row>
    <row r="9" spans="1:9">
      <c r="A9" s="3788"/>
      <c r="B9" s="3789" t="s">
        <v>2492</v>
      </c>
      <c r="C9" s="3789"/>
      <c r="D9" s="2530"/>
      <c r="E9" s="2528"/>
      <c r="F9" s="2531"/>
      <c r="G9" s="2531"/>
      <c r="H9" s="2532"/>
      <c r="I9" s="2533">
        <f t="shared" si="0"/>
        <v>0</v>
      </c>
    </row>
    <row r="10" spans="1:9">
      <c r="A10" s="3788"/>
      <c r="B10" s="3790" t="s">
        <v>2493</v>
      </c>
      <c r="C10" s="3790"/>
      <c r="D10" s="2534">
        <v>527</v>
      </c>
      <c r="E10" s="2534" t="e">
        <f>ROUND(D1*10000/D10/H9,0)</f>
        <v>#DIV/0!</v>
      </c>
      <c r="F10" s="2535"/>
      <c r="G10" s="2535"/>
      <c r="H10" s="2536"/>
      <c r="I10" s="2537">
        <f>SUM(I3:I9)</f>
        <v>0</v>
      </c>
    </row>
    <row r="11" spans="1:9" ht="14.25">
      <c r="A11" s="3788" t="s">
        <v>2494</v>
      </c>
      <c r="B11" s="3789" t="s">
        <v>2495</v>
      </c>
      <c r="C11" s="3789"/>
      <c r="D11" s="2530" t="s">
        <v>2496</v>
      </c>
      <c r="E11" s="2530" t="s">
        <v>2497</v>
      </c>
      <c r="F11" s="2531" t="s">
        <v>2498</v>
      </c>
      <c r="G11" s="2531" t="s">
        <v>2499</v>
      </c>
      <c r="H11" s="2538" t="s">
        <v>2500</v>
      </c>
      <c r="I11" s="2529" t="s">
        <v>2501</v>
      </c>
    </row>
    <row r="12" spans="1:9">
      <c r="A12" s="3788"/>
      <c r="B12" s="3789" t="s">
        <v>2502</v>
      </c>
      <c r="C12" s="3789"/>
      <c r="D12" s="2530"/>
      <c r="E12" s="2530"/>
      <c r="F12" s="2531"/>
      <c r="G12" s="2532"/>
      <c r="H12" s="2539"/>
      <c r="I12" s="2529">
        <f>ROUND(D12*E12*F12*G12/10000,0)</f>
        <v>0</v>
      </c>
    </row>
    <row r="13" spans="1:9">
      <c r="A13" s="3788"/>
      <c r="B13" s="3789" t="s">
        <v>2503</v>
      </c>
      <c r="C13" s="3789"/>
      <c r="D13" s="2530"/>
      <c r="E13" s="2530"/>
      <c r="F13" s="2531"/>
      <c r="G13" s="2532"/>
      <c r="H13" s="2539"/>
      <c r="I13" s="2529">
        <f>ROUND(D13*E13*F13*G13/10000,0)</f>
        <v>0</v>
      </c>
    </row>
    <row r="14" spans="1:9">
      <c r="A14" s="3788"/>
      <c r="B14" s="3789" t="s">
        <v>2504</v>
      </c>
      <c r="C14" s="3789"/>
      <c r="D14" s="2530"/>
      <c r="E14" s="2530"/>
      <c r="F14" s="2531"/>
      <c r="G14" s="2532"/>
      <c r="H14" s="2539"/>
      <c r="I14" s="2529">
        <f>ROUND(D14*E14*F14*G14/10000,0)</f>
        <v>0</v>
      </c>
    </row>
    <row r="15" spans="1:9">
      <c r="A15" s="3788"/>
      <c r="B15" s="3790" t="s">
        <v>2493</v>
      </c>
      <c r="C15" s="3790"/>
      <c r="D15" s="2534"/>
      <c r="E15" s="2534">
        <f>SUM(E12:E14)</f>
        <v>0</v>
      </c>
      <c r="F15" s="2535"/>
      <c r="G15" s="2532"/>
      <c r="H15" s="2539"/>
      <c r="I15" s="2540">
        <f>SUM(I12:I14)</f>
        <v>0</v>
      </c>
    </row>
    <row r="16" spans="1:9" ht="24">
      <c r="A16" s="3788" t="s">
        <v>2505</v>
      </c>
      <c r="B16" s="3789" t="s">
        <v>2506</v>
      </c>
      <c r="C16" s="3789"/>
      <c r="D16" s="2530" t="s">
        <v>2507</v>
      </c>
      <c r="E16" s="2541" t="s">
        <v>2508</v>
      </c>
      <c r="F16" s="2531" t="s">
        <v>2509</v>
      </c>
      <c r="G16" s="2532" t="s">
        <v>2499</v>
      </c>
      <c r="H16" s="2538" t="s">
        <v>2500</v>
      </c>
      <c r="I16" s="2529" t="s">
        <v>2501</v>
      </c>
    </row>
    <row r="17" spans="1:9" ht="14.25">
      <c r="A17" s="3788"/>
      <c r="B17" s="3789" t="s">
        <v>2510</v>
      </c>
      <c r="C17" s="3789"/>
      <c r="D17" s="2530"/>
      <c r="E17" s="2530"/>
      <c r="F17" s="2531"/>
      <c r="G17" s="2532"/>
      <c r="H17" s="2542"/>
      <c r="I17" s="2543">
        <f>ROUND(D17*E17*F17*G17/10000,0)</f>
        <v>0</v>
      </c>
    </row>
    <row r="18" spans="1:9" ht="14.25">
      <c r="A18" s="3788"/>
      <c r="B18" s="3789" t="s">
        <v>2511</v>
      </c>
      <c r="C18" s="3789"/>
      <c r="D18" s="2530"/>
      <c r="E18" s="2530"/>
      <c r="F18" s="2531"/>
      <c r="G18" s="2532"/>
      <c r="H18" s="2542"/>
      <c r="I18" s="2543">
        <f>ROUND(D18*E18*F18*G18/10000,0)</f>
        <v>0</v>
      </c>
    </row>
    <row r="19" spans="1:9" ht="14.25">
      <c r="A19" s="3788"/>
      <c r="B19" s="3789" t="s">
        <v>2512</v>
      </c>
      <c r="C19" s="3789"/>
      <c r="D19" s="2530"/>
      <c r="E19" s="2530"/>
      <c r="F19" s="2531"/>
      <c r="G19" s="2532"/>
      <c r="H19" s="2542"/>
      <c r="I19" s="2543">
        <f>ROUND(D19*E19*F19*G19/10000,0)</f>
        <v>0</v>
      </c>
    </row>
    <row r="20" spans="1:9">
      <c r="A20" s="3788"/>
      <c r="B20" s="3790" t="s">
        <v>2493</v>
      </c>
      <c r="C20" s="3790"/>
      <c r="D20" s="2534">
        <f>SUM(D17:D19)</f>
        <v>0</v>
      </c>
      <c r="E20" s="2534"/>
      <c r="F20" s="2535"/>
      <c r="G20" s="2532"/>
      <c r="H20" s="2539"/>
      <c r="I20" s="2540">
        <f>SUM(I17:I19)</f>
        <v>0</v>
      </c>
    </row>
    <row r="21" spans="1:9">
      <c r="A21" s="3788" t="s">
        <v>2513</v>
      </c>
      <c r="B21" s="3791"/>
      <c r="C21" s="3791"/>
      <c r="D21" s="3791"/>
      <c r="E21" s="3791"/>
      <c r="F21" s="3791"/>
      <c r="G21" s="3791"/>
      <c r="H21" s="2544">
        <v>0.1</v>
      </c>
      <c r="I21" s="2537">
        <f>ROUND(I10*H21,0)</f>
        <v>0</v>
      </c>
    </row>
    <row r="22" spans="1:9" ht="14.25">
      <c r="A22" s="3792" t="s">
        <v>2514</v>
      </c>
      <c r="B22" s="3793"/>
      <c r="C22" s="3794"/>
      <c r="D22" s="2545" t="s">
        <v>2515</v>
      </c>
      <c r="E22" s="2545" t="s">
        <v>2516</v>
      </c>
      <c r="F22" s="2546" t="s">
        <v>2517</v>
      </c>
      <c r="G22" s="2546" t="s">
        <v>2518</v>
      </c>
      <c r="H22" s="2538" t="s">
        <v>2519</v>
      </c>
      <c r="I22" s="2529" t="s">
        <v>2520</v>
      </c>
    </row>
    <row r="23" spans="1:9" ht="14.25" thickBot="1">
      <c r="A23" s="3795"/>
      <c r="B23" s="3796"/>
      <c r="C23" s="3797"/>
      <c r="D23" s="2547"/>
      <c r="E23" s="2547"/>
      <c r="F23" s="2547"/>
      <c r="G23" s="2548"/>
      <c r="H23" s="2549"/>
      <c r="I23" s="2550">
        <f>ROUND(E23*D23*F23*(1-G23)/10000,0)</f>
        <v>0</v>
      </c>
    </row>
    <row r="26" spans="1:9">
      <c r="A26" s="2551" t="s">
        <v>2521</v>
      </c>
      <c r="B26" s="2551"/>
      <c r="C26" s="2551"/>
      <c r="D26" s="2551"/>
      <c r="E26" s="3785">
        <f>C27-C30-C31-C32</f>
        <v>0</v>
      </c>
      <c r="F26" s="3785"/>
      <c r="G26" s="3785"/>
      <c r="H26" s="3065" t="s">
        <v>2849</v>
      </c>
    </row>
    <row r="27" spans="1:9">
      <c r="A27" s="2552">
        <v>1</v>
      </c>
      <c r="B27" s="2553" t="s">
        <v>2522</v>
      </c>
      <c r="C27" s="2553"/>
      <c r="D27" s="2553"/>
      <c r="E27" s="3786"/>
      <c r="F27" s="3786"/>
      <c r="G27" s="3786"/>
    </row>
    <row r="28" spans="1:9">
      <c r="A28" s="2554" t="s">
        <v>2523</v>
      </c>
      <c r="B28" s="2553" t="s">
        <v>2524</v>
      </c>
      <c r="C28" s="2553"/>
      <c r="D28" s="2553"/>
      <c r="E28" s="3786"/>
      <c r="F28" s="3786"/>
      <c r="G28" s="3786"/>
    </row>
    <row r="29" spans="1:9">
      <c r="A29" s="2554" t="s">
        <v>2525</v>
      </c>
      <c r="B29" s="2553" t="s">
        <v>2465</v>
      </c>
      <c r="C29" s="2553"/>
      <c r="D29" s="2553"/>
      <c r="E29" s="2553" t="s">
        <v>2526</v>
      </c>
      <c r="F29" s="2553"/>
      <c r="G29" s="2553"/>
    </row>
    <row r="30" spans="1:9">
      <c r="A30" s="2552">
        <v>2</v>
      </c>
      <c r="B30" s="2553" t="s">
        <v>2527</v>
      </c>
      <c r="C30" s="2553">
        <f>C27*D30</f>
        <v>0</v>
      </c>
      <c r="D30" s="2555">
        <v>0.2</v>
      </c>
      <c r="E30" s="2553" t="s">
        <v>2528</v>
      </c>
      <c r="F30" s="2553"/>
      <c r="G30" s="2553"/>
    </row>
    <row r="31" spans="1:9">
      <c r="A31" s="2552">
        <v>3</v>
      </c>
      <c r="B31" s="2553" t="s">
        <v>2529</v>
      </c>
      <c r="C31" s="2553">
        <f>C25*D31</f>
        <v>0</v>
      </c>
      <c r="D31" s="2555">
        <v>0.15</v>
      </c>
      <c r="E31" s="2553" t="s">
        <v>2530</v>
      </c>
      <c r="F31" s="2553"/>
      <c r="G31" s="2553"/>
    </row>
    <row r="32" spans="1:9">
      <c r="A32" s="2552">
        <v>4</v>
      </c>
      <c r="B32" s="2553" t="s">
        <v>2531</v>
      </c>
      <c r="C32" s="2553">
        <f>C27*D32</f>
        <v>0</v>
      </c>
      <c r="D32" s="2555">
        <v>0.05</v>
      </c>
      <c r="E32" s="3787"/>
      <c r="F32" s="3787"/>
      <c r="G32" s="3787"/>
    </row>
    <row r="33" spans="1:7" hidden="1">
      <c r="A33" s="3782" t="s">
        <v>2532</v>
      </c>
      <c r="B33" s="3783"/>
      <c r="C33" s="3783"/>
      <c r="D33" s="3784"/>
      <c r="E33" s="3785"/>
      <c r="F33" s="3785"/>
      <c r="G33" s="3785"/>
    </row>
    <row r="34" spans="1:7" hidden="1">
      <c r="A34" s="2556">
        <v>1</v>
      </c>
      <c r="B34" s="2553" t="s">
        <v>2533</v>
      </c>
      <c r="C34" s="2553"/>
      <c r="D34" s="2553"/>
      <c r="E34" s="3786"/>
      <c r="F34" s="3786"/>
      <c r="G34" s="3786"/>
    </row>
    <row r="35" spans="1:7" hidden="1">
      <c r="A35" s="2556">
        <v>2</v>
      </c>
      <c r="B35" s="2553" t="s">
        <v>2534</v>
      </c>
      <c r="C35" s="2553"/>
      <c r="D35" s="2553"/>
      <c r="E35" s="3786"/>
      <c r="F35" s="3786"/>
      <c r="G35" s="3786"/>
    </row>
    <row r="36" spans="1:7" hidden="1">
      <c r="A36" s="2556">
        <v>3</v>
      </c>
      <c r="B36" s="2553" t="s">
        <v>2535</v>
      </c>
      <c r="C36" s="2553"/>
      <c r="D36" s="2553"/>
      <c r="E36" s="3786"/>
      <c r="F36" s="3786"/>
      <c r="G36" s="3786"/>
    </row>
    <row r="37" spans="1:7" hidden="1">
      <c r="A37" s="2556">
        <v>4</v>
      </c>
      <c r="B37" s="2553" t="s">
        <v>2536</v>
      </c>
      <c r="C37" s="2553"/>
      <c r="D37" s="2553"/>
      <c r="E37" s="3786"/>
      <c r="F37" s="3786"/>
      <c r="G37" s="3786"/>
    </row>
    <row r="38" spans="1:7" hidden="1">
      <c r="A38" s="3782" t="s">
        <v>2537</v>
      </c>
      <c r="B38" s="3783"/>
      <c r="C38" s="3783"/>
      <c r="D38" s="3784"/>
      <c r="E38" s="3785"/>
      <c r="F38" s="3785"/>
      <c r="G38" s="37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1687</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0">
        <v>1</v>
      </c>
      <c r="B7" s="747" t="s">
        <v>610</v>
      </c>
      <c r="C7" s="748">
        <f>C8+C9</f>
        <v>0</v>
      </c>
      <c r="D7" s="748"/>
      <c r="E7" s="749"/>
      <c r="F7" s="749"/>
      <c r="G7" s="2500"/>
    </row>
    <row r="8" spans="1:25" s="2182" customFormat="1" ht="13.5" customHeight="1">
      <c r="A8" s="2490" t="s">
        <v>2444</v>
      </c>
      <c r="B8" s="2493" t="s">
        <v>2446</v>
      </c>
      <c r="C8" s="2494"/>
      <c r="D8" s="748"/>
      <c r="E8" s="749"/>
      <c r="F8" s="749"/>
      <c r="G8" s="750"/>
    </row>
    <row r="9" spans="1:25" s="2182" customFormat="1" ht="13.5" customHeight="1">
      <c r="A9" s="2490" t="s">
        <v>2445</v>
      </c>
      <c r="B9" s="2493" t="s">
        <v>2447</v>
      </c>
      <c r="C9" s="2494"/>
      <c r="D9" s="748"/>
      <c r="E9" s="749"/>
      <c r="F9" s="749"/>
      <c r="G9" s="750"/>
    </row>
    <row r="10" spans="1:25" s="2182" customFormat="1" ht="36">
      <c r="A10" s="2490">
        <v>2</v>
      </c>
      <c r="B10" s="747" t="s">
        <v>614</v>
      </c>
      <c r="C10" s="748">
        <f>C11+C14+C15</f>
        <v>0</v>
      </c>
      <c r="D10" s="759">
        <f>'数据-汇总表'!E3</f>
        <v>493630.89</v>
      </c>
      <c r="E10" s="748">
        <f>'数据-取费表'!B31</f>
        <v>200</v>
      </c>
      <c r="F10" s="760"/>
      <c r="G10" s="758" t="s">
        <v>615</v>
      </c>
    </row>
    <row r="11" spans="1:25" s="2182" customFormat="1" ht="13.5" customHeight="1">
      <c r="A11" s="2490" t="s">
        <v>2444</v>
      </c>
      <c r="B11" s="751" t="s">
        <v>611</v>
      </c>
      <c r="C11" s="752">
        <f>'数据-取费表'!B29</f>
        <v>0</v>
      </c>
      <c r="D11" s="753"/>
      <c r="E11" s="752"/>
      <c r="F11" s="754"/>
      <c r="G11" s="2499" t="s">
        <v>2455</v>
      </c>
    </row>
    <row r="12" spans="1:25" s="2182" customFormat="1" ht="13.5" customHeight="1">
      <c r="A12" s="2497" t="s">
        <v>2452</v>
      </c>
      <c r="B12" s="755" t="s">
        <v>612</v>
      </c>
      <c r="C12" s="756">
        <f>ROUND(D12*E12/10000,0)</f>
        <v>1801</v>
      </c>
      <c r="D12" s="757">
        <f>'数据-汇总表'!E5</f>
        <v>360128.49</v>
      </c>
      <c r="E12" s="756">
        <f>'数据-取费表'!B27</f>
        <v>50</v>
      </c>
      <c r="F12" s="754"/>
      <c r="G12" s="758"/>
    </row>
    <row r="13" spans="1:25" s="2182" customFormat="1" ht="13.5" customHeight="1">
      <c r="A13" s="2497" t="s">
        <v>2451</v>
      </c>
      <c r="B13" s="755" t="s">
        <v>613</v>
      </c>
      <c r="C13" s="756">
        <f>ROUND(D13*E13/10000,0)</f>
        <v>668</v>
      </c>
      <c r="D13" s="757">
        <f>'数据-汇总表'!E6</f>
        <v>133502.40000000002</v>
      </c>
      <c r="E13" s="756">
        <f>'数据-取费表'!B28</f>
        <v>50</v>
      </c>
      <c r="F13" s="754"/>
      <c r="G13" s="758"/>
    </row>
    <row r="14" spans="1:25" s="2182" customFormat="1" ht="13.5" customHeight="1">
      <c r="A14" s="2490" t="s">
        <v>2445</v>
      </c>
      <c r="B14" s="2496" t="s">
        <v>2448</v>
      </c>
      <c r="C14" s="2494"/>
      <c r="D14" s="757"/>
      <c r="E14" s="756"/>
      <c r="F14" s="2495"/>
      <c r="G14" s="2498" t="s">
        <v>2453</v>
      </c>
    </row>
    <row r="15" spans="1:25" s="2182" customFormat="1" ht="13.5" customHeight="1">
      <c r="A15" s="2490" t="s">
        <v>2450</v>
      </c>
      <c r="B15" s="2496" t="s">
        <v>2449</v>
      </c>
      <c r="C15" s="2494"/>
      <c r="D15" s="757"/>
      <c r="E15" s="756"/>
      <c r="F15" s="2495"/>
      <c r="G15" s="2498" t="s">
        <v>2454</v>
      </c>
    </row>
    <row r="16" spans="1:25" s="2183" customFormat="1" ht="48">
      <c r="A16" s="2490">
        <v>3</v>
      </c>
      <c r="B16" s="747" t="s">
        <v>616</v>
      </c>
      <c r="C16" s="2494"/>
      <c r="D16" s="759"/>
      <c r="E16" s="748"/>
      <c r="F16" s="760"/>
      <c r="G16" s="758"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7" t="s">
        <v>617</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7" t="s">
        <v>618</v>
      </c>
      <c r="C18" s="748">
        <f>ROUND((C7+C10+C16)*F18,0)</f>
        <v>0</v>
      </c>
      <c r="D18" s="761"/>
      <c r="E18" s="762"/>
      <c r="F18" s="760">
        <f>'数据-取费表'!Q16</f>
        <v>0.12</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7" t="s">
        <v>622</v>
      </c>
      <c r="C20" s="748">
        <f ca="1">ROUND(C19*F20,0)</f>
        <v>0</v>
      </c>
      <c r="D20" s="759"/>
      <c r="E20" s="748"/>
      <c r="F20" s="1347"/>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7" t="s">
        <v>626</v>
      </c>
      <c r="C22" s="748">
        <f ca="1">ROUND(C21*F22,0)</f>
        <v>0</v>
      </c>
      <c r="D22" s="759"/>
      <c r="E22" s="748"/>
      <c r="F22" s="765">
        <f>'数据-取费表'!AP16</f>
        <v>0.92900000000000005</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778</v>
      </c>
      <c r="C1" s="503" t="s">
        <v>721</v>
      </c>
      <c r="D1" s="848"/>
      <c r="E1" s="505"/>
      <c r="F1" s="2829"/>
      <c r="G1" s="1600" t="s">
        <v>722</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520</v>
      </c>
      <c r="B3" s="509" t="e">
        <f>C50</f>
        <v>#DIV/0!</v>
      </c>
      <c r="C3" s="851" t="s">
        <v>723</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522</v>
      </c>
      <c r="B4" s="512"/>
      <c r="C4" s="3705" t="s">
        <v>523</v>
      </c>
      <c r="D4" s="3706"/>
      <c r="E4" s="3729" t="s">
        <v>524</v>
      </c>
      <c r="F4" s="3730"/>
      <c r="G4" s="3705" t="s">
        <v>525</v>
      </c>
      <c r="H4" s="3706"/>
      <c r="I4" s="3705" t="s">
        <v>526</v>
      </c>
      <c r="J4" s="3706"/>
      <c r="K4" s="513" t="s">
        <v>527</v>
      </c>
      <c r="L4" s="2132"/>
      <c r="M4" s="2133"/>
      <c r="N4" s="2133"/>
      <c r="O4" s="2133"/>
      <c r="P4" s="3803" t="s">
        <v>528</v>
      </c>
      <c r="Q4" s="3708"/>
      <c r="R4" s="3693" t="s">
        <v>524</v>
      </c>
      <c r="S4" s="3694"/>
      <c r="T4" s="3693" t="s">
        <v>525</v>
      </c>
      <c r="U4" s="3694"/>
      <c r="V4" s="3713" t="s">
        <v>526</v>
      </c>
      <c r="W4" s="3713"/>
      <c r="X4" s="1566"/>
      <c r="Y4" s="3693" t="s">
        <v>528</v>
      </c>
      <c r="Z4" s="3694"/>
      <c r="AA4" s="3688" t="s">
        <v>524</v>
      </c>
      <c r="AB4" s="3688" t="s">
        <v>525</v>
      </c>
      <c r="AC4" s="3688" t="s">
        <v>526</v>
      </c>
    </row>
    <row r="5" spans="1:29" ht="15">
      <c r="A5" s="514"/>
      <c r="B5" s="515"/>
      <c r="C5" s="3716" t="s">
        <v>2933</v>
      </c>
      <c r="D5" s="3717"/>
      <c r="E5" s="3745" t="s">
        <v>2934</v>
      </c>
      <c r="F5" s="3725"/>
      <c r="G5" s="3716" t="s">
        <v>2935</v>
      </c>
      <c r="H5" s="3717"/>
      <c r="I5" s="3716" t="s">
        <v>2936</v>
      </c>
      <c r="J5" s="3717"/>
      <c r="K5" s="513"/>
      <c r="L5" s="2132"/>
      <c r="M5" s="2133"/>
      <c r="N5" s="2133"/>
      <c r="O5" s="2133"/>
      <c r="P5" s="3804"/>
      <c r="Q5" s="3710"/>
      <c r="R5" s="3695"/>
      <c r="S5" s="3696"/>
      <c r="T5" s="3695"/>
      <c r="U5" s="3696"/>
      <c r="V5" s="3713"/>
      <c r="W5" s="3713"/>
      <c r="X5" s="1566"/>
      <c r="Y5" s="3695"/>
      <c r="Z5" s="3696"/>
      <c r="AA5" s="3689"/>
      <c r="AB5" s="3689"/>
      <c r="AC5" s="3689"/>
    </row>
    <row r="6" spans="1:29" ht="15.75" thickBot="1">
      <c r="A6" s="516"/>
      <c r="B6" s="517"/>
      <c r="C6" s="3714" t="s">
        <v>2937</v>
      </c>
      <c r="D6" s="3715"/>
      <c r="E6" s="3727" t="s">
        <v>2937</v>
      </c>
      <c r="F6" s="3728"/>
      <c r="G6" s="3714" t="s">
        <v>2937</v>
      </c>
      <c r="H6" s="3715"/>
      <c r="I6" s="3714" t="s">
        <v>2937</v>
      </c>
      <c r="J6" s="3715"/>
      <c r="K6" s="513" t="s">
        <v>529</v>
      </c>
      <c r="L6" s="2132"/>
      <c r="M6" s="2133"/>
      <c r="N6" s="2133"/>
      <c r="O6" s="2133"/>
      <c r="P6" s="3805"/>
      <c r="Q6" s="3712"/>
      <c r="R6" s="3695"/>
      <c r="S6" s="3696"/>
      <c r="T6" s="3697"/>
      <c r="U6" s="3698"/>
      <c r="V6" s="3713"/>
      <c r="W6" s="3713"/>
      <c r="X6" s="1566"/>
      <c r="Y6" s="3697"/>
      <c r="Z6" s="3698"/>
      <c r="AA6" s="3690"/>
      <c r="AB6" s="3690"/>
      <c r="AC6" s="3690"/>
    </row>
    <row r="7" spans="1:29" s="1218" customFormat="1" ht="15.75" thickBot="1">
      <c r="A7" s="2933"/>
      <c r="B7" s="2940" t="s">
        <v>530</v>
      </c>
      <c r="C7" s="518">
        <f>'数据-取费表'!B2</f>
        <v>43206</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00" t="s">
        <v>531</v>
      </c>
      <c r="Q7" s="3700"/>
      <c r="R7" s="1567" t="s">
        <v>8</v>
      </c>
      <c r="S7" s="1568">
        <f t="shared" ref="S7:S15" si="0">F7</f>
        <v>0</v>
      </c>
      <c r="T7" s="1567" t="s">
        <v>8</v>
      </c>
      <c r="U7" s="1568">
        <f t="shared" ref="U7:U15" si="1">H7</f>
        <v>0</v>
      </c>
      <c r="V7" s="1567" t="s">
        <v>8</v>
      </c>
      <c r="W7" s="1568">
        <f t="shared" ref="W7:W15" si="2">J7</f>
        <v>0</v>
      </c>
      <c r="X7" s="1569"/>
      <c r="Y7" s="3691" t="s">
        <v>531</v>
      </c>
      <c r="Z7" s="3692"/>
      <c r="AA7" s="1570" t="e">
        <f>D7/F7</f>
        <v>#DIV/0!</v>
      </c>
      <c r="AB7" s="1570" t="e">
        <f>D7/H7</f>
        <v>#DIV/0!</v>
      </c>
      <c r="AC7" s="1570" t="e">
        <f>D7/J7</f>
        <v>#DIV/0!</v>
      </c>
    </row>
    <row r="8" spans="1:29" s="1218" customFormat="1" ht="15.75" thickBot="1">
      <c r="A8" s="2934"/>
      <c r="B8" s="2941" t="s">
        <v>532</v>
      </c>
      <c r="C8" s="524" t="s">
        <v>577</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00" t="s">
        <v>534</v>
      </c>
      <c r="Q8" s="3692"/>
      <c r="R8" s="1567" t="s">
        <v>8</v>
      </c>
      <c r="S8" s="1568">
        <f t="shared" si="0"/>
        <v>0</v>
      </c>
      <c r="T8" s="1567" t="s">
        <v>8</v>
      </c>
      <c r="U8" s="1568">
        <f t="shared" si="1"/>
        <v>0</v>
      </c>
      <c r="V8" s="1567" t="s">
        <v>8</v>
      </c>
      <c r="W8" s="1568">
        <f t="shared" si="2"/>
        <v>0</v>
      </c>
      <c r="X8" s="1569"/>
      <c r="Y8" s="3691" t="s">
        <v>534</v>
      </c>
      <c r="Z8" s="3692"/>
      <c r="AA8" s="1570" t="e">
        <f t="shared" ref="AA8:AA47" si="3">D8/F8</f>
        <v>#DIV/0!</v>
      </c>
      <c r="AB8" s="1570" t="e">
        <f t="shared" ref="AB8:AB47" si="4">D8/H8</f>
        <v>#DIV/0!</v>
      </c>
      <c r="AC8" s="1570" t="e">
        <f t="shared" ref="AC8:AC47" si="5">D8/J8</f>
        <v>#DIV/0!</v>
      </c>
    </row>
    <row r="9" spans="1:29" s="1218" customFormat="1" ht="15">
      <c r="A9" s="2935"/>
      <c r="B9" s="2942" t="s">
        <v>2762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699" t="s">
        <v>536</v>
      </c>
      <c r="Q9" s="1149" t="str">
        <f t="shared" ref="Q9:Q15" si="6">B9</f>
        <v>用途</v>
      </c>
      <c r="R9" s="1567" t="s">
        <v>8</v>
      </c>
      <c r="S9" s="1568">
        <f t="shared" si="0"/>
        <v>100</v>
      </c>
      <c r="T9" s="1567" t="s">
        <v>8</v>
      </c>
      <c r="U9" s="1568">
        <f t="shared" si="1"/>
        <v>100</v>
      </c>
      <c r="V9" s="1567" t="s">
        <v>8</v>
      </c>
      <c r="W9" s="1568">
        <f t="shared" si="2"/>
        <v>100</v>
      </c>
      <c r="X9" s="1569"/>
      <c r="Y9" s="3656" t="s">
        <v>537</v>
      </c>
      <c r="Z9" s="1148" t="str">
        <f t="shared" ref="Z9:Z15" si="7">Q9</f>
        <v>用途</v>
      </c>
      <c r="AA9" s="1570">
        <f t="shared" si="3"/>
        <v>1</v>
      </c>
      <c r="AB9" s="1570">
        <f t="shared" si="4"/>
        <v>1</v>
      </c>
      <c r="AC9" s="1570">
        <f t="shared" si="5"/>
        <v>1</v>
      </c>
    </row>
    <row r="10" spans="1:29" s="1336" customFormat="1" ht="27">
      <c r="A10" s="2936"/>
      <c r="B10" s="2941" t="s">
        <v>2763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699"/>
      <c r="Q10" s="1149" t="str">
        <f t="shared" si="6"/>
        <v>土地使用年限（年）</v>
      </c>
      <c r="R10" s="1567" t="s">
        <v>8</v>
      </c>
      <c r="S10" s="1568">
        <f t="shared" si="0"/>
        <v>100</v>
      </c>
      <c r="T10" s="1567" t="s">
        <v>8</v>
      </c>
      <c r="U10" s="1568">
        <f t="shared" si="1"/>
        <v>100</v>
      </c>
      <c r="V10" s="1567" t="s">
        <v>8</v>
      </c>
      <c r="W10" s="1568">
        <f t="shared" si="2"/>
        <v>100</v>
      </c>
      <c r="X10" s="1569"/>
      <c r="Y10" s="3656"/>
      <c r="Z10" s="1148" t="str">
        <f t="shared" si="7"/>
        <v>土地使用年限（年）</v>
      </c>
      <c r="AA10" s="1570">
        <f t="shared" si="3"/>
        <v>1</v>
      </c>
      <c r="AB10" s="1570">
        <f t="shared" si="4"/>
        <v>1</v>
      </c>
      <c r="AC10" s="1570">
        <f t="shared" si="5"/>
        <v>1</v>
      </c>
    </row>
    <row r="11" spans="1:29" ht="15">
      <c r="A11" s="2937"/>
      <c r="B11" s="2941"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699"/>
      <c r="Q11" s="1149" t="str">
        <f t="shared" si="6"/>
        <v>容积率</v>
      </c>
      <c r="R11" s="1567" t="s">
        <v>8</v>
      </c>
      <c r="S11" s="1568" t="e">
        <f t="shared" si="0"/>
        <v>#N/A</v>
      </c>
      <c r="T11" s="1567" t="s">
        <v>8</v>
      </c>
      <c r="U11" s="1568" t="e">
        <f t="shared" si="1"/>
        <v>#N/A</v>
      </c>
      <c r="V11" s="1567" t="s">
        <v>8</v>
      </c>
      <c r="W11" s="1568" t="e">
        <f t="shared" si="2"/>
        <v>#N/A</v>
      </c>
      <c r="X11" s="1569"/>
      <c r="Y11" s="3656"/>
      <c r="Z11" s="1148" t="str">
        <f t="shared" si="7"/>
        <v>容积率</v>
      </c>
      <c r="AA11" s="1570" t="e">
        <f t="shared" si="3"/>
        <v>#N/A</v>
      </c>
      <c r="AB11" s="1570" t="e">
        <f t="shared" si="4"/>
        <v>#N/A</v>
      </c>
      <c r="AC11" s="1570" t="e">
        <f t="shared" si="5"/>
        <v>#N/A</v>
      </c>
    </row>
    <row r="12" spans="1:29" s="1218" customFormat="1" ht="15">
      <c r="A12" s="2938"/>
      <c r="B12" s="2944">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699"/>
      <c r="Q12" s="1149">
        <f t="shared" si="6"/>
        <v>111</v>
      </c>
      <c r="R12" s="1567" t="s">
        <v>8</v>
      </c>
      <c r="S12" s="1568">
        <f t="shared" si="0"/>
        <v>100</v>
      </c>
      <c r="T12" s="1567" t="s">
        <v>8</v>
      </c>
      <c r="U12" s="1568">
        <f t="shared" si="1"/>
        <v>100</v>
      </c>
      <c r="V12" s="1567" t="s">
        <v>8</v>
      </c>
      <c r="W12" s="1568">
        <f t="shared" si="2"/>
        <v>100</v>
      </c>
      <c r="X12" s="1569"/>
      <c r="Y12" s="3656"/>
      <c r="Z12" s="1148">
        <f t="shared" si="7"/>
        <v>111</v>
      </c>
      <c r="AA12" s="1570">
        <f>D12/F12</f>
        <v>1</v>
      </c>
      <c r="AB12" s="1570">
        <f>D12/H12</f>
        <v>1</v>
      </c>
      <c r="AC12" s="1570">
        <f>D12/J12</f>
        <v>1</v>
      </c>
    </row>
    <row r="13" spans="1:29" ht="15">
      <c r="A13" s="2938"/>
      <c r="B13" s="2944">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699"/>
      <c r="Q13" s="1149">
        <f t="shared" si="6"/>
        <v>111</v>
      </c>
      <c r="R13" s="1567" t="s">
        <v>8</v>
      </c>
      <c r="S13" s="1568">
        <f t="shared" si="0"/>
        <v>100</v>
      </c>
      <c r="T13" s="1567" t="s">
        <v>8</v>
      </c>
      <c r="U13" s="1568">
        <f t="shared" si="1"/>
        <v>100</v>
      </c>
      <c r="V13" s="1567" t="s">
        <v>8</v>
      </c>
      <c r="W13" s="1568">
        <f t="shared" si="2"/>
        <v>100</v>
      </c>
      <c r="X13" s="1569"/>
      <c r="Y13" s="3656"/>
      <c r="Z13" s="1148">
        <f t="shared" si="7"/>
        <v>111</v>
      </c>
      <c r="AA13" s="1570">
        <f t="shared" si="3"/>
        <v>1</v>
      </c>
      <c r="AB13" s="1570">
        <f t="shared" si="4"/>
        <v>1</v>
      </c>
      <c r="AC13" s="1570">
        <f t="shared" si="5"/>
        <v>1</v>
      </c>
    </row>
    <row r="14" spans="1:29" ht="15.75" thickBot="1">
      <c r="A14" s="2939"/>
      <c r="B14" s="2945">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699"/>
      <c r="Q14" s="1149">
        <f t="shared" si="6"/>
        <v>111</v>
      </c>
      <c r="R14" s="1567" t="s">
        <v>8</v>
      </c>
      <c r="S14" s="1568">
        <f t="shared" si="0"/>
        <v>100</v>
      </c>
      <c r="T14" s="1567" t="s">
        <v>8</v>
      </c>
      <c r="U14" s="1568">
        <f t="shared" si="1"/>
        <v>100</v>
      </c>
      <c r="V14" s="1567" t="s">
        <v>8</v>
      </c>
      <c r="W14" s="1568">
        <f t="shared" si="2"/>
        <v>100</v>
      </c>
      <c r="X14" s="1569"/>
      <c r="Y14" s="3656"/>
      <c r="Z14" s="1148">
        <f t="shared" si="7"/>
        <v>111</v>
      </c>
      <c r="AA14" s="1570">
        <f t="shared" si="3"/>
        <v>1</v>
      </c>
      <c r="AB14" s="1570">
        <f t="shared" si="4"/>
        <v>1</v>
      </c>
      <c r="AC14" s="1570">
        <f t="shared" si="5"/>
        <v>1</v>
      </c>
    </row>
    <row r="15" spans="1:29" ht="71.25">
      <c r="A15" s="2931" t="s">
        <v>2760</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701" t="s">
        <v>541</v>
      </c>
      <c r="Q15" s="1571" t="str">
        <f t="shared" si="6"/>
        <v>办公集聚程度</v>
      </c>
      <c r="R15" s="1572" t="s">
        <v>8</v>
      </c>
      <c r="S15" s="1573">
        <f t="shared" si="0"/>
        <v>100</v>
      </c>
      <c r="T15" s="1572" t="s">
        <v>8</v>
      </c>
      <c r="U15" s="1573">
        <f t="shared" si="1"/>
        <v>100</v>
      </c>
      <c r="V15" s="1572" t="s">
        <v>8</v>
      </c>
      <c r="W15" s="1573">
        <f t="shared" si="2"/>
        <v>100</v>
      </c>
      <c r="X15" s="1566"/>
      <c r="Y15" s="3701"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702"/>
      <c r="Q16" s="1571"/>
      <c r="R16" s="1572"/>
      <c r="S16" s="1573"/>
      <c r="T16" s="1572"/>
      <c r="U16" s="1573"/>
      <c r="V16" s="1572"/>
      <c r="W16" s="1573"/>
      <c r="X16" s="1566"/>
      <c r="Y16" s="3702"/>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702"/>
      <c r="Q17" s="1571" t="str">
        <f>B17</f>
        <v>交通便捷度</v>
      </c>
      <c r="R17" s="1572" t="s">
        <v>8</v>
      </c>
      <c r="S17" s="1573">
        <f>F17</f>
        <v>100</v>
      </c>
      <c r="T17" s="1572" t="s">
        <v>8</v>
      </c>
      <c r="U17" s="1573">
        <f>H17</f>
        <v>100</v>
      </c>
      <c r="V17" s="1572" t="s">
        <v>8</v>
      </c>
      <c r="W17" s="1573">
        <f>J17</f>
        <v>100</v>
      </c>
      <c r="X17" s="1566"/>
      <c r="Y17" s="370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702"/>
      <c r="Q18" s="1571"/>
      <c r="R18" s="1572"/>
      <c r="S18" s="1573"/>
      <c r="T18" s="1572"/>
      <c r="U18" s="1573"/>
      <c r="V18" s="1572"/>
      <c r="W18" s="1573"/>
      <c r="X18" s="1566"/>
      <c r="Y18" s="3702"/>
      <c r="Z18" s="1574"/>
      <c r="AA18" s="1575">
        <v>1</v>
      </c>
      <c r="AB18" s="1575">
        <v>1</v>
      </c>
      <c r="AC18" s="1575">
        <v>1</v>
      </c>
    </row>
    <row r="19" spans="1:29" ht="42.75">
      <c r="A19" s="531"/>
      <c r="B19" s="2624" t="s">
        <v>2552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702"/>
      <c r="Q19" s="1571" t="str">
        <f>B19</f>
        <v>公共配套设施</v>
      </c>
      <c r="R19" s="1572" t="s">
        <v>8</v>
      </c>
      <c r="S19" s="1573">
        <f>F19</f>
        <v>100</v>
      </c>
      <c r="T19" s="1572" t="s">
        <v>8</v>
      </c>
      <c r="U19" s="1573">
        <f>H19</f>
        <v>100</v>
      </c>
      <c r="V19" s="1572" t="s">
        <v>8</v>
      </c>
      <c r="W19" s="1573">
        <f>J19</f>
        <v>100</v>
      </c>
      <c r="X19" s="1566"/>
      <c r="Y19" s="370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702"/>
      <c r="Q20" s="1571"/>
      <c r="R20" s="1572"/>
      <c r="S20" s="1573"/>
      <c r="T20" s="1572"/>
      <c r="U20" s="1573"/>
      <c r="V20" s="1572"/>
      <c r="W20" s="1573"/>
      <c r="X20" s="1566"/>
      <c r="Y20" s="3702"/>
      <c r="Z20" s="1574"/>
      <c r="AA20" s="1575">
        <v>1</v>
      </c>
      <c r="AB20" s="1575">
        <v>1</v>
      </c>
      <c r="AC20" s="1575">
        <v>1</v>
      </c>
    </row>
    <row r="21" spans="1:29" ht="28.5">
      <c r="A21" s="531"/>
      <c r="B21" s="2612" t="s">
        <v>2564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702"/>
      <c r="Q21" s="2600" t="str">
        <f>B21</f>
        <v>基础设施水平</v>
      </c>
      <c r="R21" s="1572" t="s">
        <v>8</v>
      </c>
      <c r="S21" s="1573">
        <f>F21</f>
        <v>100</v>
      </c>
      <c r="T21" s="1572" t="s">
        <v>8</v>
      </c>
      <c r="U21" s="1573">
        <f>H21</f>
        <v>100</v>
      </c>
      <c r="V21" s="1572" t="s">
        <v>8</v>
      </c>
      <c r="W21" s="1573">
        <f>J21</f>
        <v>100</v>
      </c>
      <c r="X21" s="2602"/>
      <c r="Y21" s="3702"/>
      <c r="Z21" s="2601"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3"/>
      <c r="L22" s="2141"/>
      <c r="M22" s="2133"/>
      <c r="N22" s="2133"/>
      <c r="O22" s="2133"/>
      <c r="P22" s="3702"/>
      <c r="Q22" s="2600"/>
      <c r="R22" s="1572"/>
      <c r="S22" s="1573"/>
      <c r="T22" s="1572"/>
      <c r="U22" s="1573"/>
      <c r="V22" s="1572"/>
      <c r="W22" s="1573"/>
      <c r="X22" s="2602"/>
      <c r="Y22" s="3702"/>
      <c r="Z22" s="2601"/>
      <c r="AA22" s="1575">
        <v>1</v>
      </c>
      <c r="AB22" s="1575">
        <v>1</v>
      </c>
      <c r="AC22" s="1575">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702"/>
      <c r="Q23" s="1571" t="str">
        <f>B23</f>
        <v>环境质量</v>
      </c>
      <c r="R23" s="1572" t="s">
        <v>8</v>
      </c>
      <c r="S23" s="1573">
        <f>F23</f>
        <v>100</v>
      </c>
      <c r="T23" s="1572" t="s">
        <v>8</v>
      </c>
      <c r="U23" s="1573">
        <f>H23</f>
        <v>100</v>
      </c>
      <c r="V23" s="1572" t="s">
        <v>8</v>
      </c>
      <c r="W23" s="1573">
        <f>J23</f>
        <v>100</v>
      </c>
      <c r="X23" s="1566"/>
      <c r="Y23" s="370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702"/>
      <c r="Q24" s="1571"/>
      <c r="R24" s="1572"/>
      <c r="S24" s="1573"/>
      <c r="T24" s="1572"/>
      <c r="U24" s="1573"/>
      <c r="V24" s="1572"/>
      <c r="W24" s="1573"/>
      <c r="X24" s="1566"/>
      <c r="Y24" s="3702"/>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702"/>
      <c r="Q25" s="1571" t="str">
        <f>B25</f>
        <v>毗邻道路的类型与等级</v>
      </c>
      <c r="R25" s="1572" t="s">
        <v>8</v>
      </c>
      <c r="S25" s="1573">
        <f>F25</f>
        <v>100</v>
      </c>
      <c r="T25" s="1572" t="s">
        <v>8</v>
      </c>
      <c r="U25" s="1573">
        <f>H25</f>
        <v>100</v>
      </c>
      <c r="V25" s="1572" t="s">
        <v>8</v>
      </c>
      <c r="W25" s="1573">
        <f>J25</f>
        <v>100</v>
      </c>
      <c r="X25" s="1566"/>
      <c r="Y25" s="370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702"/>
      <c r="Q26" s="1571"/>
      <c r="R26" s="1572"/>
      <c r="S26" s="1573"/>
      <c r="T26" s="1572"/>
      <c r="U26" s="1573"/>
      <c r="V26" s="1572"/>
      <c r="W26" s="1573"/>
      <c r="X26" s="1566"/>
      <c r="Y26" s="3702"/>
      <c r="Z26" s="1574"/>
      <c r="AA26" s="1575">
        <v>1</v>
      </c>
      <c r="AB26" s="1575">
        <v>1</v>
      </c>
      <c r="AC26" s="1575">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02"/>
      <c r="Q27" s="1571" t="str">
        <f t="shared" ref="Q27:Q47" si="11">B27</f>
        <v>楼层</v>
      </c>
      <c r="R27" s="1572" t="s">
        <v>8</v>
      </c>
      <c r="S27" s="1573">
        <f>F27</f>
        <v>100</v>
      </c>
      <c r="T27" s="1572" t="s">
        <v>8</v>
      </c>
      <c r="U27" s="1573">
        <f>H27</f>
        <v>100</v>
      </c>
      <c r="V27" s="1572" t="s">
        <v>8</v>
      </c>
      <c r="W27" s="1573">
        <f>J27</f>
        <v>100</v>
      </c>
      <c r="X27" s="1566"/>
      <c r="Y27" s="3702"/>
      <c r="Z27" s="1574" t="str">
        <f>Q27</f>
        <v>楼层</v>
      </c>
      <c r="AA27" s="1575">
        <f t="shared" si="3"/>
        <v>1</v>
      </c>
      <c r="AB27" s="1575">
        <f t="shared" si="4"/>
        <v>1</v>
      </c>
      <c r="AC27" s="1575">
        <f t="shared" si="5"/>
        <v>1</v>
      </c>
    </row>
    <row r="28" spans="1:29" s="1218"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702"/>
      <c r="Q28" s="1149" t="str">
        <f t="shared" si="11"/>
        <v>朝向</v>
      </c>
      <c r="R28" s="1567" t="s">
        <v>8</v>
      </c>
      <c r="S28" s="1568">
        <f>F28</f>
        <v>100</v>
      </c>
      <c r="T28" s="1567" t="s">
        <v>8</v>
      </c>
      <c r="U28" s="1568">
        <f>H28</f>
        <v>100</v>
      </c>
      <c r="V28" s="1567" t="s">
        <v>8</v>
      </c>
      <c r="W28" s="1568">
        <f>J28</f>
        <v>100</v>
      </c>
      <c r="X28" s="1569"/>
      <c r="Y28" s="3702"/>
      <c r="Z28" s="1148"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702"/>
      <c r="Q29" s="1571">
        <f t="shared" si="11"/>
        <v>111</v>
      </c>
      <c r="R29" s="1572" t="s">
        <v>8</v>
      </c>
      <c r="S29" s="1573">
        <f t="shared" ref="S29:S47" si="12">F29</f>
        <v>100</v>
      </c>
      <c r="T29" s="1572" t="s">
        <v>8</v>
      </c>
      <c r="U29" s="1573">
        <f t="shared" ref="U29:U47" si="13">H29</f>
        <v>100</v>
      </c>
      <c r="V29" s="1572" t="s">
        <v>8</v>
      </c>
      <c r="W29" s="1573">
        <f t="shared" ref="W29:W47" si="14">J29</f>
        <v>100</v>
      </c>
      <c r="X29" s="1566"/>
      <c r="Y29" s="370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702"/>
      <c r="Q30" s="1571">
        <f t="shared" si="11"/>
        <v>111</v>
      </c>
      <c r="R30" s="1572" t="s">
        <v>8</v>
      </c>
      <c r="S30" s="1573">
        <f t="shared" si="12"/>
        <v>100</v>
      </c>
      <c r="T30" s="1572" t="s">
        <v>8</v>
      </c>
      <c r="U30" s="1573">
        <f t="shared" si="13"/>
        <v>100</v>
      </c>
      <c r="V30" s="1572" t="s">
        <v>8</v>
      </c>
      <c r="W30" s="1573">
        <f t="shared" si="14"/>
        <v>100</v>
      </c>
      <c r="X30" s="1566"/>
      <c r="Y30" s="370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702"/>
      <c r="Q31" s="1571">
        <f t="shared" si="11"/>
        <v>111</v>
      </c>
      <c r="R31" s="1572" t="s">
        <v>8</v>
      </c>
      <c r="S31" s="1573">
        <f t="shared" si="12"/>
        <v>100</v>
      </c>
      <c r="T31" s="1572" t="s">
        <v>8</v>
      </c>
      <c r="U31" s="1573">
        <f t="shared" si="13"/>
        <v>100</v>
      </c>
      <c r="V31" s="1572" t="s">
        <v>8</v>
      </c>
      <c r="W31" s="1573">
        <f t="shared" si="14"/>
        <v>100</v>
      </c>
      <c r="X31" s="1566"/>
      <c r="Y31" s="370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702"/>
      <c r="Q32" s="1571">
        <f t="shared" si="11"/>
        <v>111</v>
      </c>
      <c r="R32" s="1572" t="s">
        <v>8</v>
      </c>
      <c r="S32" s="1573">
        <f t="shared" si="12"/>
        <v>100</v>
      </c>
      <c r="T32" s="1572" t="s">
        <v>8</v>
      </c>
      <c r="U32" s="1573">
        <f t="shared" si="13"/>
        <v>100</v>
      </c>
      <c r="V32" s="1572" t="s">
        <v>8</v>
      </c>
      <c r="W32" s="1573">
        <f t="shared" si="14"/>
        <v>100</v>
      </c>
      <c r="X32" s="1566"/>
      <c r="Y32" s="3702"/>
      <c r="Z32" s="1574">
        <f t="shared" si="15"/>
        <v>111</v>
      </c>
      <c r="AA32" s="1575">
        <f t="shared" si="3"/>
        <v>1</v>
      </c>
      <c r="AB32" s="1575">
        <f t="shared" si="4"/>
        <v>1</v>
      </c>
      <c r="AC32" s="1575">
        <f t="shared" si="5"/>
        <v>1</v>
      </c>
    </row>
    <row r="33" spans="1:29" ht="15">
      <c r="A33" s="2929" t="s">
        <v>2761</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703" t="s">
        <v>551</v>
      </c>
      <c r="Q33" s="1571" t="str">
        <f t="shared" si="11"/>
        <v>建筑类型</v>
      </c>
      <c r="R33" s="1572" t="s">
        <v>8</v>
      </c>
      <c r="S33" s="1573">
        <f t="shared" si="12"/>
        <v>100</v>
      </c>
      <c r="T33" s="1572" t="s">
        <v>8</v>
      </c>
      <c r="U33" s="1573">
        <f t="shared" si="13"/>
        <v>100</v>
      </c>
      <c r="V33" s="1572" t="s">
        <v>8</v>
      </c>
      <c r="W33" s="1573">
        <f t="shared" si="14"/>
        <v>100</v>
      </c>
      <c r="X33" s="1566"/>
      <c r="Y33" s="3704" t="s">
        <v>551</v>
      </c>
      <c r="Z33" s="1574" t="str">
        <f t="shared" si="15"/>
        <v>建筑类型</v>
      </c>
      <c r="AA33" s="1575">
        <f t="shared" si="3"/>
        <v>1</v>
      </c>
      <c r="AB33" s="1575">
        <f t="shared" si="4"/>
        <v>1</v>
      </c>
      <c r="AC33" s="1575">
        <f t="shared" si="5"/>
        <v>1</v>
      </c>
    </row>
    <row r="34" spans="1:29" s="1337"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04"/>
      <c r="Q34" s="1604" t="str">
        <f t="shared" si="11"/>
        <v>项目建筑规模</v>
      </c>
      <c r="R34" s="1576" t="s">
        <v>8</v>
      </c>
      <c r="S34" s="1577" t="e">
        <f t="shared" si="12"/>
        <v>#N/A</v>
      </c>
      <c r="T34" s="1576" t="s">
        <v>8</v>
      </c>
      <c r="U34" s="1577" t="e">
        <f t="shared" si="13"/>
        <v>#N/A</v>
      </c>
      <c r="V34" s="1576" t="s">
        <v>8</v>
      </c>
      <c r="W34" s="1577" t="e">
        <f t="shared" si="14"/>
        <v>#N/A</v>
      </c>
      <c r="X34" s="1578"/>
      <c r="Y34" s="3704"/>
      <c r="Z34" s="1579" t="str">
        <f t="shared" si="15"/>
        <v>项目建筑规模</v>
      </c>
      <c r="AA34" s="1575" t="e">
        <f t="shared" si="3"/>
        <v>#N/A</v>
      </c>
      <c r="AB34" s="1575" t="e">
        <f t="shared" si="4"/>
        <v>#N/A</v>
      </c>
      <c r="AC34" s="1575"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04"/>
      <c r="Q35" s="1571" t="str">
        <f t="shared" si="11"/>
        <v>建筑结构</v>
      </c>
      <c r="R35" s="1572" t="s">
        <v>8</v>
      </c>
      <c r="S35" s="1573">
        <f t="shared" si="12"/>
        <v>100</v>
      </c>
      <c r="T35" s="1572" t="s">
        <v>8</v>
      </c>
      <c r="U35" s="1573">
        <f t="shared" si="13"/>
        <v>100</v>
      </c>
      <c r="V35" s="1572" t="s">
        <v>8</v>
      </c>
      <c r="W35" s="1573">
        <f t="shared" si="14"/>
        <v>100</v>
      </c>
      <c r="X35" s="1566"/>
      <c r="Y35" s="3704"/>
      <c r="Z35" s="1574" t="str">
        <f t="shared" si="15"/>
        <v>建筑结构</v>
      </c>
      <c r="AA35" s="1575">
        <f t="shared" si="3"/>
        <v>1</v>
      </c>
      <c r="AB35" s="1575">
        <f t="shared" si="4"/>
        <v>1</v>
      </c>
      <c r="AC35" s="1575">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04"/>
      <c r="Q36" s="1571" t="str">
        <f t="shared" si="11"/>
        <v>公共部分装修</v>
      </c>
      <c r="R36" s="1572" t="s">
        <v>8</v>
      </c>
      <c r="S36" s="1573">
        <f t="shared" si="12"/>
        <v>100</v>
      </c>
      <c r="T36" s="1572" t="s">
        <v>8</v>
      </c>
      <c r="U36" s="1573">
        <f t="shared" si="13"/>
        <v>100</v>
      </c>
      <c r="V36" s="1572" t="s">
        <v>8</v>
      </c>
      <c r="W36" s="1573">
        <f t="shared" si="14"/>
        <v>100</v>
      </c>
      <c r="X36" s="1566"/>
      <c r="Y36" s="3704"/>
      <c r="Z36" s="1574" t="str">
        <f t="shared" si="15"/>
        <v>公共部分装修</v>
      </c>
      <c r="AA36" s="1575">
        <f t="shared" si="3"/>
        <v>1</v>
      </c>
      <c r="AB36" s="1575">
        <f t="shared" si="4"/>
        <v>1</v>
      </c>
      <c r="AC36" s="1575">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704"/>
      <c r="Q37" s="1571" t="str">
        <f t="shared" si="11"/>
        <v>成新度</v>
      </c>
      <c r="R37" s="1572" t="s">
        <v>8</v>
      </c>
      <c r="S37" s="1573" t="e">
        <f t="shared" si="12"/>
        <v>#N/A</v>
      </c>
      <c r="T37" s="1572" t="s">
        <v>8</v>
      </c>
      <c r="U37" s="1573" t="e">
        <f t="shared" si="13"/>
        <v>#N/A</v>
      </c>
      <c r="V37" s="1572" t="s">
        <v>8</v>
      </c>
      <c r="W37" s="1573" t="e">
        <f t="shared" si="14"/>
        <v>#N/A</v>
      </c>
      <c r="X37" s="1566"/>
      <c r="Y37" s="3704"/>
      <c r="Z37" s="1574" t="str">
        <f t="shared" si="15"/>
        <v>成新度</v>
      </c>
      <c r="AA37" s="1575" t="e">
        <f t="shared" si="3"/>
        <v>#N/A</v>
      </c>
      <c r="AB37" s="1575" t="e">
        <f t="shared" si="4"/>
        <v>#N/A</v>
      </c>
      <c r="AC37" s="1575" t="e">
        <f t="shared" si="5"/>
        <v>#N/A</v>
      </c>
    </row>
    <row r="38" spans="1:29" s="1218"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04"/>
      <c r="Q38" s="1149" t="str">
        <f t="shared" si="11"/>
        <v>写字楼等级</v>
      </c>
      <c r="R38" s="1567" t="s">
        <v>8</v>
      </c>
      <c r="S38" s="1568">
        <f t="shared" si="12"/>
        <v>100</v>
      </c>
      <c r="T38" s="1567" t="s">
        <v>8</v>
      </c>
      <c r="U38" s="1568">
        <f t="shared" si="13"/>
        <v>100</v>
      </c>
      <c r="V38" s="1567" t="s">
        <v>8</v>
      </c>
      <c r="W38" s="1568">
        <f t="shared" si="14"/>
        <v>100</v>
      </c>
      <c r="X38" s="1569"/>
      <c r="Y38" s="3704"/>
      <c r="Z38" s="1148" t="str">
        <f t="shared" si="15"/>
        <v>写字楼等级</v>
      </c>
      <c r="AA38" s="1570">
        <f t="shared" si="3"/>
        <v>1</v>
      </c>
      <c r="AB38" s="1570">
        <f t="shared" si="4"/>
        <v>1</v>
      </c>
      <c r="AC38" s="1570">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04" t="s">
        <v>551</v>
      </c>
      <c r="Q39" s="1571" t="str">
        <f t="shared" si="11"/>
        <v>物业管理</v>
      </c>
      <c r="R39" s="1572" t="s">
        <v>8</v>
      </c>
      <c r="S39" s="1573">
        <f t="shared" si="12"/>
        <v>100</v>
      </c>
      <c r="T39" s="1572" t="s">
        <v>8</v>
      </c>
      <c r="U39" s="1573">
        <f t="shared" si="13"/>
        <v>100</v>
      </c>
      <c r="V39" s="1572" t="s">
        <v>8</v>
      </c>
      <c r="W39" s="1573">
        <f t="shared" si="14"/>
        <v>100</v>
      </c>
      <c r="X39" s="1566"/>
      <c r="Y39" s="3704" t="s">
        <v>551</v>
      </c>
      <c r="Z39" s="1574" t="str">
        <f t="shared" si="15"/>
        <v>物业管理</v>
      </c>
      <c r="AA39" s="1575">
        <f t="shared" si="3"/>
        <v>1</v>
      </c>
      <c r="AB39" s="1575">
        <f t="shared" si="4"/>
        <v>1</v>
      </c>
      <c r="AC39" s="1575">
        <f t="shared" si="5"/>
        <v>1</v>
      </c>
    </row>
    <row r="40" spans="1:29" ht="15">
      <c r="A40" s="593"/>
      <c r="B40" s="1894" t="s">
        <v>2571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04"/>
      <c r="Q40" s="1571" t="str">
        <f t="shared" si="11"/>
        <v>市政基础设施</v>
      </c>
      <c r="R40" s="1572" t="s">
        <v>8</v>
      </c>
      <c r="S40" s="1573">
        <f t="shared" si="12"/>
        <v>100</v>
      </c>
      <c r="T40" s="1572" t="s">
        <v>8</v>
      </c>
      <c r="U40" s="1573">
        <f t="shared" si="13"/>
        <v>100</v>
      </c>
      <c r="V40" s="1572" t="s">
        <v>8</v>
      </c>
      <c r="W40" s="1573">
        <f t="shared" si="14"/>
        <v>100</v>
      </c>
      <c r="X40" s="1566"/>
      <c r="Y40" s="3704"/>
      <c r="Z40" s="1574" t="str">
        <f t="shared" si="15"/>
        <v>市政基础设施</v>
      </c>
      <c r="AA40" s="1575">
        <f t="shared" si="3"/>
        <v>1</v>
      </c>
      <c r="AB40" s="1575">
        <f t="shared" si="4"/>
        <v>1</v>
      </c>
      <c r="AC40" s="1575">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04"/>
      <c r="Q41" s="1571" t="str">
        <f t="shared" si="11"/>
        <v>层高</v>
      </c>
      <c r="R41" s="1572" t="s">
        <v>8</v>
      </c>
      <c r="S41" s="1573">
        <f t="shared" si="12"/>
        <v>100</v>
      </c>
      <c r="T41" s="1572" t="s">
        <v>8</v>
      </c>
      <c r="U41" s="1573">
        <f t="shared" si="13"/>
        <v>100</v>
      </c>
      <c r="V41" s="1572" t="s">
        <v>8</v>
      </c>
      <c r="W41" s="1573">
        <f t="shared" si="14"/>
        <v>100</v>
      </c>
      <c r="X41" s="1566"/>
      <c r="Y41" s="3704"/>
      <c r="Z41" s="1574" t="str">
        <f t="shared" si="15"/>
        <v>层高</v>
      </c>
      <c r="AA41" s="1575">
        <f t="shared" si="3"/>
        <v>1</v>
      </c>
      <c r="AB41" s="1575">
        <f t="shared" si="4"/>
        <v>1</v>
      </c>
      <c r="AC41" s="1575">
        <f t="shared" si="5"/>
        <v>1</v>
      </c>
    </row>
    <row r="42" spans="1:29" s="1337"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04"/>
      <c r="Q42" s="1604" t="str">
        <f t="shared" si="11"/>
        <v>单套建筑面积</v>
      </c>
      <c r="R42" s="1576" t="s">
        <v>8</v>
      </c>
      <c r="S42" s="1577">
        <f t="shared" si="12"/>
        <v>100</v>
      </c>
      <c r="T42" s="1576" t="s">
        <v>8</v>
      </c>
      <c r="U42" s="1577">
        <f t="shared" si="13"/>
        <v>100</v>
      </c>
      <c r="V42" s="1576" t="s">
        <v>8</v>
      </c>
      <c r="W42" s="1577">
        <f t="shared" si="14"/>
        <v>100</v>
      </c>
      <c r="X42" s="1578"/>
      <c r="Y42" s="3704"/>
      <c r="Z42" s="1579" t="str">
        <f t="shared" si="15"/>
        <v>单套建筑面积</v>
      </c>
      <c r="AA42" s="1575">
        <f t="shared" si="3"/>
        <v>1</v>
      </c>
      <c r="AB42" s="1575">
        <f t="shared" si="4"/>
        <v>1</v>
      </c>
      <c r="AC42" s="1575">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04"/>
      <c r="Q43" s="1571" t="str">
        <f t="shared" si="11"/>
        <v>内部装修</v>
      </c>
      <c r="R43" s="1572" t="s">
        <v>8</v>
      </c>
      <c r="S43" s="1573">
        <f t="shared" si="12"/>
        <v>100</v>
      </c>
      <c r="T43" s="1572" t="s">
        <v>8</v>
      </c>
      <c r="U43" s="1573">
        <f t="shared" si="13"/>
        <v>100</v>
      </c>
      <c r="V43" s="1572" t="s">
        <v>8</v>
      </c>
      <c r="W43" s="1573">
        <f t="shared" si="14"/>
        <v>100</v>
      </c>
      <c r="X43" s="1566"/>
      <c r="Y43" s="3704"/>
      <c r="Z43" s="1574" t="str">
        <f t="shared" si="15"/>
        <v>内部装修</v>
      </c>
      <c r="AA43" s="1575">
        <f t="shared" si="3"/>
        <v>1</v>
      </c>
      <c r="AB43" s="1575">
        <f t="shared" si="4"/>
        <v>1</v>
      </c>
      <c r="AC43" s="1575">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04"/>
      <c r="Q44" s="1571" t="str">
        <f t="shared" si="11"/>
        <v>内部装修维护情况</v>
      </c>
      <c r="R44" s="1572" t="s">
        <v>8</v>
      </c>
      <c r="S44" s="1573">
        <f t="shared" si="12"/>
        <v>100</v>
      </c>
      <c r="T44" s="1572" t="s">
        <v>8</v>
      </c>
      <c r="U44" s="1573">
        <f t="shared" si="13"/>
        <v>100</v>
      </c>
      <c r="V44" s="1572" t="s">
        <v>8</v>
      </c>
      <c r="W44" s="1573">
        <f t="shared" si="14"/>
        <v>100</v>
      </c>
      <c r="X44" s="1566"/>
      <c r="Y44" s="3704"/>
      <c r="Z44" s="1574" t="str">
        <f t="shared" si="15"/>
        <v>内部装修维护情况</v>
      </c>
      <c r="AA44" s="1575">
        <f t="shared" si="3"/>
        <v>1</v>
      </c>
      <c r="AB44" s="1575">
        <f t="shared" si="4"/>
        <v>1</v>
      </c>
      <c r="AC44" s="1575">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04"/>
      <c r="Q45" s="1149">
        <f t="shared" si="11"/>
        <v>111</v>
      </c>
      <c r="R45" s="1567" t="s">
        <v>8</v>
      </c>
      <c r="S45" s="1568">
        <f t="shared" si="12"/>
        <v>100</v>
      </c>
      <c r="T45" s="1567" t="s">
        <v>8</v>
      </c>
      <c r="U45" s="1568">
        <f t="shared" si="13"/>
        <v>100</v>
      </c>
      <c r="V45" s="1567" t="s">
        <v>8</v>
      </c>
      <c r="W45" s="1568">
        <f t="shared" si="14"/>
        <v>100</v>
      </c>
      <c r="X45" s="1569"/>
      <c r="Y45" s="3704"/>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04"/>
      <c r="Q46" s="1571">
        <f t="shared" si="11"/>
        <v>111</v>
      </c>
      <c r="R46" s="1572" t="s">
        <v>8</v>
      </c>
      <c r="S46" s="1573">
        <f t="shared" si="12"/>
        <v>100</v>
      </c>
      <c r="T46" s="1572" t="s">
        <v>8</v>
      </c>
      <c r="U46" s="1573">
        <f t="shared" si="13"/>
        <v>100</v>
      </c>
      <c r="V46" s="1572" t="s">
        <v>8</v>
      </c>
      <c r="W46" s="1573">
        <f t="shared" si="14"/>
        <v>100</v>
      </c>
      <c r="X46" s="1566"/>
      <c r="Y46" s="370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733"/>
      <c r="Q47" s="1571">
        <f t="shared" si="11"/>
        <v>111</v>
      </c>
      <c r="R47" s="1572" t="s">
        <v>8</v>
      </c>
      <c r="S47" s="1573">
        <f t="shared" si="12"/>
        <v>100</v>
      </c>
      <c r="T47" s="1572" t="s">
        <v>8</v>
      </c>
      <c r="U47" s="1573">
        <f t="shared" si="13"/>
        <v>100</v>
      </c>
      <c r="V47" s="1572" t="s">
        <v>8</v>
      </c>
      <c r="W47" s="1573">
        <f t="shared" si="14"/>
        <v>100</v>
      </c>
      <c r="X47" s="1566"/>
      <c r="Y47" s="3733"/>
      <c r="Z47" s="1574">
        <f t="shared" si="15"/>
        <v>111</v>
      </c>
      <c r="AA47" s="1575">
        <f t="shared" si="3"/>
        <v>1</v>
      </c>
      <c r="AB47" s="1575">
        <f t="shared" si="4"/>
        <v>1</v>
      </c>
      <c r="AC47" s="1575">
        <f t="shared" si="5"/>
        <v>1</v>
      </c>
    </row>
    <row r="48" spans="1:29" ht="15">
      <c r="A48" s="606" t="s">
        <v>737</v>
      </c>
      <c r="B48" s="886"/>
      <c r="C48" s="2648" t="s">
        <v>1</v>
      </c>
      <c r="D48" s="2649"/>
      <c r="E48" s="2650"/>
      <c r="F48" s="2651"/>
      <c r="G48" s="2652"/>
      <c r="H48" s="2653"/>
      <c r="I48" s="2650"/>
      <c r="J48" s="2653"/>
      <c r="K48" s="1610"/>
      <c r="L48" s="2143"/>
      <c r="M48" s="2133"/>
      <c r="N48" s="2133"/>
      <c r="O48" s="2133"/>
      <c r="P48" s="3721" t="str">
        <f>A48</f>
        <v>成交单价（元/平方米）</v>
      </c>
      <c r="Q48" s="3699"/>
      <c r="R48" s="3732">
        <f>E48</f>
        <v>0</v>
      </c>
      <c r="S48" s="3732"/>
      <c r="T48" s="3732">
        <f>G48</f>
        <v>0</v>
      </c>
      <c r="U48" s="3732"/>
      <c r="V48" s="3732">
        <f>I48</f>
        <v>0</v>
      </c>
      <c r="W48" s="3732"/>
      <c r="X48" s="1558"/>
      <c r="Y48" s="1580"/>
      <c r="Z48" s="1558"/>
      <c r="AA48" s="1558"/>
      <c r="AB48" s="1558"/>
      <c r="AC48" s="1558"/>
    </row>
    <row r="49" spans="1:29" ht="15.75" thickBot="1">
      <c r="A49" s="614" t="s">
        <v>2766</v>
      </c>
      <c r="B49" s="887"/>
      <c r="C49" s="2654" t="e">
        <f>R50</f>
        <v>#DIV/0!</v>
      </c>
      <c r="D49" s="2655"/>
      <c r="E49" s="2656" t="e">
        <f>R49</f>
        <v>#DIV/0!</v>
      </c>
      <c r="F49" s="2656"/>
      <c r="G49" s="2654" t="e">
        <f>T49</f>
        <v>#DIV/0!</v>
      </c>
      <c r="H49" s="2655"/>
      <c r="I49" s="2656" t="e">
        <f>V49</f>
        <v>#DIV/0!</v>
      </c>
      <c r="J49" s="2655"/>
      <c r="K49" s="1611"/>
      <c r="L49" s="2143"/>
      <c r="M49" s="2133"/>
      <c r="N49" s="2133"/>
      <c r="O49" s="2133"/>
      <c r="P49" s="3721" t="str">
        <f>A49</f>
        <v>比较价格（元/平方米）</v>
      </c>
      <c r="Q49" s="3699"/>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1558"/>
      <c r="Y49" s="1558"/>
      <c r="Z49" s="1558"/>
      <c r="AA49" s="1558"/>
      <c r="AB49" s="1558"/>
      <c r="AC49" s="1558"/>
    </row>
    <row r="50" spans="1:29" ht="15.75" thickBot="1">
      <c r="A50" s="620" t="s">
        <v>2939</v>
      </c>
      <c r="B50" s="621"/>
      <c r="C50" s="2657" t="e">
        <f>R50</f>
        <v>#DIV/0!</v>
      </c>
      <c r="D50" s="2657"/>
      <c r="E50" s="2657"/>
      <c r="F50" s="2657"/>
      <c r="G50" s="2657"/>
      <c r="H50" s="2657"/>
      <c r="I50" s="2657"/>
      <c r="J50" s="2657"/>
      <c r="K50" s="1612"/>
      <c r="L50" s="2143"/>
      <c r="M50" s="2133"/>
      <c r="N50" s="2133"/>
      <c r="O50" s="2133"/>
      <c r="P50" s="3806" t="str">
        <f>A50</f>
        <v>估价对象XX用房的比较价格（楼面单价，元/平方米）</v>
      </c>
      <c r="Q50" s="3721"/>
      <c r="R50" s="3731" t="e">
        <f>IF(F1="售价",ROUND(AVERAGE(R49:V49),0),ROUND(AVERAGE(R49:V49),1))</f>
        <v>#DIV/0!</v>
      </c>
      <c r="S50" s="3731"/>
      <c r="T50" s="3731"/>
      <c r="U50" s="3731"/>
      <c r="V50" s="3731"/>
      <c r="W50" s="373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4" t="s">
        <v>530</v>
      </c>
      <c r="B59" s="645"/>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2563</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18" t="s">
        <v>2564</v>
      </c>
      <c r="C83" s="2619" t="s">
        <v>2565</v>
      </c>
      <c r="D83" s="2619" t="s">
        <v>2566</v>
      </c>
      <c r="E83" s="2619" t="s">
        <v>2567</v>
      </c>
      <c r="F83" s="2619" t="s">
        <v>2568</v>
      </c>
      <c r="G83" s="2619" t="s">
        <v>2569</v>
      </c>
      <c r="H83" s="673"/>
      <c r="I83" s="673"/>
      <c r="J83" s="673"/>
      <c r="K83" s="673"/>
      <c r="L83" s="673"/>
      <c r="M83" s="2622"/>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785</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786</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748</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750</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752</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787</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754</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2562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788</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776</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756</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789</v>
      </c>
      <c r="C1" s="503" t="s">
        <v>721</v>
      </c>
      <c r="D1" s="848"/>
      <c r="E1" s="505"/>
      <c r="F1" s="2829"/>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522</v>
      </c>
      <c r="B4" s="512"/>
      <c r="C4" s="3705" t="s">
        <v>523</v>
      </c>
      <c r="D4" s="3706"/>
      <c r="E4" s="3729" t="s">
        <v>524</v>
      </c>
      <c r="F4" s="3730"/>
      <c r="G4" s="3705" t="s">
        <v>525</v>
      </c>
      <c r="H4" s="3706"/>
      <c r="I4" s="3705" t="s">
        <v>526</v>
      </c>
      <c r="J4" s="3706"/>
      <c r="K4" s="513" t="s">
        <v>527</v>
      </c>
      <c r="L4" s="2132"/>
      <c r="M4" s="2133"/>
      <c r="N4" s="2133"/>
      <c r="O4" s="2133"/>
      <c r="P4" s="3707" t="s">
        <v>528</v>
      </c>
      <c r="Q4" s="3708"/>
      <c r="R4" s="3693" t="s">
        <v>524</v>
      </c>
      <c r="S4" s="3694"/>
      <c r="T4" s="3693" t="s">
        <v>525</v>
      </c>
      <c r="U4" s="3694"/>
      <c r="V4" s="3713" t="s">
        <v>526</v>
      </c>
      <c r="W4" s="3713"/>
      <c r="X4" s="1566"/>
      <c r="Y4" s="3693" t="s">
        <v>528</v>
      </c>
      <c r="Z4" s="3694"/>
      <c r="AA4" s="3688" t="s">
        <v>524</v>
      </c>
      <c r="AB4" s="3689" t="s">
        <v>525</v>
      </c>
      <c r="AC4" s="3688" t="s">
        <v>526</v>
      </c>
    </row>
    <row r="5" spans="1:29" ht="15">
      <c r="A5" s="514"/>
      <c r="B5" s="515"/>
      <c r="C5" s="3716" t="s">
        <v>2933</v>
      </c>
      <c r="D5" s="3717"/>
      <c r="E5" s="3745" t="s">
        <v>2934</v>
      </c>
      <c r="F5" s="3725"/>
      <c r="G5" s="3716" t="s">
        <v>2935</v>
      </c>
      <c r="H5" s="3717"/>
      <c r="I5" s="3716" t="s">
        <v>2936</v>
      </c>
      <c r="J5" s="3717"/>
      <c r="K5" s="513"/>
      <c r="L5" s="2132"/>
      <c r="M5" s="2133"/>
      <c r="N5" s="2133"/>
      <c r="O5" s="2133"/>
      <c r="P5" s="3709"/>
      <c r="Q5" s="3710"/>
      <c r="R5" s="3695"/>
      <c r="S5" s="3696"/>
      <c r="T5" s="3695"/>
      <c r="U5" s="3696"/>
      <c r="V5" s="3713"/>
      <c r="W5" s="3713"/>
      <c r="X5" s="1566"/>
      <c r="Y5" s="3695"/>
      <c r="Z5" s="3696"/>
      <c r="AA5" s="3689"/>
      <c r="AB5" s="3689"/>
      <c r="AC5" s="3689"/>
    </row>
    <row r="6" spans="1:29" ht="15.75" thickBot="1">
      <c r="A6" s="516"/>
      <c r="B6" s="517"/>
      <c r="C6" s="3714" t="s">
        <v>2937</v>
      </c>
      <c r="D6" s="3715"/>
      <c r="E6" s="3727" t="s">
        <v>2937</v>
      </c>
      <c r="F6" s="3728"/>
      <c r="G6" s="3714" t="s">
        <v>2937</v>
      </c>
      <c r="H6" s="3715"/>
      <c r="I6" s="3714" t="s">
        <v>2937</v>
      </c>
      <c r="J6" s="3715"/>
      <c r="K6" s="513" t="s">
        <v>529</v>
      </c>
      <c r="L6" s="2132"/>
      <c r="M6" s="2133"/>
      <c r="N6" s="2133"/>
      <c r="O6" s="2133"/>
      <c r="P6" s="3711"/>
      <c r="Q6" s="3712"/>
      <c r="R6" s="3695"/>
      <c r="S6" s="3696"/>
      <c r="T6" s="3697"/>
      <c r="U6" s="3698"/>
      <c r="V6" s="3713"/>
      <c r="W6" s="3713"/>
      <c r="X6" s="1566"/>
      <c r="Y6" s="3697"/>
      <c r="Z6" s="3698"/>
      <c r="AA6" s="3690"/>
      <c r="AB6" s="3690"/>
      <c r="AC6" s="3690"/>
    </row>
    <row r="7" spans="1:29" s="1218" customFormat="1" ht="15.75" thickBot="1">
      <c r="A7" s="2933"/>
      <c r="B7" s="2940" t="s">
        <v>530</v>
      </c>
      <c r="C7" s="518">
        <f>'数据-取费表'!B2</f>
        <v>43206</v>
      </c>
      <c r="D7" s="519">
        <v>100</v>
      </c>
      <c r="E7" s="520"/>
      <c r="F7" s="521">
        <f>SUMIF(52:52,YEAR(E7)&amp;"-"&amp;MONTH(E7),53:53)</f>
        <v>0</v>
      </c>
      <c r="G7" s="520"/>
      <c r="H7" s="519">
        <f>SUMIF(52:52,YEAR(G7)&amp;"-"&amp;MONTH(G7),53:53)</f>
        <v>0</v>
      </c>
      <c r="I7" s="520"/>
      <c r="J7" s="519">
        <f>SUMIF(52:52,YEAR(I7)&amp;"-"&amp;MONTH(I7),53:53)</f>
        <v>0</v>
      </c>
      <c r="K7" s="523"/>
      <c r="L7" s="2134"/>
      <c r="M7" s="2135"/>
      <c r="N7" s="2135"/>
      <c r="O7" s="2135"/>
      <c r="P7" s="3691" t="s">
        <v>531</v>
      </c>
      <c r="Q7" s="3700"/>
      <c r="R7" s="1567" t="s">
        <v>8</v>
      </c>
      <c r="S7" s="1568">
        <f t="shared" ref="S7:S15" si="0">F7</f>
        <v>0</v>
      </c>
      <c r="T7" s="1567" t="s">
        <v>8</v>
      </c>
      <c r="U7" s="1568">
        <f t="shared" ref="U7:U15" si="1">H7</f>
        <v>0</v>
      </c>
      <c r="V7" s="1567" t="s">
        <v>8</v>
      </c>
      <c r="W7" s="1568">
        <f t="shared" ref="W7:W15" si="2">J7</f>
        <v>0</v>
      </c>
      <c r="X7" s="1569"/>
      <c r="Y7" s="3691" t="s">
        <v>531</v>
      </c>
      <c r="Z7" s="3692"/>
      <c r="AA7" s="1570" t="e">
        <f>D7/F7</f>
        <v>#DIV/0!</v>
      </c>
      <c r="AB7" s="1570" t="e">
        <f>D7/H7</f>
        <v>#DIV/0!</v>
      </c>
      <c r="AC7" s="1570" t="e">
        <f>D7/J7</f>
        <v>#DIV/0!</v>
      </c>
    </row>
    <row r="8" spans="1:29" s="1218" customFormat="1" ht="15.75" thickBot="1">
      <c r="A8" s="2934"/>
      <c r="B8" s="2941"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691" t="s">
        <v>534</v>
      </c>
      <c r="Q8" s="3692"/>
      <c r="R8" s="1567" t="s">
        <v>8</v>
      </c>
      <c r="S8" s="1568">
        <f t="shared" si="0"/>
        <v>0</v>
      </c>
      <c r="T8" s="1567" t="s">
        <v>8</v>
      </c>
      <c r="U8" s="1568">
        <f t="shared" si="1"/>
        <v>0</v>
      </c>
      <c r="V8" s="1567" t="s">
        <v>8</v>
      </c>
      <c r="W8" s="1568">
        <f t="shared" si="2"/>
        <v>0</v>
      </c>
      <c r="X8" s="1569"/>
      <c r="Y8" s="3691" t="s">
        <v>534</v>
      </c>
      <c r="Z8" s="3692"/>
      <c r="AA8" s="1570" t="e">
        <f t="shared" ref="AA8:AA40" si="3">D8/F8</f>
        <v>#DIV/0!</v>
      </c>
      <c r="AB8" s="1570" t="e">
        <f t="shared" ref="AB8:AB40" si="4">D8/H8</f>
        <v>#DIV/0!</v>
      </c>
      <c r="AC8" s="1570" t="e">
        <f t="shared" ref="AC8:AC40" si="5">D8/J8</f>
        <v>#DIV/0!</v>
      </c>
    </row>
    <row r="9" spans="1:29" s="1218" customFormat="1" ht="15">
      <c r="A9" s="2935"/>
      <c r="B9" s="2942" t="s">
        <v>2762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699" t="s">
        <v>536</v>
      </c>
      <c r="Q9" s="1149" t="str">
        <f t="shared" ref="Q9:Q15" si="6">B9</f>
        <v>用途</v>
      </c>
      <c r="R9" s="1567" t="s">
        <v>8</v>
      </c>
      <c r="S9" s="1568">
        <f t="shared" si="0"/>
        <v>100</v>
      </c>
      <c r="T9" s="1567" t="s">
        <v>8</v>
      </c>
      <c r="U9" s="1568">
        <f t="shared" si="1"/>
        <v>100</v>
      </c>
      <c r="V9" s="1567" t="s">
        <v>8</v>
      </c>
      <c r="W9" s="1568">
        <f t="shared" si="2"/>
        <v>100</v>
      </c>
      <c r="X9" s="1569"/>
      <c r="Y9" s="3656" t="s">
        <v>537</v>
      </c>
      <c r="Z9" s="1148" t="str">
        <f t="shared" ref="Z9:Z15" si="7">Q9</f>
        <v>用途</v>
      </c>
      <c r="AA9" s="1570">
        <f t="shared" si="3"/>
        <v>1</v>
      </c>
      <c r="AB9" s="1570">
        <f t="shared" si="4"/>
        <v>1</v>
      </c>
      <c r="AC9" s="1570">
        <f t="shared" si="5"/>
        <v>1</v>
      </c>
    </row>
    <row r="10" spans="1:29" s="1336" customFormat="1" ht="27">
      <c r="A10" s="2936"/>
      <c r="B10" s="2941" t="s">
        <v>2763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699"/>
      <c r="Q10" s="1149" t="str">
        <f t="shared" si="6"/>
        <v>土地使用年限（年）</v>
      </c>
      <c r="R10" s="1567" t="s">
        <v>8</v>
      </c>
      <c r="S10" s="1568">
        <f t="shared" si="0"/>
        <v>100</v>
      </c>
      <c r="T10" s="1567" t="s">
        <v>8</v>
      </c>
      <c r="U10" s="1568">
        <f t="shared" si="1"/>
        <v>100</v>
      </c>
      <c r="V10" s="1567" t="s">
        <v>8</v>
      </c>
      <c r="W10" s="1568">
        <f t="shared" si="2"/>
        <v>100</v>
      </c>
      <c r="X10" s="1569"/>
      <c r="Y10" s="3656"/>
      <c r="Z10" s="1148" t="str">
        <f t="shared" si="7"/>
        <v>土地使用年限（年）</v>
      </c>
      <c r="AA10" s="1570">
        <f t="shared" si="3"/>
        <v>1</v>
      </c>
      <c r="AB10" s="1570">
        <f t="shared" si="4"/>
        <v>1</v>
      </c>
      <c r="AC10" s="1570">
        <f t="shared" si="5"/>
        <v>1</v>
      </c>
    </row>
    <row r="11" spans="1:29" ht="15">
      <c r="A11" s="2937"/>
      <c r="B11" s="2941"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699"/>
      <c r="Q11" s="1149" t="str">
        <f t="shared" si="6"/>
        <v>容积率</v>
      </c>
      <c r="R11" s="1567" t="s">
        <v>8</v>
      </c>
      <c r="S11" s="1568" t="e">
        <f t="shared" si="0"/>
        <v>#N/A</v>
      </c>
      <c r="T11" s="1567" t="s">
        <v>8</v>
      </c>
      <c r="U11" s="1568" t="e">
        <f t="shared" si="1"/>
        <v>#N/A</v>
      </c>
      <c r="V11" s="1567" t="s">
        <v>8</v>
      </c>
      <c r="W11" s="1568" t="e">
        <f t="shared" si="2"/>
        <v>#N/A</v>
      </c>
      <c r="X11" s="1569"/>
      <c r="Y11" s="3656"/>
      <c r="Z11" s="1148" t="str">
        <f t="shared" si="7"/>
        <v>容积率</v>
      </c>
      <c r="AA11" s="1570" t="e">
        <f t="shared" si="3"/>
        <v>#N/A</v>
      </c>
      <c r="AB11" s="1570" t="e">
        <f t="shared" si="4"/>
        <v>#N/A</v>
      </c>
      <c r="AC11" s="1570" t="e">
        <f t="shared" si="5"/>
        <v>#N/A</v>
      </c>
    </row>
    <row r="12" spans="1:29" s="1218" customFormat="1" ht="15">
      <c r="A12" s="2938"/>
      <c r="B12" s="2944">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699"/>
      <c r="Q12" s="1149">
        <f t="shared" si="6"/>
        <v>111</v>
      </c>
      <c r="R12" s="1567" t="s">
        <v>8</v>
      </c>
      <c r="S12" s="1568">
        <f t="shared" si="0"/>
        <v>100</v>
      </c>
      <c r="T12" s="1567" t="s">
        <v>8</v>
      </c>
      <c r="U12" s="1568">
        <f t="shared" si="1"/>
        <v>100</v>
      </c>
      <c r="V12" s="1567" t="s">
        <v>8</v>
      </c>
      <c r="W12" s="1568">
        <f t="shared" si="2"/>
        <v>100</v>
      </c>
      <c r="X12" s="1569"/>
      <c r="Y12" s="3656"/>
      <c r="Z12" s="1148">
        <f t="shared" si="7"/>
        <v>111</v>
      </c>
      <c r="AA12" s="1570">
        <f>D12/F12</f>
        <v>1</v>
      </c>
      <c r="AB12" s="1570">
        <f>D12/H12</f>
        <v>1</v>
      </c>
      <c r="AC12" s="1570">
        <f>D12/J12</f>
        <v>1</v>
      </c>
    </row>
    <row r="13" spans="1:29" ht="15">
      <c r="A13" s="2938"/>
      <c r="B13" s="2944">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699"/>
      <c r="Q13" s="1149">
        <f t="shared" si="6"/>
        <v>111</v>
      </c>
      <c r="R13" s="1567" t="s">
        <v>8</v>
      </c>
      <c r="S13" s="1568">
        <f t="shared" si="0"/>
        <v>100</v>
      </c>
      <c r="T13" s="1567" t="s">
        <v>8</v>
      </c>
      <c r="U13" s="1568">
        <f t="shared" si="1"/>
        <v>100</v>
      </c>
      <c r="V13" s="1567" t="s">
        <v>8</v>
      </c>
      <c r="W13" s="1568">
        <f t="shared" si="2"/>
        <v>100</v>
      </c>
      <c r="X13" s="1569"/>
      <c r="Y13" s="3656"/>
      <c r="Z13" s="1148">
        <f t="shared" si="7"/>
        <v>111</v>
      </c>
      <c r="AA13" s="1570">
        <f t="shared" si="3"/>
        <v>1</v>
      </c>
      <c r="AB13" s="1570">
        <f t="shared" si="4"/>
        <v>1</v>
      </c>
      <c r="AC13" s="1570">
        <f t="shared" si="5"/>
        <v>1</v>
      </c>
    </row>
    <row r="14" spans="1:29" ht="15.75"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699"/>
      <c r="Q14" s="1149">
        <f t="shared" si="6"/>
        <v>111</v>
      </c>
      <c r="R14" s="1567" t="s">
        <v>8</v>
      </c>
      <c r="S14" s="1568">
        <f t="shared" si="0"/>
        <v>100</v>
      </c>
      <c r="T14" s="1567" t="s">
        <v>8</v>
      </c>
      <c r="U14" s="1568">
        <f t="shared" si="1"/>
        <v>100</v>
      </c>
      <c r="V14" s="1567" t="s">
        <v>8</v>
      </c>
      <c r="W14" s="1568">
        <f t="shared" si="2"/>
        <v>100</v>
      </c>
      <c r="X14" s="1569"/>
      <c r="Y14" s="3656"/>
      <c r="Z14" s="1148">
        <f t="shared" si="7"/>
        <v>111</v>
      </c>
      <c r="AA14" s="1570">
        <f t="shared" si="3"/>
        <v>1</v>
      </c>
      <c r="AB14" s="1570">
        <f t="shared" si="4"/>
        <v>1</v>
      </c>
      <c r="AC14" s="1570">
        <f t="shared" si="5"/>
        <v>1</v>
      </c>
    </row>
    <row r="15" spans="1:29" ht="57">
      <c r="A15" s="2931" t="s">
        <v>2760</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701" t="s">
        <v>541</v>
      </c>
      <c r="Q15" s="1571" t="str">
        <f t="shared" si="6"/>
        <v>产业集聚程度</v>
      </c>
      <c r="R15" s="1572" t="s">
        <v>8</v>
      </c>
      <c r="S15" s="1573">
        <f t="shared" si="0"/>
        <v>100</v>
      </c>
      <c r="T15" s="1572" t="s">
        <v>8</v>
      </c>
      <c r="U15" s="1573">
        <f t="shared" si="1"/>
        <v>100</v>
      </c>
      <c r="V15" s="1572" t="s">
        <v>8</v>
      </c>
      <c r="W15" s="1573">
        <f t="shared" si="2"/>
        <v>100</v>
      </c>
      <c r="X15" s="1566"/>
      <c r="Y15" s="3701"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02"/>
      <c r="Q16" s="1571"/>
      <c r="R16" s="1572"/>
      <c r="S16" s="1573"/>
      <c r="T16" s="1572"/>
      <c r="U16" s="1573"/>
      <c r="V16" s="1572"/>
      <c r="W16" s="1573"/>
      <c r="X16" s="1566"/>
      <c r="Y16" s="3702"/>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702"/>
      <c r="Q17" s="1571" t="str">
        <f>B17</f>
        <v>交通便捷度</v>
      </c>
      <c r="R17" s="1572" t="s">
        <v>8</v>
      </c>
      <c r="S17" s="1573">
        <f>F17</f>
        <v>100</v>
      </c>
      <c r="T17" s="1572" t="s">
        <v>8</v>
      </c>
      <c r="U17" s="1573">
        <f>H17</f>
        <v>100</v>
      </c>
      <c r="V17" s="1572" t="s">
        <v>8</v>
      </c>
      <c r="W17" s="1573">
        <f>J17</f>
        <v>100</v>
      </c>
      <c r="X17" s="1566"/>
      <c r="Y17" s="370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02"/>
      <c r="Q18" s="1571"/>
      <c r="R18" s="1572"/>
      <c r="S18" s="1573"/>
      <c r="T18" s="1572"/>
      <c r="U18" s="1573"/>
      <c r="V18" s="1572"/>
      <c r="W18" s="1573"/>
      <c r="X18" s="1566"/>
      <c r="Y18" s="3702"/>
      <c r="Z18" s="1574"/>
      <c r="AA18" s="1575">
        <v>1</v>
      </c>
      <c r="AB18" s="1575">
        <v>1</v>
      </c>
      <c r="AC18" s="1575">
        <v>1</v>
      </c>
    </row>
    <row r="19" spans="1:29" ht="42.75">
      <c r="A19" s="531"/>
      <c r="B19" s="2624" t="s">
        <v>2552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702"/>
      <c r="Q19" s="1571" t="str">
        <f>B19</f>
        <v>公共配套设施</v>
      </c>
      <c r="R19" s="1572" t="s">
        <v>8</v>
      </c>
      <c r="S19" s="1573">
        <f>F19</f>
        <v>100</v>
      </c>
      <c r="T19" s="1572" t="s">
        <v>8</v>
      </c>
      <c r="U19" s="1573">
        <f>H19</f>
        <v>100</v>
      </c>
      <c r="V19" s="1572" t="s">
        <v>8</v>
      </c>
      <c r="W19" s="1573">
        <f>J19</f>
        <v>100</v>
      </c>
      <c r="X19" s="1566"/>
      <c r="Y19" s="370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702"/>
      <c r="Q20" s="1571"/>
      <c r="R20" s="1572"/>
      <c r="S20" s="1573"/>
      <c r="T20" s="1572"/>
      <c r="U20" s="1573"/>
      <c r="V20" s="1572"/>
      <c r="W20" s="1573"/>
      <c r="X20" s="1566"/>
      <c r="Y20" s="3702"/>
      <c r="Z20" s="1574"/>
      <c r="AA20" s="1575">
        <v>1</v>
      </c>
      <c r="AB20" s="1575">
        <v>1</v>
      </c>
      <c r="AC20" s="1575">
        <v>1</v>
      </c>
    </row>
    <row r="21" spans="1:29" ht="28.5">
      <c r="A21" s="531"/>
      <c r="B21" s="2612" t="s">
        <v>2564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702"/>
      <c r="Q21" s="2600" t="str">
        <f>B21</f>
        <v>基础设施水平</v>
      </c>
      <c r="R21" s="1572" t="s">
        <v>8</v>
      </c>
      <c r="S21" s="1573">
        <f>F21</f>
        <v>100</v>
      </c>
      <c r="T21" s="1572" t="s">
        <v>8</v>
      </c>
      <c r="U21" s="1573">
        <f>H21</f>
        <v>100</v>
      </c>
      <c r="V21" s="1572" t="s">
        <v>8</v>
      </c>
      <c r="W21" s="1573">
        <f>J21</f>
        <v>100</v>
      </c>
      <c r="X21" s="2602"/>
      <c r="Y21" s="3702"/>
      <c r="Z21" s="2601"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3"/>
      <c r="L22" s="2141"/>
      <c r="M22" s="2133"/>
      <c r="N22" s="2133"/>
      <c r="O22" s="2140"/>
      <c r="P22" s="3702"/>
      <c r="Q22" s="2600"/>
      <c r="R22" s="1572"/>
      <c r="S22" s="1573"/>
      <c r="T22" s="1572"/>
      <c r="U22" s="1573"/>
      <c r="V22" s="1572"/>
      <c r="W22" s="1573"/>
      <c r="X22" s="2602"/>
      <c r="Y22" s="3702"/>
      <c r="Z22" s="2601"/>
      <c r="AA22" s="1575">
        <v>1</v>
      </c>
      <c r="AB22" s="1575">
        <v>1</v>
      </c>
      <c r="AC22" s="1575">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702"/>
      <c r="Q23" s="1571" t="str">
        <f>B23</f>
        <v>环境质量</v>
      </c>
      <c r="R23" s="1572" t="s">
        <v>8</v>
      </c>
      <c r="S23" s="1573">
        <f>F23</f>
        <v>100</v>
      </c>
      <c r="T23" s="1572" t="s">
        <v>8</v>
      </c>
      <c r="U23" s="1573">
        <f>H23</f>
        <v>100</v>
      </c>
      <c r="V23" s="1572" t="s">
        <v>8</v>
      </c>
      <c r="W23" s="1573">
        <f>J23</f>
        <v>100</v>
      </c>
      <c r="X23" s="1566"/>
      <c r="Y23" s="370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702"/>
      <c r="Q24" s="1571"/>
      <c r="R24" s="1572"/>
      <c r="S24" s="1573"/>
      <c r="T24" s="1572"/>
      <c r="U24" s="1573"/>
      <c r="V24" s="1572"/>
      <c r="W24" s="1573"/>
      <c r="X24" s="1566"/>
      <c r="Y24" s="370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02"/>
      <c r="Q25" s="1571">
        <f>B25</f>
        <v>111</v>
      </c>
      <c r="R25" s="1572" t="s">
        <v>8</v>
      </c>
      <c r="S25" s="1573">
        <f>F25</f>
        <v>100</v>
      </c>
      <c r="T25" s="1572" t="s">
        <v>8</v>
      </c>
      <c r="U25" s="1573">
        <f>H25</f>
        <v>100</v>
      </c>
      <c r="V25" s="1572" t="s">
        <v>8</v>
      </c>
      <c r="W25" s="1573">
        <f>J25</f>
        <v>100</v>
      </c>
      <c r="X25" s="1566"/>
      <c r="Y25" s="370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02"/>
      <c r="Q26" s="1571">
        <f t="shared" ref="Q26:Q40" si="11">B26</f>
        <v>111</v>
      </c>
      <c r="R26" s="1572" t="s">
        <v>8</v>
      </c>
      <c r="S26" s="1573">
        <f>F26</f>
        <v>100</v>
      </c>
      <c r="T26" s="1572" t="s">
        <v>8</v>
      </c>
      <c r="U26" s="1573">
        <f>H26</f>
        <v>100</v>
      </c>
      <c r="V26" s="1572" t="s">
        <v>8</v>
      </c>
      <c r="W26" s="1573">
        <f>J26</f>
        <v>100</v>
      </c>
      <c r="X26" s="1566"/>
      <c r="Y26" s="3702"/>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02"/>
      <c r="Q27" s="1149">
        <f t="shared" si="11"/>
        <v>111</v>
      </c>
      <c r="R27" s="1567" t="s">
        <v>8</v>
      </c>
      <c r="S27" s="1568">
        <f>F27</f>
        <v>100</v>
      </c>
      <c r="T27" s="1567" t="s">
        <v>8</v>
      </c>
      <c r="U27" s="1568">
        <f>H27</f>
        <v>100</v>
      </c>
      <c r="V27" s="1567" t="s">
        <v>8</v>
      </c>
      <c r="W27" s="1568">
        <f>J27</f>
        <v>100</v>
      </c>
      <c r="X27" s="1569"/>
      <c r="Y27" s="3702"/>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702"/>
      <c r="Q28" s="1571">
        <f t="shared" si="11"/>
        <v>111</v>
      </c>
      <c r="R28" s="1572" t="s">
        <v>8</v>
      </c>
      <c r="S28" s="1573">
        <f t="shared" ref="S28:S40" si="12">F28</f>
        <v>100</v>
      </c>
      <c r="T28" s="1572" t="s">
        <v>8</v>
      </c>
      <c r="U28" s="1573">
        <f t="shared" ref="U28:U40" si="13">H28</f>
        <v>100</v>
      </c>
      <c r="V28" s="1572" t="s">
        <v>8</v>
      </c>
      <c r="W28" s="1573">
        <f t="shared" ref="W28:W40" si="14">J28</f>
        <v>100</v>
      </c>
      <c r="X28" s="1566"/>
      <c r="Y28" s="3702"/>
      <c r="Z28" s="1574">
        <f t="shared" ref="Z28:Z40" si="15">Q28</f>
        <v>111</v>
      </c>
      <c r="AA28" s="1575">
        <f t="shared" si="3"/>
        <v>1</v>
      </c>
      <c r="AB28" s="1575">
        <f t="shared" si="4"/>
        <v>1</v>
      </c>
      <c r="AC28" s="1575">
        <f t="shared" si="5"/>
        <v>1</v>
      </c>
    </row>
    <row r="29" spans="1:29" ht="15">
      <c r="A29" s="2929" t="s">
        <v>2761</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703" t="s">
        <v>551</v>
      </c>
      <c r="Q29" s="1571" t="str">
        <f t="shared" si="11"/>
        <v>建筑类型</v>
      </c>
      <c r="R29" s="1572" t="s">
        <v>8</v>
      </c>
      <c r="S29" s="1573">
        <f t="shared" si="12"/>
        <v>100</v>
      </c>
      <c r="T29" s="1572" t="s">
        <v>8</v>
      </c>
      <c r="U29" s="1573">
        <f t="shared" si="13"/>
        <v>100</v>
      </c>
      <c r="V29" s="1572" t="s">
        <v>8</v>
      </c>
      <c r="W29" s="1573">
        <f t="shared" si="14"/>
        <v>100</v>
      </c>
      <c r="X29" s="1566"/>
      <c r="Y29" s="3704" t="s">
        <v>551</v>
      </c>
      <c r="Z29" s="1574" t="str">
        <f t="shared" si="15"/>
        <v>建筑类型</v>
      </c>
      <c r="AA29" s="1575">
        <f t="shared" si="3"/>
        <v>1</v>
      </c>
      <c r="AB29" s="1575">
        <f t="shared" si="4"/>
        <v>1</v>
      </c>
      <c r="AC29" s="1575">
        <f t="shared" si="5"/>
        <v>1</v>
      </c>
    </row>
    <row r="30" spans="1:29" s="1337"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04"/>
      <c r="Q30" s="1604" t="str">
        <f t="shared" si="11"/>
        <v>项目建筑规模</v>
      </c>
      <c r="R30" s="1576" t="s">
        <v>8</v>
      </c>
      <c r="S30" s="1577" t="e">
        <f t="shared" si="12"/>
        <v>#N/A</v>
      </c>
      <c r="T30" s="1576" t="s">
        <v>8</v>
      </c>
      <c r="U30" s="1577" t="e">
        <f t="shared" si="13"/>
        <v>#N/A</v>
      </c>
      <c r="V30" s="1576" t="s">
        <v>8</v>
      </c>
      <c r="W30" s="1577" t="e">
        <f t="shared" si="14"/>
        <v>#N/A</v>
      </c>
      <c r="X30" s="1578"/>
      <c r="Y30" s="3704"/>
      <c r="Z30" s="1579" t="str">
        <f t="shared" si="15"/>
        <v>项目建筑规模</v>
      </c>
      <c r="AA30" s="1575" t="e">
        <f t="shared" si="3"/>
        <v>#N/A</v>
      </c>
      <c r="AB30" s="1575" t="e">
        <f t="shared" si="4"/>
        <v>#N/A</v>
      </c>
      <c r="AC30" s="1575"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04"/>
      <c r="Q31" s="1571" t="str">
        <f t="shared" si="11"/>
        <v>建筑结构</v>
      </c>
      <c r="R31" s="1572" t="s">
        <v>8</v>
      </c>
      <c r="S31" s="1573">
        <f t="shared" si="12"/>
        <v>100</v>
      </c>
      <c r="T31" s="1572" t="s">
        <v>8</v>
      </c>
      <c r="U31" s="1573">
        <f t="shared" si="13"/>
        <v>100</v>
      </c>
      <c r="V31" s="1572" t="s">
        <v>8</v>
      </c>
      <c r="W31" s="1573">
        <f t="shared" si="14"/>
        <v>100</v>
      </c>
      <c r="X31" s="1566"/>
      <c r="Y31" s="3704"/>
      <c r="Z31" s="1574" t="str">
        <f t="shared" si="15"/>
        <v>建筑结构</v>
      </c>
      <c r="AA31" s="1575">
        <f t="shared" si="3"/>
        <v>1</v>
      </c>
      <c r="AB31" s="1575">
        <f t="shared" si="4"/>
        <v>1</v>
      </c>
      <c r="AC31" s="1575">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04"/>
      <c r="Q32" s="1571" t="str">
        <f t="shared" si="11"/>
        <v>公共部分装修</v>
      </c>
      <c r="R32" s="1572" t="s">
        <v>8</v>
      </c>
      <c r="S32" s="1573">
        <f t="shared" si="12"/>
        <v>100</v>
      </c>
      <c r="T32" s="1572" t="s">
        <v>8</v>
      </c>
      <c r="U32" s="1573">
        <f t="shared" si="13"/>
        <v>100</v>
      </c>
      <c r="V32" s="1572" t="s">
        <v>8</v>
      </c>
      <c r="W32" s="1573">
        <f t="shared" si="14"/>
        <v>100</v>
      </c>
      <c r="X32" s="1566"/>
      <c r="Y32" s="3704"/>
      <c r="Z32" s="1574" t="str">
        <f t="shared" si="15"/>
        <v>公共部分装修</v>
      </c>
      <c r="AA32" s="1575">
        <f t="shared" si="3"/>
        <v>1</v>
      </c>
      <c r="AB32" s="1575">
        <f t="shared" si="4"/>
        <v>1</v>
      </c>
      <c r="AC32" s="1575">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704"/>
      <c r="Q33" s="1571" t="str">
        <f t="shared" si="11"/>
        <v>成新度</v>
      </c>
      <c r="R33" s="1572" t="s">
        <v>8</v>
      </c>
      <c r="S33" s="1573" t="e">
        <f t="shared" si="12"/>
        <v>#N/A</v>
      </c>
      <c r="T33" s="1572" t="s">
        <v>8</v>
      </c>
      <c r="U33" s="1573" t="e">
        <f t="shared" si="13"/>
        <v>#N/A</v>
      </c>
      <c r="V33" s="1572" t="s">
        <v>8</v>
      </c>
      <c r="W33" s="1573" t="e">
        <f t="shared" si="14"/>
        <v>#N/A</v>
      </c>
      <c r="X33" s="1566"/>
      <c r="Y33" s="3704"/>
      <c r="Z33" s="1574" t="str">
        <f t="shared" si="15"/>
        <v>成新度</v>
      </c>
      <c r="AA33" s="1575" t="e">
        <f t="shared" si="3"/>
        <v>#N/A</v>
      </c>
      <c r="AB33" s="1575" t="e">
        <f t="shared" si="4"/>
        <v>#N/A</v>
      </c>
      <c r="AC33" s="1575" t="e">
        <f t="shared" si="5"/>
        <v>#N/A</v>
      </c>
    </row>
    <row r="34" spans="1:29" s="1218"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04"/>
      <c r="Q34" s="1149" t="str">
        <f t="shared" si="11"/>
        <v>物业管理</v>
      </c>
      <c r="R34" s="1567" t="s">
        <v>8</v>
      </c>
      <c r="S34" s="1568">
        <f t="shared" si="12"/>
        <v>100</v>
      </c>
      <c r="T34" s="1567" t="s">
        <v>8</v>
      </c>
      <c r="U34" s="1568">
        <f t="shared" si="13"/>
        <v>100</v>
      </c>
      <c r="V34" s="1567" t="s">
        <v>8</v>
      </c>
      <c r="W34" s="1568">
        <f t="shared" si="14"/>
        <v>100</v>
      </c>
      <c r="X34" s="1569"/>
      <c r="Y34" s="3704"/>
      <c r="Z34" s="1148" t="str">
        <f t="shared" si="15"/>
        <v>物业管理</v>
      </c>
      <c r="AA34" s="1570">
        <f t="shared" si="3"/>
        <v>1</v>
      </c>
      <c r="AB34" s="1570">
        <f t="shared" si="4"/>
        <v>1</v>
      </c>
      <c r="AC34" s="1570">
        <f t="shared" si="5"/>
        <v>1</v>
      </c>
    </row>
    <row r="35" spans="1:29" ht="15">
      <c r="A35" s="593"/>
      <c r="B35" s="1894" t="s">
        <v>2571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04" t="s">
        <v>551</v>
      </c>
      <c r="Q35" s="1571" t="str">
        <f t="shared" si="11"/>
        <v>市政基础设施</v>
      </c>
      <c r="R35" s="1572" t="s">
        <v>8</v>
      </c>
      <c r="S35" s="1573">
        <f t="shared" si="12"/>
        <v>100</v>
      </c>
      <c r="T35" s="1572" t="s">
        <v>8</v>
      </c>
      <c r="U35" s="1573">
        <f t="shared" si="13"/>
        <v>100</v>
      </c>
      <c r="V35" s="1572" t="s">
        <v>8</v>
      </c>
      <c r="W35" s="1573">
        <f t="shared" si="14"/>
        <v>100</v>
      </c>
      <c r="X35" s="1566"/>
      <c r="Y35" s="3704" t="s">
        <v>551</v>
      </c>
      <c r="Z35" s="1574" t="str">
        <f t="shared" si="15"/>
        <v>市政基础设施</v>
      </c>
      <c r="AA35" s="1575">
        <f t="shared" si="3"/>
        <v>1</v>
      </c>
      <c r="AB35" s="1575">
        <f t="shared" si="4"/>
        <v>1</v>
      </c>
      <c r="AC35" s="1575">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04"/>
      <c r="Q36" s="1571" t="str">
        <f t="shared" si="11"/>
        <v>内部装修</v>
      </c>
      <c r="R36" s="1572" t="s">
        <v>8</v>
      </c>
      <c r="S36" s="1573">
        <f t="shared" si="12"/>
        <v>100</v>
      </c>
      <c r="T36" s="1572" t="s">
        <v>8</v>
      </c>
      <c r="U36" s="1573">
        <f t="shared" si="13"/>
        <v>100</v>
      </c>
      <c r="V36" s="1572" t="s">
        <v>8</v>
      </c>
      <c r="W36" s="1573">
        <f t="shared" si="14"/>
        <v>100</v>
      </c>
      <c r="X36" s="1566"/>
      <c r="Y36" s="3704"/>
      <c r="Z36" s="1574" t="str">
        <f t="shared" si="15"/>
        <v>内部装修</v>
      </c>
      <c r="AA36" s="1575">
        <f t="shared" si="3"/>
        <v>1</v>
      </c>
      <c r="AB36" s="1575">
        <f t="shared" si="4"/>
        <v>1</v>
      </c>
      <c r="AC36" s="1575">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04"/>
      <c r="Q37" s="1571" t="str">
        <f t="shared" si="11"/>
        <v>内部装修状况</v>
      </c>
      <c r="R37" s="1572" t="s">
        <v>8</v>
      </c>
      <c r="S37" s="1573">
        <f t="shared" si="12"/>
        <v>100</v>
      </c>
      <c r="T37" s="1572" t="s">
        <v>8</v>
      </c>
      <c r="U37" s="1573">
        <f t="shared" si="13"/>
        <v>100</v>
      </c>
      <c r="V37" s="1572" t="s">
        <v>8</v>
      </c>
      <c r="W37" s="1573">
        <f t="shared" si="14"/>
        <v>100</v>
      </c>
      <c r="X37" s="1566"/>
      <c r="Y37" s="3704"/>
      <c r="Z37" s="1574" t="str">
        <f t="shared" si="15"/>
        <v>内部装修状况</v>
      </c>
      <c r="AA37" s="1575">
        <f t="shared" si="3"/>
        <v>1</v>
      </c>
      <c r="AB37" s="1575">
        <f t="shared" si="4"/>
        <v>1</v>
      </c>
      <c r="AC37" s="1575">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704"/>
      <c r="Q38" s="1604">
        <f t="shared" si="11"/>
        <v>111</v>
      </c>
      <c r="R38" s="1576" t="s">
        <v>8</v>
      </c>
      <c r="S38" s="1577">
        <f t="shared" si="12"/>
        <v>100</v>
      </c>
      <c r="T38" s="1576" t="s">
        <v>8</v>
      </c>
      <c r="U38" s="1577">
        <f t="shared" si="13"/>
        <v>100</v>
      </c>
      <c r="V38" s="1576" t="s">
        <v>8</v>
      </c>
      <c r="W38" s="1577">
        <f t="shared" si="14"/>
        <v>100</v>
      </c>
      <c r="X38" s="1578"/>
      <c r="Y38" s="370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704"/>
      <c r="Q39" s="1571">
        <f t="shared" si="11"/>
        <v>111</v>
      </c>
      <c r="R39" s="1572" t="s">
        <v>8</v>
      </c>
      <c r="S39" s="1573">
        <f t="shared" si="12"/>
        <v>100</v>
      </c>
      <c r="T39" s="1572" t="s">
        <v>8</v>
      </c>
      <c r="U39" s="1573">
        <f t="shared" si="13"/>
        <v>100</v>
      </c>
      <c r="V39" s="1572" t="s">
        <v>8</v>
      </c>
      <c r="W39" s="1573">
        <f t="shared" si="14"/>
        <v>100</v>
      </c>
      <c r="X39" s="1566"/>
      <c r="Y39" s="370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733"/>
      <c r="Q40" s="1571">
        <f t="shared" si="11"/>
        <v>111</v>
      </c>
      <c r="R40" s="1572" t="s">
        <v>8</v>
      </c>
      <c r="S40" s="1573">
        <f t="shared" si="12"/>
        <v>100</v>
      </c>
      <c r="T40" s="1572" t="s">
        <v>8</v>
      </c>
      <c r="U40" s="1573">
        <f t="shared" si="13"/>
        <v>100</v>
      </c>
      <c r="V40" s="1572" t="s">
        <v>8</v>
      </c>
      <c r="W40" s="1573">
        <f t="shared" si="14"/>
        <v>100</v>
      </c>
      <c r="X40" s="1566"/>
      <c r="Y40" s="3733"/>
      <c r="Z40" s="1574">
        <f t="shared" si="15"/>
        <v>111</v>
      </c>
      <c r="AA40" s="1575">
        <f t="shared" si="3"/>
        <v>1</v>
      </c>
      <c r="AB40" s="1575">
        <f t="shared" si="4"/>
        <v>1</v>
      </c>
      <c r="AC40" s="1575">
        <f t="shared" si="5"/>
        <v>1</v>
      </c>
    </row>
    <row r="41" spans="1:29" ht="15">
      <c r="A41" s="606" t="s">
        <v>737</v>
      </c>
      <c r="B41" s="886"/>
      <c r="C41" s="2648" t="s">
        <v>1</v>
      </c>
      <c r="D41" s="2649"/>
      <c r="E41" s="2650"/>
      <c r="F41" s="2651"/>
      <c r="G41" s="2652"/>
      <c r="H41" s="2653"/>
      <c r="I41" s="2650"/>
      <c r="J41" s="2653"/>
      <c r="K41" s="1610"/>
      <c r="L41" s="2143"/>
      <c r="M41" s="2144"/>
      <c r="N41" s="2133"/>
      <c r="O41" s="2144"/>
      <c r="P41" s="3699" t="str">
        <f>A41</f>
        <v>成交单价（元/平方米）</v>
      </c>
      <c r="Q41" s="3699"/>
      <c r="R41" s="3732">
        <f>E41</f>
        <v>0</v>
      </c>
      <c r="S41" s="3732"/>
      <c r="T41" s="3732">
        <f>G41</f>
        <v>0</v>
      </c>
      <c r="U41" s="3732"/>
      <c r="V41" s="3732">
        <f>I41</f>
        <v>0</v>
      </c>
      <c r="W41" s="3732"/>
      <c r="X41" s="1558"/>
      <c r="Y41" s="1580"/>
      <c r="Z41" s="1558"/>
      <c r="AA41" s="1558"/>
      <c r="AB41" s="1558"/>
      <c r="AC41" s="1558"/>
    </row>
    <row r="42" spans="1:29" ht="15.75" thickBot="1">
      <c r="A42" s="614" t="s">
        <v>2766</v>
      </c>
      <c r="B42" s="887"/>
      <c r="C42" s="2654" t="e">
        <f>R43</f>
        <v>#DIV/0!</v>
      </c>
      <c r="D42" s="2655"/>
      <c r="E42" s="2656" t="e">
        <f>R42</f>
        <v>#DIV/0!</v>
      </c>
      <c r="F42" s="2656"/>
      <c r="G42" s="2654" t="e">
        <f>T42</f>
        <v>#DIV/0!</v>
      </c>
      <c r="H42" s="2655"/>
      <c r="I42" s="2656" t="e">
        <f>V42</f>
        <v>#DIV/0!</v>
      </c>
      <c r="J42" s="2655"/>
      <c r="K42" s="1611"/>
      <c r="L42" s="2143"/>
      <c r="M42" s="2144"/>
      <c r="N42" s="2133"/>
      <c r="O42" s="2144"/>
      <c r="P42" s="3699" t="str">
        <f>A42</f>
        <v>比较价格（元/平方米）</v>
      </c>
      <c r="Q42" s="3699"/>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1558"/>
      <c r="Y42" s="1558"/>
      <c r="Z42" s="1558"/>
      <c r="AA42" s="1558"/>
      <c r="AB42" s="1558"/>
      <c r="AC42" s="1558"/>
    </row>
    <row r="43" spans="1:29" ht="15.75" thickBot="1">
      <c r="A43" s="620" t="s">
        <v>2939</v>
      </c>
      <c r="B43" s="621"/>
      <c r="C43" s="2657" t="e">
        <f>R43</f>
        <v>#DIV/0!</v>
      </c>
      <c r="D43" s="2657"/>
      <c r="E43" s="2657"/>
      <c r="F43" s="2657"/>
      <c r="G43" s="2657"/>
      <c r="H43" s="2657"/>
      <c r="I43" s="2657"/>
      <c r="J43" s="2657"/>
      <c r="K43" s="1612"/>
      <c r="L43" s="2143"/>
      <c r="M43" s="2144"/>
      <c r="N43" s="2144"/>
      <c r="O43" s="2144"/>
      <c r="P43" s="3720" t="str">
        <f>A43</f>
        <v>估价对象XX用房的比较价格（楼面单价，元/平方米）</v>
      </c>
      <c r="Q43" s="3721"/>
      <c r="R43" s="3731" t="e">
        <f>IF(F1="售价",ROUND(AVERAGE(R42:V42),0),ROUND(AVERAGE(R42:V42),1))</f>
        <v>#DIV/0!</v>
      </c>
      <c r="S43" s="3731"/>
      <c r="T43" s="3731"/>
      <c r="U43" s="3731"/>
      <c r="V43" s="3731"/>
      <c r="W43" s="373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4" t="s">
        <v>530</v>
      </c>
      <c r="B52" s="645"/>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2563</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18" t="s">
        <v>2564</v>
      </c>
      <c r="C76" s="2619" t="s">
        <v>2565</v>
      </c>
      <c r="D76" s="2619" t="s">
        <v>2566</v>
      </c>
      <c r="E76" s="2619" t="s">
        <v>2567</v>
      </c>
      <c r="F76" s="2619" t="s">
        <v>2568</v>
      </c>
      <c r="G76" s="2619" t="s">
        <v>2569</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785</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748</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750</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752</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754</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2562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756</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922"/>
      <c r="C1" s="503" t="s">
        <v>793</v>
      </c>
      <c r="D1" s="848"/>
      <c r="E1" s="505"/>
      <c r="F1" s="2829"/>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795</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796</v>
      </c>
      <c r="B3" s="509" t="e">
        <f>IF(B37="元/平方米",C39,ROUND(B2*10000/D3,0))</f>
        <v>#DIV/0!</v>
      </c>
      <c r="C3" s="851" t="s">
        <v>797</v>
      </c>
      <c r="D3" s="850">
        <f>SUMIF('数据-汇总表'!$C19:$C33,D1,'数据-汇总表'!$E19:$E33)</f>
        <v>0</v>
      </c>
      <c r="E3" s="1847" t="s">
        <v>2079</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798</v>
      </c>
      <c r="B4" s="512"/>
      <c r="C4" s="3705" t="s">
        <v>799</v>
      </c>
      <c r="D4" s="3706"/>
      <c r="E4" s="3705" t="s">
        <v>800</v>
      </c>
      <c r="F4" s="3706"/>
      <c r="G4" s="3705" t="s">
        <v>801</v>
      </c>
      <c r="H4" s="3706"/>
      <c r="I4" s="3705" t="s">
        <v>802</v>
      </c>
      <c r="J4" s="3706"/>
      <c r="K4" s="513" t="s">
        <v>803</v>
      </c>
      <c r="L4" s="2132"/>
      <c r="M4" s="2133"/>
      <c r="N4" s="2133"/>
      <c r="O4" s="2133"/>
      <c r="P4" s="3707" t="s">
        <v>804</v>
      </c>
      <c r="Q4" s="3708"/>
      <c r="R4" s="3693" t="s">
        <v>800</v>
      </c>
      <c r="S4" s="3694"/>
      <c r="T4" s="3693" t="s">
        <v>801</v>
      </c>
      <c r="U4" s="3694"/>
      <c r="V4" s="3713" t="s">
        <v>802</v>
      </c>
      <c r="W4" s="3713"/>
      <c r="X4" s="1566"/>
      <c r="Y4" s="3693" t="s">
        <v>804</v>
      </c>
      <c r="Z4" s="3694"/>
      <c r="AA4" s="3688" t="s">
        <v>800</v>
      </c>
      <c r="AB4" s="3689" t="s">
        <v>801</v>
      </c>
      <c r="AC4" s="3688" t="s">
        <v>802</v>
      </c>
    </row>
    <row r="5" spans="1:29" ht="15">
      <c r="A5" s="514"/>
      <c r="B5" s="515"/>
      <c r="C5" s="3716" t="s">
        <v>2933</v>
      </c>
      <c r="D5" s="3717"/>
      <c r="E5" s="3716" t="s">
        <v>2934</v>
      </c>
      <c r="F5" s="3717"/>
      <c r="G5" s="3716" t="s">
        <v>2935</v>
      </c>
      <c r="H5" s="3717"/>
      <c r="I5" s="3716" t="s">
        <v>2936</v>
      </c>
      <c r="J5" s="3717"/>
      <c r="K5" s="513"/>
      <c r="L5" s="2132"/>
      <c r="M5" s="2133"/>
      <c r="N5" s="2133"/>
      <c r="O5" s="2133"/>
      <c r="P5" s="3709"/>
      <c r="Q5" s="3710"/>
      <c r="R5" s="3695"/>
      <c r="S5" s="3696"/>
      <c r="T5" s="3695"/>
      <c r="U5" s="3696"/>
      <c r="V5" s="3713"/>
      <c r="W5" s="3713"/>
      <c r="X5" s="1566"/>
      <c r="Y5" s="3695"/>
      <c r="Z5" s="3696"/>
      <c r="AA5" s="3689"/>
      <c r="AB5" s="3689"/>
      <c r="AC5" s="3689"/>
    </row>
    <row r="6" spans="1:29" ht="15.75" thickBot="1">
      <c r="A6" s="516"/>
      <c r="B6" s="517"/>
      <c r="C6" s="3714" t="s">
        <v>2937</v>
      </c>
      <c r="D6" s="3715"/>
      <c r="E6" s="3718" t="s">
        <v>2937</v>
      </c>
      <c r="F6" s="3719"/>
      <c r="G6" s="3714" t="s">
        <v>2937</v>
      </c>
      <c r="H6" s="3715"/>
      <c r="I6" s="3714" t="s">
        <v>2937</v>
      </c>
      <c r="J6" s="3715"/>
      <c r="K6" s="513" t="s">
        <v>529</v>
      </c>
      <c r="L6" s="2132"/>
      <c r="M6" s="2133"/>
      <c r="N6" s="2133"/>
      <c r="O6" s="2133"/>
      <c r="P6" s="3711"/>
      <c r="Q6" s="3712"/>
      <c r="R6" s="3695"/>
      <c r="S6" s="3696"/>
      <c r="T6" s="3697"/>
      <c r="U6" s="3698"/>
      <c r="V6" s="3713"/>
      <c r="W6" s="3713"/>
      <c r="X6" s="1566"/>
      <c r="Y6" s="3697"/>
      <c r="Z6" s="3698"/>
      <c r="AA6" s="3690"/>
      <c r="AB6" s="3690"/>
      <c r="AC6" s="3690"/>
    </row>
    <row r="7" spans="1:29" s="1218" customFormat="1" ht="15.75" thickBot="1">
      <c r="A7" s="2933"/>
      <c r="B7" s="2940" t="s">
        <v>530</v>
      </c>
      <c r="C7" s="518">
        <f>'数据-取费表'!B2</f>
        <v>43206</v>
      </c>
      <c r="D7" s="519">
        <v>100</v>
      </c>
      <c r="E7" s="520"/>
      <c r="F7" s="521">
        <f>SUMIF(48:48,YEAR(E7)&amp;"-"&amp;MONTH(E7),49:49)</f>
        <v>0</v>
      </c>
      <c r="G7" s="522"/>
      <c r="H7" s="519">
        <f>SUMIF(48:48,YEAR(G7)&amp;"-"&amp;MONTH(G7),49:49)</f>
        <v>0</v>
      </c>
      <c r="I7" s="522"/>
      <c r="J7" s="519">
        <f>SUMIF(48:48,YEAR(I7)&amp;"-"&amp;MONTH(I7),49:49)</f>
        <v>0</v>
      </c>
      <c r="K7" s="523"/>
      <c r="L7" s="2134"/>
      <c r="M7" s="2135"/>
      <c r="N7" s="2135"/>
      <c r="O7" s="2135"/>
      <c r="P7" s="3691" t="s">
        <v>531</v>
      </c>
      <c r="Q7" s="3700"/>
      <c r="R7" s="1567" t="s">
        <v>8</v>
      </c>
      <c r="S7" s="1568">
        <f t="shared" ref="S7:S14" si="0">F7</f>
        <v>0</v>
      </c>
      <c r="T7" s="1567" t="s">
        <v>8</v>
      </c>
      <c r="U7" s="1568">
        <f t="shared" ref="U7:U14" si="1">H7</f>
        <v>0</v>
      </c>
      <c r="V7" s="1567" t="s">
        <v>8</v>
      </c>
      <c r="W7" s="1568">
        <f t="shared" ref="W7:W14" si="2">J7</f>
        <v>0</v>
      </c>
      <c r="X7" s="1569"/>
      <c r="Y7" s="3691" t="s">
        <v>531</v>
      </c>
      <c r="Z7" s="3692"/>
      <c r="AA7" s="1570" t="e">
        <f>D7/F7</f>
        <v>#DIV/0!</v>
      </c>
      <c r="AB7" s="1570" t="e">
        <f>D7/H7</f>
        <v>#DIV/0!</v>
      </c>
      <c r="AC7" s="1570" t="e">
        <f>D7/J7</f>
        <v>#DIV/0!</v>
      </c>
    </row>
    <row r="8" spans="1:29" s="1218" customFormat="1" ht="15.75" thickBot="1">
      <c r="A8" s="2934"/>
      <c r="B8" s="2941"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691" t="s">
        <v>534</v>
      </c>
      <c r="Q8" s="3692"/>
      <c r="R8" s="1567" t="s">
        <v>8</v>
      </c>
      <c r="S8" s="1568">
        <f t="shared" si="0"/>
        <v>0</v>
      </c>
      <c r="T8" s="1567" t="s">
        <v>8</v>
      </c>
      <c r="U8" s="1568">
        <f t="shared" si="1"/>
        <v>0</v>
      </c>
      <c r="V8" s="1567" t="s">
        <v>8</v>
      </c>
      <c r="W8" s="1568">
        <f t="shared" si="2"/>
        <v>0</v>
      </c>
      <c r="X8" s="1569"/>
      <c r="Y8" s="3691" t="s">
        <v>534</v>
      </c>
      <c r="Z8" s="3692"/>
      <c r="AA8" s="1570" t="e">
        <f t="shared" ref="AA8:AA36" si="3">D8/F8</f>
        <v>#DIV/0!</v>
      </c>
      <c r="AB8" s="1570" t="e">
        <f t="shared" ref="AB8:AB36" si="4">D8/H8</f>
        <v>#DIV/0!</v>
      </c>
      <c r="AC8" s="1570" t="e">
        <f t="shared" ref="AC8:AC36" si="5">D8/J8</f>
        <v>#DIV/0!</v>
      </c>
    </row>
    <row r="9" spans="1:29" s="1218" customFormat="1" ht="15">
      <c r="A9" s="2935"/>
      <c r="B9" s="2942" t="s">
        <v>2762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699" t="s">
        <v>536</v>
      </c>
      <c r="Q9" s="1149" t="str">
        <f t="shared" ref="Q9:Q14" si="6">B9</f>
        <v>用途</v>
      </c>
      <c r="R9" s="1567" t="s">
        <v>8</v>
      </c>
      <c r="S9" s="1568">
        <f t="shared" si="0"/>
        <v>100</v>
      </c>
      <c r="T9" s="1567" t="s">
        <v>8</v>
      </c>
      <c r="U9" s="1568">
        <f t="shared" si="1"/>
        <v>100</v>
      </c>
      <c r="V9" s="1567" t="s">
        <v>8</v>
      </c>
      <c r="W9" s="1568">
        <f t="shared" si="2"/>
        <v>100</v>
      </c>
      <c r="X9" s="1569"/>
      <c r="Y9" s="3656" t="s">
        <v>537</v>
      </c>
      <c r="Z9" s="1148" t="str">
        <f t="shared" ref="Z9:Z14" si="7">Q9</f>
        <v>用途</v>
      </c>
      <c r="AA9" s="1570">
        <f t="shared" si="3"/>
        <v>1</v>
      </c>
      <c r="AB9" s="1570">
        <f t="shared" si="4"/>
        <v>1</v>
      </c>
      <c r="AC9" s="1570">
        <f t="shared" si="5"/>
        <v>1</v>
      </c>
    </row>
    <row r="10" spans="1:29" s="1336" customFormat="1" ht="27">
      <c r="A10" s="2936"/>
      <c r="B10" s="2941" t="s">
        <v>2763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699"/>
      <c r="Q10" s="1149" t="str">
        <f t="shared" si="6"/>
        <v>土地使用年限（年）</v>
      </c>
      <c r="R10" s="1567" t="s">
        <v>8</v>
      </c>
      <c r="S10" s="1568">
        <f t="shared" si="0"/>
        <v>100</v>
      </c>
      <c r="T10" s="1567" t="s">
        <v>8</v>
      </c>
      <c r="U10" s="1568">
        <f t="shared" si="1"/>
        <v>100</v>
      </c>
      <c r="V10" s="1567" t="s">
        <v>8</v>
      </c>
      <c r="W10" s="1568">
        <f t="shared" si="2"/>
        <v>100</v>
      </c>
      <c r="X10" s="1569"/>
      <c r="Y10" s="3656"/>
      <c r="Z10" s="1148" t="str">
        <f t="shared" si="7"/>
        <v>土地使用年限（年）</v>
      </c>
      <c r="AA10" s="1570">
        <f t="shared" si="3"/>
        <v>1</v>
      </c>
      <c r="AB10" s="1570">
        <f t="shared" si="4"/>
        <v>1</v>
      </c>
      <c r="AC10" s="1570">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699"/>
      <c r="Q11" s="1149">
        <f t="shared" si="6"/>
        <v>111</v>
      </c>
      <c r="R11" s="1567" t="s">
        <v>8</v>
      </c>
      <c r="S11" s="1568">
        <f t="shared" si="0"/>
        <v>100</v>
      </c>
      <c r="T11" s="1567" t="s">
        <v>8</v>
      </c>
      <c r="U11" s="1568">
        <f t="shared" si="1"/>
        <v>100</v>
      </c>
      <c r="V11" s="1567" t="s">
        <v>8</v>
      </c>
      <c r="W11" s="1568">
        <f t="shared" si="2"/>
        <v>100</v>
      </c>
      <c r="X11" s="1569"/>
      <c r="Y11" s="3656"/>
      <c r="Z11" s="1148">
        <f t="shared" si="7"/>
        <v>111</v>
      </c>
      <c r="AA11" s="1570">
        <f t="shared" si="3"/>
        <v>1</v>
      </c>
      <c r="AB11" s="1570">
        <f t="shared" si="4"/>
        <v>1</v>
      </c>
      <c r="AC11" s="1570">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699"/>
      <c r="Q12" s="1149">
        <f t="shared" si="6"/>
        <v>111</v>
      </c>
      <c r="R12" s="1567" t="s">
        <v>8</v>
      </c>
      <c r="S12" s="1568">
        <f t="shared" si="0"/>
        <v>100</v>
      </c>
      <c r="T12" s="1567" t="s">
        <v>8</v>
      </c>
      <c r="U12" s="1568">
        <f t="shared" si="1"/>
        <v>100</v>
      </c>
      <c r="V12" s="1567" t="s">
        <v>8</v>
      </c>
      <c r="W12" s="1568">
        <f t="shared" si="2"/>
        <v>100</v>
      </c>
      <c r="X12" s="1569"/>
      <c r="Y12" s="3656"/>
      <c r="Z12" s="1148">
        <f t="shared" si="7"/>
        <v>111</v>
      </c>
      <c r="AA12" s="1570">
        <f>D12/F12</f>
        <v>1</v>
      </c>
      <c r="AB12" s="1570">
        <f>D12/H12</f>
        <v>1</v>
      </c>
      <c r="AC12" s="1570">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699"/>
      <c r="Q13" s="1149">
        <f t="shared" si="6"/>
        <v>111</v>
      </c>
      <c r="R13" s="1567" t="s">
        <v>8</v>
      </c>
      <c r="S13" s="1568">
        <f t="shared" si="0"/>
        <v>100</v>
      </c>
      <c r="T13" s="1567" t="s">
        <v>8</v>
      </c>
      <c r="U13" s="1568">
        <f t="shared" si="1"/>
        <v>100</v>
      </c>
      <c r="V13" s="1567" t="s">
        <v>8</v>
      </c>
      <c r="W13" s="1568">
        <f t="shared" si="2"/>
        <v>100</v>
      </c>
      <c r="X13" s="1569"/>
      <c r="Y13" s="3656"/>
      <c r="Z13" s="1148">
        <f t="shared" si="7"/>
        <v>111</v>
      </c>
      <c r="AA13" s="1570">
        <f t="shared" si="3"/>
        <v>1</v>
      </c>
      <c r="AB13" s="1570">
        <f t="shared" si="4"/>
        <v>1</v>
      </c>
      <c r="AC13" s="1570">
        <f t="shared" si="5"/>
        <v>1</v>
      </c>
    </row>
    <row r="14" spans="1:29" ht="85.5">
      <c r="A14" s="2931" t="s">
        <v>2760</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701" t="s">
        <v>541</v>
      </c>
      <c r="Q14" s="1571" t="str">
        <f t="shared" si="6"/>
        <v>交通便捷度</v>
      </c>
      <c r="R14" s="1572" t="s">
        <v>8</v>
      </c>
      <c r="S14" s="1573">
        <f t="shared" si="0"/>
        <v>100</v>
      </c>
      <c r="T14" s="1572" t="s">
        <v>8</v>
      </c>
      <c r="U14" s="1573">
        <f t="shared" si="1"/>
        <v>100</v>
      </c>
      <c r="V14" s="1572" t="s">
        <v>8</v>
      </c>
      <c r="W14" s="1573">
        <f t="shared" si="2"/>
        <v>100</v>
      </c>
      <c r="X14" s="1566"/>
      <c r="Y14" s="3701"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702"/>
      <c r="Q15" s="1571"/>
      <c r="R15" s="1572"/>
      <c r="S15" s="1573"/>
      <c r="T15" s="1572"/>
      <c r="U15" s="1573"/>
      <c r="V15" s="1572"/>
      <c r="W15" s="1573"/>
      <c r="X15" s="1566"/>
      <c r="Y15" s="3702"/>
      <c r="Z15" s="1574"/>
      <c r="AA15" s="1575">
        <v>1</v>
      </c>
      <c r="AB15" s="1575">
        <v>1</v>
      </c>
      <c r="AC15" s="1575">
        <v>1</v>
      </c>
    </row>
    <row r="16" spans="1:29" ht="42.75">
      <c r="A16" s="514"/>
      <c r="B16" s="2624" t="s">
        <v>2552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702"/>
      <c r="Q16" s="1571" t="str">
        <f>B16</f>
        <v>公共配套设施</v>
      </c>
      <c r="R16" s="1572" t="s">
        <v>8</v>
      </c>
      <c r="S16" s="1573">
        <f>F16</f>
        <v>100</v>
      </c>
      <c r="T16" s="1572" t="s">
        <v>8</v>
      </c>
      <c r="U16" s="1573">
        <f>H16</f>
        <v>100</v>
      </c>
      <c r="V16" s="1572" t="s">
        <v>8</v>
      </c>
      <c r="W16" s="1573">
        <f>J16</f>
        <v>100</v>
      </c>
      <c r="X16" s="1566"/>
      <c r="Y16" s="370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702"/>
      <c r="Q17" s="1571"/>
      <c r="R17" s="1572"/>
      <c r="S17" s="1573"/>
      <c r="T17" s="1572"/>
      <c r="U17" s="1573"/>
      <c r="V17" s="1572"/>
      <c r="W17" s="1573"/>
      <c r="X17" s="1566"/>
      <c r="Y17" s="3702"/>
      <c r="Z17" s="1574"/>
      <c r="AA17" s="1575">
        <v>1</v>
      </c>
      <c r="AB17" s="1575">
        <v>1</v>
      </c>
      <c r="AC17" s="1575">
        <v>1</v>
      </c>
    </row>
    <row r="18" spans="1:29" ht="28.5">
      <c r="A18" s="514"/>
      <c r="B18" s="2612" t="s">
        <v>2564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702"/>
      <c r="Q18" s="2600" t="str">
        <f>B18</f>
        <v>基础设施水平</v>
      </c>
      <c r="R18" s="1572" t="s">
        <v>8</v>
      </c>
      <c r="S18" s="1573">
        <f>F18</f>
        <v>100</v>
      </c>
      <c r="T18" s="1572" t="s">
        <v>8</v>
      </c>
      <c r="U18" s="1573">
        <f>H18</f>
        <v>100</v>
      </c>
      <c r="V18" s="1572" t="s">
        <v>8</v>
      </c>
      <c r="W18" s="1573">
        <f>J18</f>
        <v>100</v>
      </c>
      <c r="X18" s="2602"/>
      <c r="Y18" s="3702"/>
      <c r="Z18" s="2601"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3"/>
      <c r="L19" s="2141"/>
      <c r="M19" s="2133"/>
      <c r="N19" s="2133"/>
      <c r="O19" s="2140"/>
      <c r="P19" s="3702"/>
      <c r="Q19" s="2600"/>
      <c r="R19" s="1572"/>
      <c r="S19" s="1573"/>
      <c r="T19" s="1572"/>
      <c r="U19" s="1573"/>
      <c r="V19" s="1572"/>
      <c r="W19" s="1573"/>
      <c r="X19" s="2602"/>
      <c r="Y19" s="3702"/>
      <c r="Z19" s="2601"/>
      <c r="AA19" s="1575">
        <v>1</v>
      </c>
      <c r="AB19" s="1575">
        <v>1</v>
      </c>
      <c r="AC19" s="1575">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702"/>
      <c r="Q20" s="1571" t="str">
        <f>B20</f>
        <v>自然及人文环境</v>
      </c>
      <c r="R20" s="1572" t="s">
        <v>8</v>
      </c>
      <c r="S20" s="1573">
        <f>F20</f>
        <v>100</v>
      </c>
      <c r="T20" s="1572" t="s">
        <v>8</v>
      </c>
      <c r="U20" s="1573">
        <f>H20</f>
        <v>100</v>
      </c>
      <c r="V20" s="1572" t="s">
        <v>8</v>
      </c>
      <c r="W20" s="1573">
        <f>J20</f>
        <v>100</v>
      </c>
      <c r="X20" s="1566"/>
      <c r="Y20" s="370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702"/>
      <c r="Q21" s="1571"/>
      <c r="R21" s="1572"/>
      <c r="S21" s="1573"/>
      <c r="T21" s="1572"/>
      <c r="U21" s="1573"/>
      <c r="V21" s="1572"/>
      <c r="W21" s="1573"/>
      <c r="X21" s="1566"/>
      <c r="Y21" s="3702"/>
      <c r="Z21" s="1574"/>
      <c r="AA21" s="1575">
        <v>1</v>
      </c>
      <c r="AB21" s="1575">
        <v>1</v>
      </c>
      <c r="AC21" s="1575">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02"/>
      <c r="Q22" s="1571" t="str">
        <f>B22</f>
        <v>楼层</v>
      </c>
      <c r="R22" s="1572" t="s">
        <v>8</v>
      </c>
      <c r="S22" s="1573">
        <f>F22</f>
        <v>100</v>
      </c>
      <c r="T22" s="1572" t="s">
        <v>8</v>
      </c>
      <c r="U22" s="1573">
        <f>H22</f>
        <v>100</v>
      </c>
      <c r="V22" s="1572" t="s">
        <v>8</v>
      </c>
      <c r="W22" s="1573">
        <f>J22</f>
        <v>100</v>
      </c>
      <c r="X22" s="1566"/>
      <c r="Y22" s="370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02"/>
      <c r="Q23" s="1571">
        <f>B23</f>
        <v>111</v>
      </c>
      <c r="R23" s="1572" t="s">
        <v>8</v>
      </c>
      <c r="S23" s="1573">
        <f>F23</f>
        <v>100</v>
      </c>
      <c r="T23" s="1572" t="s">
        <v>8</v>
      </c>
      <c r="U23" s="1573">
        <f>H23</f>
        <v>100</v>
      </c>
      <c r="V23" s="1572" t="s">
        <v>8</v>
      </c>
      <c r="W23" s="1573">
        <f>J23</f>
        <v>100</v>
      </c>
      <c r="X23" s="1566"/>
      <c r="Y23" s="370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02"/>
      <c r="Q24" s="1571">
        <f t="shared" ref="Q24:Q36" si="11">B24</f>
        <v>111</v>
      </c>
      <c r="R24" s="1572" t="s">
        <v>8</v>
      </c>
      <c r="S24" s="1573">
        <f>F24</f>
        <v>100</v>
      </c>
      <c r="T24" s="1572" t="s">
        <v>8</v>
      </c>
      <c r="U24" s="1573">
        <f>H24</f>
        <v>100</v>
      </c>
      <c r="V24" s="1572" t="s">
        <v>8</v>
      </c>
      <c r="W24" s="1573">
        <f>J24</f>
        <v>100</v>
      </c>
      <c r="X24" s="1566"/>
      <c r="Y24" s="3702"/>
      <c r="Z24" s="1574">
        <f>Q24</f>
        <v>111</v>
      </c>
      <c r="AA24" s="1575">
        <f t="shared" si="3"/>
        <v>1</v>
      </c>
      <c r="AB24" s="1575">
        <f t="shared" si="4"/>
        <v>1</v>
      </c>
      <c r="AC24" s="1575">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702"/>
      <c r="Q25" s="1149">
        <f t="shared" si="11"/>
        <v>111</v>
      </c>
      <c r="R25" s="1567" t="s">
        <v>8</v>
      </c>
      <c r="S25" s="1568">
        <f>F25</f>
        <v>100</v>
      </c>
      <c r="T25" s="1567" t="s">
        <v>8</v>
      </c>
      <c r="U25" s="1568">
        <f>H25</f>
        <v>100</v>
      </c>
      <c r="V25" s="1567" t="s">
        <v>8</v>
      </c>
      <c r="W25" s="1568">
        <f>J25</f>
        <v>100</v>
      </c>
      <c r="X25" s="1569"/>
      <c r="Y25" s="3702"/>
      <c r="Z25" s="1148">
        <f>Q25</f>
        <v>111</v>
      </c>
      <c r="AA25" s="1575">
        <f>D25/F25</f>
        <v>1</v>
      </c>
      <c r="AB25" s="1575">
        <f>D25/H25</f>
        <v>1</v>
      </c>
      <c r="AC25" s="1575">
        <f>D25/J25</f>
        <v>1</v>
      </c>
    </row>
    <row r="26" spans="1:29" ht="15">
      <c r="A26" s="2929" t="s">
        <v>2761</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03"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04" t="s">
        <v>551</v>
      </c>
      <c r="Z26" s="1574" t="str">
        <f t="shared" ref="Z26:Z36" si="15">Q26</f>
        <v>配套类型</v>
      </c>
      <c r="AA26" s="1575">
        <f t="shared" si="3"/>
        <v>1</v>
      </c>
      <c r="AB26" s="1575">
        <f t="shared" si="4"/>
        <v>1</v>
      </c>
      <c r="AC26" s="1575">
        <f t="shared" si="5"/>
        <v>1</v>
      </c>
    </row>
    <row r="27" spans="1:29" s="1337"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704"/>
      <c r="Q27" s="1604" t="str">
        <f t="shared" si="11"/>
        <v>项目停车位配比</v>
      </c>
      <c r="R27" s="1576" t="s">
        <v>8</v>
      </c>
      <c r="S27" s="1577">
        <f t="shared" si="12"/>
        <v>100</v>
      </c>
      <c r="T27" s="1576" t="s">
        <v>8</v>
      </c>
      <c r="U27" s="1577">
        <f t="shared" si="13"/>
        <v>100</v>
      </c>
      <c r="V27" s="1576" t="s">
        <v>8</v>
      </c>
      <c r="W27" s="1577">
        <f t="shared" si="14"/>
        <v>100</v>
      </c>
      <c r="X27" s="1578"/>
      <c r="Y27" s="3704"/>
      <c r="Z27" s="1579" t="str">
        <f t="shared" si="15"/>
        <v>项目停车位配比</v>
      </c>
      <c r="AA27" s="1575">
        <f t="shared" si="3"/>
        <v>1</v>
      </c>
      <c r="AB27" s="1575">
        <f t="shared" si="4"/>
        <v>1</v>
      </c>
      <c r="AC27" s="1575">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04"/>
      <c r="Q28" s="1571" t="str">
        <f t="shared" si="11"/>
        <v>公共部分装修</v>
      </c>
      <c r="R28" s="1572" t="s">
        <v>8</v>
      </c>
      <c r="S28" s="1573">
        <f t="shared" si="12"/>
        <v>100</v>
      </c>
      <c r="T28" s="1572" t="s">
        <v>8</v>
      </c>
      <c r="U28" s="1573">
        <f t="shared" si="13"/>
        <v>100</v>
      </c>
      <c r="V28" s="1572" t="s">
        <v>8</v>
      </c>
      <c r="W28" s="1573">
        <f t="shared" si="14"/>
        <v>100</v>
      </c>
      <c r="X28" s="1566"/>
      <c r="Y28" s="3704"/>
      <c r="Z28" s="1574" t="str">
        <f t="shared" si="15"/>
        <v>公共部分装修</v>
      </c>
      <c r="AA28" s="1575">
        <f t="shared" si="3"/>
        <v>1</v>
      </c>
      <c r="AB28" s="1575">
        <f t="shared" si="4"/>
        <v>1</v>
      </c>
      <c r="AC28" s="1575">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704"/>
      <c r="Q29" s="1571" t="str">
        <f t="shared" si="11"/>
        <v>成新率</v>
      </c>
      <c r="R29" s="1572" t="s">
        <v>8</v>
      </c>
      <c r="S29" s="1573" t="e">
        <f t="shared" si="12"/>
        <v>#N/A</v>
      </c>
      <c r="T29" s="1572" t="s">
        <v>8</v>
      </c>
      <c r="U29" s="1573" t="e">
        <f t="shared" si="13"/>
        <v>#N/A</v>
      </c>
      <c r="V29" s="1572" t="s">
        <v>8</v>
      </c>
      <c r="W29" s="1573" t="e">
        <f t="shared" si="14"/>
        <v>#N/A</v>
      </c>
      <c r="X29" s="1566"/>
      <c r="Y29" s="3704"/>
      <c r="Z29" s="1574" t="str">
        <f t="shared" si="15"/>
        <v>成新率</v>
      </c>
      <c r="AA29" s="1575" t="e">
        <f t="shared" si="3"/>
        <v>#N/A</v>
      </c>
      <c r="AB29" s="1575" t="e">
        <f t="shared" si="4"/>
        <v>#N/A</v>
      </c>
      <c r="AC29" s="1575"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704"/>
      <c r="Q30" s="1571" t="str">
        <f t="shared" si="11"/>
        <v>物业等级</v>
      </c>
      <c r="R30" s="1572" t="s">
        <v>8</v>
      </c>
      <c r="S30" s="1573">
        <f t="shared" si="12"/>
        <v>100</v>
      </c>
      <c r="T30" s="1572" t="s">
        <v>8</v>
      </c>
      <c r="U30" s="1573">
        <f t="shared" si="13"/>
        <v>100</v>
      </c>
      <c r="V30" s="1572" t="s">
        <v>8</v>
      </c>
      <c r="W30" s="1573">
        <f t="shared" si="14"/>
        <v>100</v>
      </c>
      <c r="X30" s="1566"/>
      <c r="Y30" s="3704"/>
      <c r="Z30" s="1574" t="str">
        <f t="shared" si="15"/>
        <v>物业等级</v>
      </c>
      <c r="AA30" s="1575">
        <f t="shared" si="3"/>
        <v>1</v>
      </c>
      <c r="AB30" s="1575">
        <f t="shared" si="4"/>
        <v>1</v>
      </c>
      <c r="AC30" s="1575">
        <f t="shared" si="5"/>
        <v>1</v>
      </c>
    </row>
    <row r="31" spans="1:29" s="1218"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704"/>
      <c r="Q31" s="1149" t="str">
        <f t="shared" si="11"/>
        <v>停车位面积</v>
      </c>
      <c r="R31" s="1567" t="s">
        <v>8</v>
      </c>
      <c r="S31" s="1568" t="e">
        <f t="shared" si="12"/>
        <v>#N/A</v>
      </c>
      <c r="T31" s="1567" t="s">
        <v>8</v>
      </c>
      <c r="U31" s="1568" t="e">
        <f t="shared" si="13"/>
        <v>#N/A</v>
      </c>
      <c r="V31" s="1567" t="s">
        <v>8</v>
      </c>
      <c r="W31" s="1568" t="e">
        <f t="shared" si="14"/>
        <v>#N/A</v>
      </c>
      <c r="X31" s="1569"/>
      <c r="Y31" s="3704"/>
      <c r="Z31" s="1148" t="str">
        <f t="shared" si="15"/>
        <v>停车位面积</v>
      </c>
      <c r="AA31" s="1570" t="e">
        <f t="shared" si="3"/>
        <v>#N/A</v>
      </c>
      <c r="AB31" s="1570" t="e">
        <f t="shared" si="4"/>
        <v>#N/A</v>
      </c>
      <c r="AC31" s="1570"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04" t="s">
        <v>551</v>
      </c>
      <c r="Q32" s="1571" t="str">
        <f t="shared" si="11"/>
        <v>车位类型</v>
      </c>
      <c r="R32" s="1572" t="s">
        <v>8</v>
      </c>
      <c r="S32" s="1573">
        <f t="shared" si="12"/>
        <v>100</v>
      </c>
      <c r="T32" s="1572" t="s">
        <v>8</v>
      </c>
      <c r="U32" s="1573">
        <f t="shared" si="13"/>
        <v>100</v>
      </c>
      <c r="V32" s="1572" t="s">
        <v>8</v>
      </c>
      <c r="W32" s="1573">
        <f t="shared" si="14"/>
        <v>100</v>
      </c>
      <c r="X32" s="1566"/>
      <c r="Y32" s="3704" t="s">
        <v>551</v>
      </c>
      <c r="Z32" s="1574" t="str">
        <f t="shared" si="15"/>
        <v>车位类型</v>
      </c>
      <c r="AA32" s="1575">
        <f t="shared" si="3"/>
        <v>1</v>
      </c>
      <c r="AB32" s="1575">
        <f t="shared" si="4"/>
        <v>1</v>
      </c>
      <c r="AC32" s="1575">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04"/>
      <c r="Q33" s="1571" t="str">
        <f t="shared" si="11"/>
        <v>是否直接入户</v>
      </c>
      <c r="R33" s="1572" t="s">
        <v>8</v>
      </c>
      <c r="S33" s="1573">
        <f t="shared" si="12"/>
        <v>100</v>
      </c>
      <c r="T33" s="1572" t="s">
        <v>8</v>
      </c>
      <c r="U33" s="1573">
        <f t="shared" si="13"/>
        <v>100</v>
      </c>
      <c r="V33" s="1572" t="s">
        <v>8</v>
      </c>
      <c r="W33" s="1573">
        <f t="shared" si="14"/>
        <v>100</v>
      </c>
      <c r="X33" s="1566"/>
      <c r="Y33" s="370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04"/>
      <c r="Q34" s="1571">
        <f t="shared" si="11"/>
        <v>111</v>
      </c>
      <c r="R34" s="1572" t="s">
        <v>8</v>
      </c>
      <c r="S34" s="1573">
        <f t="shared" si="12"/>
        <v>100</v>
      </c>
      <c r="T34" s="1572" t="s">
        <v>8</v>
      </c>
      <c r="U34" s="1573">
        <f t="shared" si="13"/>
        <v>100</v>
      </c>
      <c r="V34" s="1572" t="s">
        <v>8</v>
      </c>
      <c r="W34" s="1573">
        <f t="shared" si="14"/>
        <v>100</v>
      </c>
      <c r="X34" s="1566"/>
      <c r="Y34" s="3704"/>
      <c r="Z34" s="1574">
        <f t="shared" si="15"/>
        <v>111</v>
      </c>
      <c r="AA34" s="1575">
        <f t="shared" si="3"/>
        <v>1</v>
      </c>
      <c r="AB34" s="1575">
        <f t="shared" si="4"/>
        <v>1</v>
      </c>
      <c r="AC34" s="1575">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04"/>
      <c r="Q35" s="1604">
        <f t="shared" si="11"/>
        <v>111</v>
      </c>
      <c r="R35" s="1576" t="s">
        <v>8</v>
      </c>
      <c r="S35" s="1577">
        <f t="shared" si="12"/>
        <v>100</v>
      </c>
      <c r="T35" s="1576" t="s">
        <v>8</v>
      </c>
      <c r="U35" s="1577">
        <f t="shared" si="13"/>
        <v>100</v>
      </c>
      <c r="V35" s="1576" t="s">
        <v>8</v>
      </c>
      <c r="W35" s="1577">
        <f t="shared" si="14"/>
        <v>100</v>
      </c>
      <c r="X35" s="1578"/>
      <c r="Y35" s="370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04"/>
      <c r="Q36" s="1571">
        <f t="shared" si="11"/>
        <v>111</v>
      </c>
      <c r="R36" s="1572" t="s">
        <v>8</v>
      </c>
      <c r="S36" s="1573">
        <f t="shared" si="12"/>
        <v>100</v>
      </c>
      <c r="T36" s="1572" t="s">
        <v>8</v>
      </c>
      <c r="U36" s="1573">
        <f t="shared" si="13"/>
        <v>100</v>
      </c>
      <c r="V36" s="1572" t="s">
        <v>8</v>
      </c>
      <c r="W36" s="1573">
        <f t="shared" si="14"/>
        <v>100</v>
      </c>
      <c r="X36" s="1566"/>
      <c r="Y36" s="3704"/>
      <c r="Z36" s="1574">
        <f t="shared" si="15"/>
        <v>111</v>
      </c>
      <c r="AA36" s="1575">
        <f t="shared" si="3"/>
        <v>1</v>
      </c>
      <c r="AB36" s="1575">
        <f t="shared" si="4"/>
        <v>1</v>
      </c>
      <c r="AC36" s="1575">
        <f t="shared" si="5"/>
        <v>1</v>
      </c>
    </row>
    <row r="37" spans="1:29" ht="15">
      <c r="A37" s="1845" t="s">
        <v>2080</v>
      </c>
      <c r="B37" s="1846" t="s">
        <v>2081</v>
      </c>
      <c r="C37" s="2648" t="s">
        <v>1</v>
      </c>
      <c r="D37" s="2649"/>
      <c r="E37" s="2650"/>
      <c r="F37" s="2651"/>
      <c r="G37" s="2652"/>
      <c r="H37" s="2653"/>
      <c r="I37" s="2650"/>
      <c r="J37" s="2653"/>
      <c r="K37" s="1610"/>
      <c r="L37" s="2143"/>
      <c r="M37" s="2144"/>
      <c r="N37" s="2133"/>
      <c r="O37" s="2144"/>
      <c r="P37" s="3699" t="str">
        <f>A37</f>
        <v>成交单价</v>
      </c>
      <c r="Q37" s="3699"/>
      <c r="R37" s="3732">
        <f>E37</f>
        <v>0</v>
      </c>
      <c r="S37" s="3732"/>
      <c r="T37" s="3732">
        <f>G37</f>
        <v>0</v>
      </c>
      <c r="U37" s="3732"/>
      <c r="V37" s="3732">
        <f>I37</f>
        <v>0</v>
      </c>
      <c r="W37" s="3732"/>
      <c r="X37" s="1558"/>
      <c r="Y37" s="1580"/>
      <c r="Z37" s="1558"/>
      <c r="AA37" s="1558"/>
      <c r="AB37" s="1558"/>
      <c r="AC37" s="1558"/>
    </row>
    <row r="38" spans="1:29" ht="15.75" thickBot="1">
      <c r="A38" s="614" t="s">
        <v>2766</v>
      </c>
      <c r="B38" s="887"/>
      <c r="C38" s="2654" t="e">
        <f>R39</f>
        <v>#DIV/0!</v>
      </c>
      <c r="D38" s="2655"/>
      <c r="E38" s="2656" t="e">
        <f>R38</f>
        <v>#DIV/0!</v>
      </c>
      <c r="F38" s="2656"/>
      <c r="G38" s="2654" t="e">
        <f>T38</f>
        <v>#DIV/0!</v>
      </c>
      <c r="H38" s="2655"/>
      <c r="I38" s="2656" t="e">
        <f>V38</f>
        <v>#DIV/0!</v>
      </c>
      <c r="J38" s="2655"/>
      <c r="K38" s="1611"/>
      <c r="L38" s="2143"/>
      <c r="M38" s="2144"/>
      <c r="N38" s="2144"/>
      <c r="O38" s="2144"/>
      <c r="P38" s="3699" t="str">
        <f>A38</f>
        <v>比较价格（元/平方米）</v>
      </c>
      <c r="Q38" s="3699"/>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1558"/>
      <c r="Y38" s="1558"/>
      <c r="Z38" s="1558"/>
      <c r="AA38" s="1558"/>
      <c r="AB38" s="1558"/>
      <c r="AC38" s="1558"/>
    </row>
    <row r="39" spans="1:29" ht="15.75" thickBot="1">
      <c r="A39" s="620" t="s">
        <v>2939</v>
      </c>
      <c r="B39" s="621"/>
      <c r="C39" s="2657" t="e">
        <f>R39</f>
        <v>#DIV/0!</v>
      </c>
      <c r="D39" s="2657"/>
      <c r="E39" s="2657"/>
      <c r="F39" s="2657"/>
      <c r="G39" s="2657"/>
      <c r="H39" s="2657"/>
      <c r="I39" s="2657"/>
      <c r="J39" s="2657"/>
      <c r="K39" s="1612"/>
      <c r="L39" s="2143"/>
      <c r="M39" s="2144"/>
      <c r="N39" s="2144"/>
      <c r="O39" s="2144"/>
      <c r="P39" s="3720" t="str">
        <f>A39</f>
        <v>估价对象XX用房的比较价格（楼面单价，元/平方米）</v>
      </c>
      <c r="Q39" s="3721"/>
      <c r="R39" s="3731" t="e">
        <f>IF(F1="售价",ROUND(AVERAGE(R38:V38),0),ROUND(AVERAGE(R38:V38),1))</f>
        <v>#DIV/0!</v>
      </c>
      <c r="S39" s="3731"/>
      <c r="T39" s="3731"/>
      <c r="U39" s="3731"/>
      <c r="V39" s="3731"/>
      <c r="W39" s="373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530</v>
      </c>
      <c r="B48" s="645"/>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59"/>
      <c r="Q48" s="2160"/>
      <c r="R48" s="2160"/>
      <c r="S48" s="2160"/>
      <c r="T48" s="2160"/>
      <c r="U48" s="2160"/>
      <c r="V48" s="2160"/>
      <c r="W48" s="2160"/>
      <c r="X48" s="2160"/>
      <c r="Y48" s="2160"/>
      <c r="Z48" s="2160"/>
      <c r="AA48" s="2160"/>
      <c r="AB48" s="2160"/>
      <c r="AC48" s="2160"/>
    </row>
    <row r="49" spans="1:29" s="1218" customFormat="1" ht="15">
      <c r="A49" s="646"/>
      <c r="B49" s="647"/>
      <c r="C49" s="2825">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2563</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18" t="s">
        <v>2564</v>
      </c>
      <c r="C67" s="2619" t="s">
        <v>2565</v>
      </c>
      <c r="D67" s="2619" t="s">
        <v>2566</v>
      </c>
      <c r="E67" s="2619" t="s">
        <v>2567</v>
      </c>
      <c r="F67" s="2619" t="s">
        <v>2568</v>
      </c>
      <c r="G67" s="2619" t="s">
        <v>2569</v>
      </c>
      <c r="H67" s="673"/>
      <c r="I67" s="673"/>
      <c r="J67" s="673"/>
      <c r="K67" s="673"/>
      <c r="L67" s="673"/>
      <c r="M67" s="2622"/>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746</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815</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816</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752</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818</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820</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821</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922"/>
      <c r="C1" s="503" t="s">
        <v>793</v>
      </c>
      <c r="D1" s="848"/>
      <c r="E1" s="505"/>
      <c r="F1" s="2829"/>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795</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796</v>
      </c>
      <c r="B3" s="509" t="e">
        <f>C37</f>
        <v>#DIV/0!</v>
      </c>
      <c r="C3" s="851" t="s">
        <v>797</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798</v>
      </c>
      <c r="B4" s="512"/>
      <c r="C4" s="3705" t="s">
        <v>799</v>
      </c>
      <c r="D4" s="3706"/>
      <c r="E4" s="3729" t="s">
        <v>800</v>
      </c>
      <c r="F4" s="3730"/>
      <c r="G4" s="3705" t="s">
        <v>801</v>
      </c>
      <c r="H4" s="3706"/>
      <c r="I4" s="3705" t="s">
        <v>802</v>
      </c>
      <c r="J4" s="3706"/>
      <c r="K4" s="513" t="s">
        <v>803</v>
      </c>
      <c r="L4" s="2132"/>
      <c r="M4" s="2133"/>
      <c r="N4" s="2133"/>
      <c r="O4" s="2133"/>
      <c r="P4" s="3707" t="s">
        <v>804</v>
      </c>
      <c r="Q4" s="3708"/>
      <c r="R4" s="3693" t="s">
        <v>800</v>
      </c>
      <c r="S4" s="3694"/>
      <c r="T4" s="3693" t="s">
        <v>801</v>
      </c>
      <c r="U4" s="3694"/>
      <c r="V4" s="3713" t="s">
        <v>802</v>
      </c>
      <c r="W4" s="3713"/>
      <c r="X4" s="1566"/>
      <c r="Y4" s="3693" t="s">
        <v>804</v>
      </c>
      <c r="Z4" s="3694"/>
      <c r="AA4" s="3688" t="s">
        <v>800</v>
      </c>
      <c r="AB4" s="3689" t="s">
        <v>801</v>
      </c>
      <c r="AC4" s="3688" t="s">
        <v>802</v>
      </c>
    </row>
    <row r="5" spans="1:29" ht="15">
      <c r="A5" s="514"/>
      <c r="B5" s="515"/>
      <c r="C5" s="3716" t="s">
        <v>2933</v>
      </c>
      <c r="D5" s="3717"/>
      <c r="E5" s="3745" t="s">
        <v>2934</v>
      </c>
      <c r="F5" s="3725"/>
      <c r="G5" s="3716" t="s">
        <v>2935</v>
      </c>
      <c r="H5" s="3717"/>
      <c r="I5" s="3716" t="s">
        <v>2936</v>
      </c>
      <c r="J5" s="3717"/>
      <c r="K5" s="513"/>
      <c r="L5" s="2132"/>
      <c r="M5" s="2133"/>
      <c r="N5" s="2133"/>
      <c r="O5" s="2133"/>
      <c r="P5" s="3709"/>
      <c r="Q5" s="3710"/>
      <c r="R5" s="3695"/>
      <c r="S5" s="3696"/>
      <c r="T5" s="3695"/>
      <c r="U5" s="3696"/>
      <c r="V5" s="3713"/>
      <c r="W5" s="3713"/>
      <c r="X5" s="1566"/>
      <c r="Y5" s="3695"/>
      <c r="Z5" s="3696"/>
      <c r="AA5" s="3689"/>
      <c r="AB5" s="3689"/>
      <c r="AC5" s="3689"/>
    </row>
    <row r="6" spans="1:29" ht="15.75" thickBot="1">
      <c r="A6" s="516"/>
      <c r="B6" s="517"/>
      <c r="C6" s="3714" t="s">
        <v>2937</v>
      </c>
      <c r="D6" s="3715"/>
      <c r="E6" s="3727" t="s">
        <v>2937</v>
      </c>
      <c r="F6" s="3728"/>
      <c r="G6" s="3714" t="s">
        <v>2937</v>
      </c>
      <c r="H6" s="3715"/>
      <c r="I6" s="3714" t="s">
        <v>2937</v>
      </c>
      <c r="J6" s="3715"/>
      <c r="K6" s="513" t="s">
        <v>529</v>
      </c>
      <c r="L6" s="2132"/>
      <c r="M6" s="2133"/>
      <c r="N6" s="2133"/>
      <c r="O6" s="2133"/>
      <c r="P6" s="3711"/>
      <c r="Q6" s="3712"/>
      <c r="R6" s="3695"/>
      <c r="S6" s="3696"/>
      <c r="T6" s="3697"/>
      <c r="U6" s="3698"/>
      <c r="V6" s="3713"/>
      <c r="W6" s="3713"/>
      <c r="X6" s="1566"/>
      <c r="Y6" s="3697"/>
      <c r="Z6" s="3698"/>
      <c r="AA6" s="3690"/>
      <c r="AB6" s="3690"/>
      <c r="AC6" s="3690"/>
    </row>
    <row r="7" spans="1:29" s="1218" customFormat="1" ht="15.75" thickBot="1">
      <c r="A7" s="2933"/>
      <c r="B7" s="2940" t="s">
        <v>530</v>
      </c>
      <c r="C7" s="518">
        <f>'数据-取费表'!B2</f>
        <v>43206</v>
      </c>
      <c r="D7" s="519">
        <v>100</v>
      </c>
      <c r="E7" s="520"/>
      <c r="F7" s="521">
        <f>SUMIF(46:46,YEAR(E7)&amp;"-"&amp;MONTH(E7),47:47)</f>
        <v>0</v>
      </c>
      <c r="G7" s="522"/>
      <c r="H7" s="519">
        <f>SUMIF(46:46,YEAR(G7)&amp;"-"&amp;MONTH(G7),47:47)</f>
        <v>0</v>
      </c>
      <c r="I7" s="522"/>
      <c r="J7" s="519">
        <f>SUMIF(46:46,YEAR(I7)&amp;"-"&amp;MONTH(I7),47:47)</f>
        <v>0</v>
      </c>
      <c r="K7" s="523"/>
      <c r="L7" s="2134"/>
      <c r="M7" s="2135"/>
      <c r="N7" s="2135"/>
      <c r="O7" s="2135"/>
      <c r="P7" s="3691" t="s">
        <v>531</v>
      </c>
      <c r="Q7" s="3700"/>
      <c r="R7" s="1567" t="s">
        <v>8</v>
      </c>
      <c r="S7" s="1568">
        <f t="shared" ref="S7:S14" si="0">F7</f>
        <v>0</v>
      </c>
      <c r="T7" s="1567" t="s">
        <v>8</v>
      </c>
      <c r="U7" s="1568">
        <f t="shared" ref="U7:U14" si="1">H7</f>
        <v>0</v>
      </c>
      <c r="V7" s="1567" t="s">
        <v>8</v>
      </c>
      <c r="W7" s="1568">
        <f t="shared" ref="W7:W14" si="2">J7</f>
        <v>0</v>
      </c>
      <c r="X7" s="1569"/>
      <c r="Y7" s="3691" t="s">
        <v>531</v>
      </c>
      <c r="Z7" s="3692"/>
      <c r="AA7" s="1570" t="e">
        <f>D7/F7</f>
        <v>#DIV/0!</v>
      </c>
      <c r="AB7" s="1570" t="e">
        <f>D7/H7</f>
        <v>#DIV/0!</v>
      </c>
      <c r="AC7" s="1570" t="e">
        <f>D7/J7</f>
        <v>#DIV/0!</v>
      </c>
    </row>
    <row r="8" spans="1:29" s="1218" customFormat="1" ht="15.75" thickBot="1">
      <c r="A8" s="2934"/>
      <c r="B8" s="2941"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691" t="s">
        <v>534</v>
      </c>
      <c r="Q8" s="3692"/>
      <c r="R8" s="1567" t="s">
        <v>8</v>
      </c>
      <c r="S8" s="1568">
        <f t="shared" si="0"/>
        <v>0</v>
      </c>
      <c r="T8" s="1567" t="s">
        <v>8</v>
      </c>
      <c r="U8" s="1568">
        <f t="shared" si="1"/>
        <v>0</v>
      </c>
      <c r="V8" s="1567" t="s">
        <v>8</v>
      </c>
      <c r="W8" s="1568">
        <f t="shared" si="2"/>
        <v>0</v>
      </c>
      <c r="X8" s="1569"/>
      <c r="Y8" s="3691" t="s">
        <v>534</v>
      </c>
      <c r="Z8" s="3692"/>
      <c r="AA8" s="1570" t="e">
        <f t="shared" ref="AA8:AA34" si="3">D8/F8</f>
        <v>#DIV/0!</v>
      </c>
      <c r="AB8" s="1570" t="e">
        <f t="shared" ref="AB8:AB34" si="4">D8/H8</f>
        <v>#DIV/0!</v>
      </c>
      <c r="AC8" s="1570" t="e">
        <f t="shared" ref="AC8:AC34" si="5">D8/J8</f>
        <v>#DIV/0!</v>
      </c>
    </row>
    <row r="9" spans="1:29" s="1218" customFormat="1" ht="15">
      <c r="A9" s="2935"/>
      <c r="B9" s="2942" t="s">
        <v>2762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699" t="s">
        <v>536</v>
      </c>
      <c r="Q9" s="1149" t="str">
        <f t="shared" ref="Q9:Q14" si="6">B9</f>
        <v>用途</v>
      </c>
      <c r="R9" s="1567" t="s">
        <v>8</v>
      </c>
      <c r="S9" s="1568">
        <f t="shared" si="0"/>
        <v>100</v>
      </c>
      <c r="T9" s="1567" t="s">
        <v>8</v>
      </c>
      <c r="U9" s="1568">
        <f t="shared" si="1"/>
        <v>100</v>
      </c>
      <c r="V9" s="1567" t="s">
        <v>8</v>
      </c>
      <c r="W9" s="1568">
        <f t="shared" si="2"/>
        <v>100</v>
      </c>
      <c r="X9" s="1569"/>
      <c r="Y9" s="3656" t="s">
        <v>537</v>
      </c>
      <c r="Z9" s="1148" t="str">
        <f t="shared" ref="Z9:Z14" si="7">Q9</f>
        <v>用途</v>
      </c>
      <c r="AA9" s="1570">
        <f t="shared" si="3"/>
        <v>1</v>
      </c>
      <c r="AB9" s="1570">
        <f t="shared" si="4"/>
        <v>1</v>
      </c>
      <c r="AC9" s="1570">
        <f t="shared" si="5"/>
        <v>1</v>
      </c>
    </row>
    <row r="10" spans="1:29" s="1336" customFormat="1" ht="27">
      <c r="A10" s="2936"/>
      <c r="B10" s="2941" t="s">
        <v>2763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699"/>
      <c r="Q10" s="1149" t="str">
        <f t="shared" si="6"/>
        <v>土地使用年限（年）</v>
      </c>
      <c r="R10" s="1567" t="s">
        <v>8</v>
      </c>
      <c r="S10" s="1568">
        <f t="shared" si="0"/>
        <v>100</v>
      </c>
      <c r="T10" s="1567" t="s">
        <v>8</v>
      </c>
      <c r="U10" s="1568">
        <f t="shared" si="1"/>
        <v>100</v>
      </c>
      <c r="V10" s="1567" t="s">
        <v>8</v>
      </c>
      <c r="W10" s="1568">
        <f t="shared" si="2"/>
        <v>100</v>
      </c>
      <c r="X10" s="1569"/>
      <c r="Y10" s="3656"/>
      <c r="Z10" s="1148" t="str">
        <f t="shared" si="7"/>
        <v>土地使用年限（年）</v>
      </c>
      <c r="AA10" s="1570">
        <f t="shared" si="3"/>
        <v>1</v>
      </c>
      <c r="AB10" s="1570">
        <f t="shared" si="4"/>
        <v>1</v>
      </c>
      <c r="AC10" s="1570">
        <f t="shared" si="5"/>
        <v>1</v>
      </c>
    </row>
    <row r="11" spans="1:29" ht="15">
      <c r="A11" s="2938"/>
      <c r="B11" s="2944">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699"/>
      <c r="Q11" s="1149">
        <f t="shared" si="6"/>
        <v>111</v>
      </c>
      <c r="R11" s="1567" t="s">
        <v>8</v>
      </c>
      <c r="S11" s="1568">
        <f t="shared" si="0"/>
        <v>100</v>
      </c>
      <c r="T11" s="1567" t="s">
        <v>8</v>
      </c>
      <c r="U11" s="1568">
        <f t="shared" si="1"/>
        <v>100</v>
      </c>
      <c r="V11" s="1567" t="s">
        <v>8</v>
      </c>
      <c r="W11" s="1568">
        <f t="shared" si="2"/>
        <v>100</v>
      </c>
      <c r="X11" s="1569"/>
      <c r="Y11" s="3656"/>
      <c r="Z11" s="1148">
        <f t="shared" si="7"/>
        <v>111</v>
      </c>
      <c r="AA11" s="1570">
        <f t="shared" si="3"/>
        <v>1</v>
      </c>
      <c r="AB11" s="1570">
        <f t="shared" si="4"/>
        <v>1</v>
      </c>
      <c r="AC11" s="1570">
        <f t="shared" si="5"/>
        <v>1</v>
      </c>
    </row>
    <row r="12" spans="1:29" s="1218" customFormat="1" ht="15">
      <c r="A12" s="2938"/>
      <c r="B12" s="2944">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699"/>
      <c r="Q12" s="1149">
        <f t="shared" si="6"/>
        <v>111</v>
      </c>
      <c r="R12" s="1567" t="s">
        <v>8</v>
      </c>
      <c r="S12" s="1568">
        <f t="shared" si="0"/>
        <v>100</v>
      </c>
      <c r="T12" s="1567" t="s">
        <v>8</v>
      </c>
      <c r="U12" s="1568">
        <f t="shared" si="1"/>
        <v>100</v>
      </c>
      <c r="V12" s="1567" t="s">
        <v>8</v>
      </c>
      <c r="W12" s="1568">
        <f t="shared" si="2"/>
        <v>100</v>
      </c>
      <c r="X12" s="1569"/>
      <c r="Y12" s="3656"/>
      <c r="Z12" s="1148">
        <f t="shared" si="7"/>
        <v>111</v>
      </c>
      <c r="AA12" s="1570">
        <f>D12/F12</f>
        <v>1</v>
      </c>
      <c r="AB12" s="1570">
        <f>D12/H12</f>
        <v>1</v>
      </c>
      <c r="AC12" s="1570">
        <f>D12/J12</f>
        <v>1</v>
      </c>
    </row>
    <row r="13" spans="1:29" ht="15.75" thickBot="1">
      <c r="A13" s="2939"/>
      <c r="B13" s="2945">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699"/>
      <c r="Q13" s="1149">
        <f t="shared" si="6"/>
        <v>111</v>
      </c>
      <c r="R13" s="1567" t="s">
        <v>8</v>
      </c>
      <c r="S13" s="1568">
        <f t="shared" si="0"/>
        <v>100</v>
      </c>
      <c r="T13" s="1567" t="s">
        <v>8</v>
      </c>
      <c r="U13" s="1568">
        <f t="shared" si="1"/>
        <v>100</v>
      </c>
      <c r="V13" s="1567" t="s">
        <v>8</v>
      </c>
      <c r="W13" s="1568">
        <f t="shared" si="2"/>
        <v>100</v>
      </c>
      <c r="X13" s="1569"/>
      <c r="Y13" s="3656"/>
      <c r="Z13" s="1148">
        <f t="shared" si="7"/>
        <v>111</v>
      </c>
      <c r="AA13" s="1570">
        <f t="shared" si="3"/>
        <v>1</v>
      </c>
      <c r="AB13" s="1570">
        <f t="shared" si="4"/>
        <v>1</v>
      </c>
      <c r="AC13" s="1570">
        <f t="shared" si="5"/>
        <v>1</v>
      </c>
    </row>
    <row r="14" spans="1:29" ht="85.5">
      <c r="A14" s="2931" t="s">
        <v>2760</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701" t="s">
        <v>541</v>
      </c>
      <c r="Q14" s="1571" t="str">
        <f t="shared" si="6"/>
        <v>交通便捷度</v>
      </c>
      <c r="R14" s="1572" t="s">
        <v>8</v>
      </c>
      <c r="S14" s="1573">
        <f t="shared" si="0"/>
        <v>100</v>
      </c>
      <c r="T14" s="1572" t="s">
        <v>8</v>
      </c>
      <c r="U14" s="1573">
        <f t="shared" si="1"/>
        <v>100</v>
      </c>
      <c r="V14" s="1572" t="s">
        <v>8</v>
      </c>
      <c r="W14" s="1573">
        <f t="shared" si="2"/>
        <v>100</v>
      </c>
      <c r="X14" s="1566"/>
      <c r="Y14" s="3701"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702"/>
      <c r="Q15" s="1571"/>
      <c r="R15" s="1572"/>
      <c r="S15" s="1573"/>
      <c r="T15" s="1572"/>
      <c r="U15" s="1573"/>
      <c r="V15" s="1572"/>
      <c r="W15" s="1573"/>
      <c r="X15" s="1566"/>
      <c r="Y15" s="3702"/>
      <c r="Z15" s="1574"/>
      <c r="AA15" s="1575">
        <v>1</v>
      </c>
      <c r="AB15" s="1575">
        <v>1</v>
      </c>
      <c r="AC15" s="1575">
        <v>1</v>
      </c>
    </row>
    <row r="16" spans="1:29" ht="42.75">
      <c r="A16" s="531"/>
      <c r="B16" s="2624" t="s">
        <v>2552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702"/>
      <c r="Q16" s="1571" t="str">
        <f>B16</f>
        <v>公共配套设施</v>
      </c>
      <c r="R16" s="1572" t="s">
        <v>8</v>
      </c>
      <c r="S16" s="1573">
        <f>F16</f>
        <v>100</v>
      </c>
      <c r="T16" s="1572" t="s">
        <v>8</v>
      </c>
      <c r="U16" s="1573">
        <f>H16</f>
        <v>100</v>
      </c>
      <c r="V16" s="1572" t="s">
        <v>8</v>
      </c>
      <c r="W16" s="1573">
        <f>J16</f>
        <v>100</v>
      </c>
      <c r="X16" s="1566"/>
      <c r="Y16" s="370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702"/>
      <c r="Q17" s="1571"/>
      <c r="R17" s="1572"/>
      <c r="S17" s="1573"/>
      <c r="T17" s="1572"/>
      <c r="U17" s="1573"/>
      <c r="V17" s="1572"/>
      <c r="W17" s="1573"/>
      <c r="X17" s="1566"/>
      <c r="Y17" s="3702"/>
      <c r="Z17" s="1574"/>
      <c r="AA17" s="1575">
        <v>1</v>
      </c>
      <c r="AB17" s="1575">
        <v>1</v>
      </c>
      <c r="AC17" s="1575">
        <v>1</v>
      </c>
    </row>
    <row r="18" spans="1:29" ht="28.5">
      <c r="A18" s="531"/>
      <c r="B18" s="2612" t="s">
        <v>2564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702"/>
      <c r="Q18" s="2600" t="str">
        <f>B18</f>
        <v>基础设施水平</v>
      </c>
      <c r="R18" s="1572" t="s">
        <v>8</v>
      </c>
      <c r="S18" s="1573">
        <f>F18</f>
        <v>100</v>
      </c>
      <c r="T18" s="1572" t="s">
        <v>8</v>
      </c>
      <c r="U18" s="1573">
        <f>H18</f>
        <v>100</v>
      </c>
      <c r="V18" s="1572" t="s">
        <v>8</v>
      </c>
      <c r="W18" s="1573">
        <f>J18</f>
        <v>100</v>
      </c>
      <c r="X18" s="2602"/>
      <c r="Y18" s="3702"/>
      <c r="Z18" s="2601"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3"/>
      <c r="L19" s="2141"/>
      <c r="M19" s="2133"/>
      <c r="N19" s="2133"/>
      <c r="O19" s="2140"/>
      <c r="P19" s="3702"/>
      <c r="Q19" s="2600"/>
      <c r="R19" s="1572"/>
      <c r="S19" s="1573"/>
      <c r="T19" s="1572"/>
      <c r="U19" s="1573"/>
      <c r="V19" s="1572"/>
      <c r="W19" s="1573"/>
      <c r="X19" s="2602"/>
      <c r="Y19" s="3702"/>
      <c r="Z19" s="2601"/>
      <c r="AA19" s="1575">
        <v>1</v>
      </c>
      <c r="AB19" s="1575">
        <v>1</v>
      </c>
      <c r="AC19" s="1575">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702"/>
      <c r="Q20" s="1571" t="str">
        <f>B20</f>
        <v>自然及人文环境</v>
      </c>
      <c r="R20" s="1572" t="s">
        <v>8</v>
      </c>
      <c r="S20" s="1573">
        <f>F20</f>
        <v>100</v>
      </c>
      <c r="T20" s="1572" t="s">
        <v>8</v>
      </c>
      <c r="U20" s="1573">
        <f>H20</f>
        <v>100</v>
      </c>
      <c r="V20" s="1572" t="s">
        <v>8</v>
      </c>
      <c r="W20" s="1573">
        <f>J20</f>
        <v>100</v>
      </c>
      <c r="X20" s="1566"/>
      <c r="Y20" s="370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702"/>
      <c r="Q21" s="1571"/>
      <c r="R21" s="1572"/>
      <c r="S21" s="1573"/>
      <c r="T21" s="1572"/>
      <c r="U21" s="1573"/>
      <c r="V21" s="1572"/>
      <c r="W21" s="1573"/>
      <c r="X21" s="1566"/>
      <c r="Y21" s="3702"/>
      <c r="Z21" s="1574"/>
      <c r="AA21" s="1575">
        <v>1</v>
      </c>
      <c r="AB21" s="1575">
        <v>1</v>
      </c>
      <c r="AC21" s="1575">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02"/>
      <c r="Q22" s="1571" t="str">
        <f>B22</f>
        <v>楼层</v>
      </c>
      <c r="R22" s="1572" t="s">
        <v>8</v>
      </c>
      <c r="S22" s="1573">
        <f>F22</f>
        <v>100</v>
      </c>
      <c r="T22" s="1572" t="s">
        <v>8</v>
      </c>
      <c r="U22" s="1573">
        <f>H22</f>
        <v>100</v>
      </c>
      <c r="V22" s="1572" t="s">
        <v>8</v>
      </c>
      <c r="W22" s="1573">
        <f>J22</f>
        <v>100</v>
      </c>
      <c r="X22" s="1566"/>
      <c r="Y22" s="370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02"/>
      <c r="Q23" s="1571">
        <f>B23</f>
        <v>111</v>
      </c>
      <c r="R23" s="1572" t="s">
        <v>8</v>
      </c>
      <c r="S23" s="1573">
        <f>F23</f>
        <v>100</v>
      </c>
      <c r="T23" s="1572" t="s">
        <v>8</v>
      </c>
      <c r="U23" s="1573">
        <f>H23</f>
        <v>100</v>
      </c>
      <c r="V23" s="1572" t="s">
        <v>8</v>
      </c>
      <c r="W23" s="1573">
        <f>J23</f>
        <v>100</v>
      </c>
      <c r="X23" s="1566"/>
      <c r="Y23" s="370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02"/>
      <c r="Q24" s="1571">
        <f t="shared" ref="Q24:Q34" si="11">B24</f>
        <v>111</v>
      </c>
      <c r="R24" s="1572" t="s">
        <v>8</v>
      </c>
      <c r="S24" s="1573">
        <f>F24</f>
        <v>100</v>
      </c>
      <c r="T24" s="1572" t="s">
        <v>8</v>
      </c>
      <c r="U24" s="1573">
        <f>H24</f>
        <v>100</v>
      </c>
      <c r="V24" s="1572" t="s">
        <v>8</v>
      </c>
      <c r="W24" s="1573">
        <f>J24</f>
        <v>100</v>
      </c>
      <c r="X24" s="1566"/>
      <c r="Y24" s="3702"/>
      <c r="Z24" s="1574">
        <f>Q24</f>
        <v>111</v>
      </c>
      <c r="AA24" s="1575">
        <f t="shared" si="3"/>
        <v>1</v>
      </c>
      <c r="AB24" s="1575">
        <f t="shared" si="4"/>
        <v>1</v>
      </c>
      <c r="AC24" s="1575">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702"/>
      <c r="Q25" s="1149">
        <f t="shared" si="11"/>
        <v>111</v>
      </c>
      <c r="R25" s="1567" t="s">
        <v>8</v>
      </c>
      <c r="S25" s="1568">
        <f>F25</f>
        <v>100</v>
      </c>
      <c r="T25" s="1567" t="s">
        <v>8</v>
      </c>
      <c r="U25" s="1568">
        <f>H25</f>
        <v>100</v>
      </c>
      <c r="V25" s="1567" t="s">
        <v>8</v>
      </c>
      <c r="W25" s="1568">
        <f>J25</f>
        <v>100</v>
      </c>
      <c r="X25" s="1569"/>
      <c r="Y25" s="3702"/>
      <c r="Z25" s="1148">
        <f>Q25</f>
        <v>111</v>
      </c>
      <c r="AA25" s="1575">
        <f>D25/F25</f>
        <v>1</v>
      </c>
      <c r="AB25" s="1575">
        <f>D25/H25</f>
        <v>1</v>
      </c>
      <c r="AC25" s="1575">
        <f>D25/J25</f>
        <v>1</v>
      </c>
    </row>
    <row r="26" spans="1:29" ht="15">
      <c r="A26" s="2929" t="s">
        <v>2761</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703"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04" t="s">
        <v>822</v>
      </c>
      <c r="Z26" s="1574" t="str">
        <f t="shared" ref="Z26:Z34" si="15">Q26</f>
        <v>公共部分装修</v>
      </c>
      <c r="AA26" s="1575">
        <f t="shared" si="3"/>
        <v>1</v>
      </c>
      <c r="AB26" s="1575">
        <f t="shared" si="4"/>
        <v>1</v>
      </c>
      <c r="AC26" s="1575">
        <f t="shared" si="5"/>
        <v>1</v>
      </c>
    </row>
    <row r="27" spans="1:29" s="1337"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704"/>
      <c r="Q27" s="1604" t="str">
        <f t="shared" si="11"/>
        <v>成新率</v>
      </c>
      <c r="R27" s="1576" t="s">
        <v>8</v>
      </c>
      <c r="S27" s="1577" t="e">
        <f t="shared" si="12"/>
        <v>#N/A</v>
      </c>
      <c r="T27" s="1576" t="s">
        <v>8</v>
      </c>
      <c r="U27" s="1577" t="e">
        <f t="shared" si="13"/>
        <v>#N/A</v>
      </c>
      <c r="V27" s="1576" t="s">
        <v>8</v>
      </c>
      <c r="W27" s="1577" t="e">
        <f t="shared" si="14"/>
        <v>#N/A</v>
      </c>
      <c r="X27" s="1578"/>
      <c r="Y27" s="3704"/>
      <c r="Z27" s="1579" t="str">
        <f t="shared" si="15"/>
        <v>成新率</v>
      </c>
      <c r="AA27" s="1575" t="e">
        <f t="shared" si="3"/>
        <v>#N/A</v>
      </c>
      <c r="AB27" s="1575" t="e">
        <f t="shared" si="4"/>
        <v>#N/A</v>
      </c>
      <c r="AC27" s="1575"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04"/>
      <c r="Q28" s="1571" t="str">
        <f t="shared" si="11"/>
        <v>物业等级</v>
      </c>
      <c r="R28" s="1572" t="s">
        <v>8</v>
      </c>
      <c r="S28" s="1573">
        <f t="shared" si="12"/>
        <v>100</v>
      </c>
      <c r="T28" s="1572" t="s">
        <v>8</v>
      </c>
      <c r="U28" s="1573">
        <f t="shared" si="13"/>
        <v>100</v>
      </c>
      <c r="V28" s="1572" t="s">
        <v>8</v>
      </c>
      <c r="W28" s="1573">
        <f t="shared" si="14"/>
        <v>100</v>
      </c>
      <c r="X28" s="1566"/>
      <c r="Y28" s="3704"/>
      <c r="Z28" s="1574" t="str">
        <f t="shared" si="15"/>
        <v>物业等级</v>
      </c>
      <c r="AA28" s="1575">
        <f t="shared" si="3"/>
        <v>1</v>
      </c>
      <c r="AB28" s="1575">
        <f t="shared" si="4"/>
        <v>1</v>
      </c>
      <c r="AC28" s="1575">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704"/>
      <c r="Q29" s="1571" t="str">
        <f t="shared" si="11"/>
        <v>有无电梯</v>
      </c>
      <c r="R29" s="1572" t="s">
        <v>8</v>
      </c>
      <c r="S29" s="1573">
        <f t="shared" si="12"/>
        <v>100</v>
      </c>
      <c r="T29" s="1572" t="s">
        <v>8</v>
      </c>
      <c r="U29" s="1573">
        <f t="shared" si="13"/>
        <v>100</v>
      </c>
      <c r="V29" s="1572" t="s">
        <v>8</v>
      </c>
      <c r="W29" s="1573">
        <f t="shared" si="14"/>
        <v>100</v>
      </c>
      <c r="X29" s="1566"/>
      <c r="Y29" s="3704"/>
      <c r="Z29" s="1574" t="str">
        <f t="shared" si="15"/>
        <v>有无电梯</v>
      </c>
      <c r="AA29" s="1575">
        <f t="shared" si="3"/>
        <v>1</v>
      </c>
      <c r="AB29" s="1575">
        <f t="shared" si="4"/>
        <v>1</v>
      </c>
      <c r="AC29" s="1575">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704"/>
      <c r="Q30" s="1571" t="str">
        <f t="shared" si="11"/>
        <v>建筑面积</v>
      </c>
      <c r="R30" s="1572" t="s">
        <v>8</v>
      </c>
      <c r="S30" s="1573" t="e">
        <f t="shared" si="12"/>
        <v>#N/A</v>
      </c>
      <c r="T30" s="1572" t="s">
        <v>8</v>
      </c>
      <c r="U30" s="1573" t="e">
        <f t="shared" si="13"/>
        <v>#N/A</v>
      </c>
      <c r="V30" s="1572" t="s">
        <v>8</v>
      </c>
      <c r="W30" s="1573" t="e">
        <f t="shared" si="14"/>
        <v>#N/A</v>
      </c>
      <c r="X30" s="1566"/>
      <c r="Y30" s="3704"/>
      <c r="Z30" s="1574" t="str">
        <f t="shared" si="15"/>
        <v>建筑面积</v>
      </c>
      <c r="AA30" s="1575" t="e">
        <f t="shared" si="3"/>
        <v>#N/A</v>
      </c>
      <c r="AB30" s="1575" t="e">
        <f t="shared" si="4"/>
        <v>#N/A</v>
      </c>
      <c r="AC30" s="1575" t="e">
        <f t="shared" si="5"/>
        <v>#N/A</v>
      </c>
    </row>
    <row r="31" spans="1:29" s="1218"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704"/>
      <c r="Q31" s="1149" t="str">
        <f t="shared" si="11"/>
        <v>是否封闭</v>
      </c>
      <c r="R31" s="1567" t="s">
        <v>8</v>
      </c>
      <c r="S31" s="1568">
        <f t="shared" si="12"/>
        <v>100</v>
      </c>
      <c r="T31" s="1567" t="s">
        <v>8</v>
      </c>
      <c r="U31" s="1568">
        <f t="shared" si="13"/>
        <v>100</v>
      </c>
      <c r="V31" s="1567" t="s">
        <v>8</v>
      </c>
      <c r="W31" s="1568">
        <f t="shared" si="14"/>
        <v>100</v>
      </c>
      <c r="X31" s="1569"/>
      <c r="Y31" s="3704"/>
      <c r="Z31" s="1148"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704" t="s">
        <v>551</v>
      </c>
      <c r="Q32" s="1571">
        <f t="shared" si="11"/>
        <v>111</v>
      </c>
      <c r="R32" s="1572" t="s">
        <v>8</v>
      </c>
      <c r="S32" s="1573">
        <f t="shared" si="12"/>
        <v>100</v>
      </c>
      <c r="T32" s="1572" t="s">
        <v>8</v>
      </c>
      <c r="U32" s="1573">
        <f t="shared" si="13"/>
        <v>100</v>
      </c>
      <c r="V32" s="1572" t="s">
        <v>8</v>
      </c>
      <c r="W32" s="1573">
        <f t="shared" si="14"/>
        <v>100</v>
      </c>
      <c r="X32" s="1566"/>
      <c r="Y32" s="3704"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704"/>
      <c r="Q33" s="1571">
        <f t="shared" si="11"/>
        <v>111</v>
      </c>
      <c r="R33" s="1572" t="s">
        <v>8</v>
      </c>
      <c r="S33" s="1573">
        <f t="shared" si="12"/>
        <v>100</v>
      </c>
      <c r="T33" s="1572" t="s">
        <v>8</v>
      </c>
      <c r="U33" s="1573">
        <f t="shared" si="13"/>
        <v>100</v>
      </c>
      <c r="V33" s="1572" t="s">
        <v>8</v>
      </c>
      <c r="W33" s="1573">
        <f t="shared" si="14"/>
        <v>100</v>
      </c>
      <c r="X33" s="1566"/>
      <c r="Y33" s="370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704"/>
      <c r="Q34" s="1571">
        <f t="shared" si="11"/>
        <v>111</v>
      </c>
      <c r="R34" s="1572" t="s">
        <v>8</v>
      </c>
      <c r="S34" s="1573">
        <f t="shared" si="12"/>
        <v>100</v>
      </c>
      <c r="T34" s="1572" t="s">
        <v>8</v>
      </c>
      <c r="U34" s="1573">
        <f t="shared" si="13"/>
        <v>100</v>
      </c>
      <c r="V34" s="1572" t="s">
        <v>8</v>
      </c>
      <c r="W34" s="1573">
        <f t="shared" si="14"/>
        <v>100</v>
      </c>
      <c r="X34" s="1566"/>
      <c r="Y34" s="3704"/>
      <c r="Z34" s="1574">
        <f t="shared" si="15"/>
        <v>111</v>
      </c>
      <c r="AA34" s="1575">
        <f t="shared" si="3"/>
        <v>1</v>
      </c>
      <c r="AB34" s="1575">
        <f t="shared" si="4"/>
        <v>1</v>
      </c>
      <c r="AC34" s="1575">
        <f t="shared" si="5"/>
        <v>1</v>
      </c>
    </row>
    <row r="35" spans="1:29" ht="15">
      <c r="A35" s="606" t="s">
        <v>737</v>
      </c>
      <c r="B35" s="886"/>
      <c r="C35" s="2648" t="s">
        <v>1</v>
      </c>
      <c r="D35" s="2649"/>
      <c r="E35" s="2650"/>
      <c r="F35" s="2651"/>
      <c r="G35" s="2652"/>
      <c r="H35" s="2653"/>
      <c r="I35" s="2650"/>
      <c r="J35" s="2653"/>
      <c r="K35" s="1610"/>
      <c r="L35" s="2143"/>
      <c r="M35" s="2144"/>
      <c r="N35" s="2133"/>
      <c r="O35" s="2144"/>
      <c r="P35" s="3699" t="str">
        <f>A35</f>
        <v>成交单价（元/平方米）</v>
      </c>
      <c r="Q35" s="3699"/>
      <c r="R35" s="3732">
        <f>E35</f>
        <v>0</v>
      </c>
      <c r="S35" s="3732"/>
      <c r="T35" s="3732">
        <f>G35</f>
        <v>0</v>
      </c>
      <c r="U35" s="3732"/>
      <c r="V35" s="3732">
        <f>I35</f>
        <v>0</v>
      </c>
      <c r="W35" s="3732"/>
      <c r="X35" s="1558"/>
      <c r="Y35" s="1580"/>
      <c r="Z35" s="1558"/>
      <c r="AA35" s="1558"/>
      <c r="AB35" s="1558"/>
      <c r="AC35" s="1558"/>
    </row>
    <row r="36" spans="1:29" ht="15.75" thickBot="1">
      <c r="A36" s="614" t="s">
        <v>2766</v>
      </c>
      <c r="B36" s="887"/>
      <c r="C36" s="2654" t="e">
        <f>R37</f>
        <v>#DIV/0!</v>
      </c>
      <c r="D36" s="2655"/>
      <c r="E36" s="2656" t="e">
        <f>R36</f>
        <v>#DIV/0!</v>
      </c>
      <c r="F36" s="2656"/>
      <c r="G36" s="2654" t="e">
        <f>T36</f>
        <v>#DIV/0!</v>
      </c>
      <c r="H36" s="2655"/>
      <c r="I36" s="2656" t="e">
        <f>V36</f>
        <v>#DIV/0!</v>
      </c>
      <c r="J36" s="2655"/>
      <c r="K36" s="1611"/>
      <c r="L36" s="2143"/>
      <c r="M36" s="2144"/>
      <c r="N36" s="2133"/>
      <c r="O36" s="2144"/>
      <c r="P36" s="3699" t="str">
        <f>A36</f>
        <v>比较价格（元/平方米）</v>
      </c>
      <c r="Q36" s="3699"/>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1558"/>
      <c r="Y36" s="1558"/>
      <c r="Z36" s="1558"/>
      <c r="AA36" s="1558"/>
      <c r="AB36" s="1558"/>
      <c r="AC36" s="1558"/>
    </row>
    <row r="37" spans="1:29" ht="15.75" thickBot="1">
      <c r="A37" s="620" t="s">
        <v>2939</v>
      </c>
      <c r="B37" s="621"/>
      <c r="C37" s="2657" t="e">
        <f>R37</f>
        <v>#DIV/0!</v>
      </c>
      <c r="D37" s="2657"/>
      <c r="E37" s="2657"/>
      <c r="F37" s="2657"/>
      <c r="G37" s="2657"/>
      <c r="H37" s="2657"/>
      <c r="I37" s="2657"/>
      <c r="J37" s="2657"/>
      <c r="K37" s="1612"/>
      <c r="L37" s="2143"/>
      <c r="M37" s="2144"/>
      <c r="N37" s="2144"/>
      <c r="O37" s="2144"/>
      <c r="P37" s="3720" t="str">
        <f>A37</f>
        <v>估价对象XX用房的比较价格（楼面单价，元/平方米）</v>
      </c>
      <c r="Q37" s="3721"/>
      <c r="R37" s="3731" t="e">
        <f>IF(F1="售价",ROUND(AVERAGE(R36:V36),0),ROUND(AVERAGE(R36:V36),1))</f>
        <v>#DIV/0!</v>
      </c>
      <c r="S37" s="3731"/>
      <c r="T37" s="3731"/>
      <c r="U37" s="3731"/>
      <c r="V37" s="3731"/>
      <c r="W37" s="373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4" t="s">
        <v>530</v>
      </c>
      <c r="B46" s="645"/>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2563</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18" t="s">
        <v>2564</v>
      </c>
      <c r="C65" s="2619" t="s">
        <v>2565</v>
      </c>
      <c r="D65" s="2619" t="s">
        <v>2566</v>
      </c>
      <c r="E65" s="2619" t="s">
        <v>2567</v>
      </c>
      <c r="F65" s="2619" t="s">
        <v>2568</v>
      </c>
      <c r="G65" s="2619" t="s">
        <v>2569</v>
      </c>
      <c r="H65" s="673"/>
      <c r="I65" s="673"/>
      <c r="J65" s="673"/>
      <c r="K65" s="673"/>
      <c r="L65" s="673"/>
      <c r="M65" s="2622"/>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745</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746</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752</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818</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826</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828</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赣州市恒臣置业有限公司：</v>
      </c>
    </row>
    <row r="4" spans="1:4" ht="37.5">
      <c r="A4" s="1790" t="str">
        <f>"受贵公司委托，我公司对"&amp;项目基本情况!K2&amp;项目基本情况!B9&amp;"进行了预评估。"</f>
        <v>受贵公司委托，我公司对江西省赣州市赣南大道南侧（原灯饰市场）地块出让国有建设用地使用权市场价格进行了预评估。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赣州市恒臣置业有限公司使用的、位于江西省赣州市赣南大道南侧（原灯饰市场）地块出让国有建设用地使用权。根据《国有建设用地使用权出让合同》及附件[电子监管号：3607822017B00480号]，估价对象（分摊）出让国有建设用地使用权面积为153875平方米。根据《赣州恒大城E-1&amp;E-2经济技术指标》，估价对象规划建筑面积为493630.89平方米。</v>
      </c>
    </row>
    <row r="7" spans="1:4" ht="56.25">
      <c r="A7" s="1794" t="s">
        <v>2753</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2018年4月16日</v>
      </c>
    </row>
    <row r="12" spans="1:4" ht="18.75">
      <c r="A12" s="1796" t="s">
        <v>2028</v>
      </c>
    </row>
    <row r="13" spans="1:4" ht="18.75">
      <c r="A13" s="1790" t="s">
        <v>2947</v>
      </c>
    </row>
    <row r="14" spans="1:4" ht="56.25">
      <c r="A14" s="1790" t="str">
        <f>"根据"&amp;项目基本情况!F12&amp;"，本次评估估价对象证载（地类）用途为"&amp;项目基本情况!B12&amp;"。"</f>
        <v>根据《国有建设用地使用权出让合同》及附件[电子监管号：3607822017B00480号]，本次评估估价对象证载（地类）用途为其他普通商品住房用地。</v>
      </c>
      <c r="C14" s="1780"/>
      <c r="D14" s="1781"/>
    </row>
    <row r="15" spans="1:4" ht="56.2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根据《赣州恒大城E-1&amp;E-2经济技术指标》，估价对象土地规划用途为住宅、商业、地下车库，上述用途符合《国有土地使用证》证载地类范围。本次评估设定用途为住宅、商业、地下车库。</v>
      </c>
      <c r="C15" s="1780"/>
      <c r="D15" s="1781"/>
    </row>
    <row r="16" spans="1:4" ht="18.75">
      <c r="A16" s="1790" t="s">
        <v>2075</v>
      </c>
    </row>
    <row r="17" spans="1:1" ht="93.7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估价委托方尚未取得《建筑工程施工许可证》，但已开始土方工程建设及建筑物建设，并建有数幢临时工程用房。。</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2076</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电子监管号：3607822017B00480号]，估价对象（分摊）出让国有建设用地使用权面积为153875平方米。根据《赣州恒大城E-1&amp;E-2经济技术指标》，估价对象规划建筑面积为493630.89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电子监管号：3607822017B00480号]、《赣州恒大城E-1&amp;E-2经济技术指标》，土地终止日期为住宅2087年8月13日、商业2057年8月13日地下车库2067年8月13日。截至估价期日，出让国有建设用地使用权剩余土地使用年限为住宅69.4年、商业39.4年、地下车库49.4年。</v>
      </c>
    </row>
    <row r="23" spans="1:1" ht="37.5">
      <c r="A23" s="1790" t="str">
        <f>IF(项目基本情况!B16="出让","本次评估设定估价对象剩余土地使用年限为"&amp;项目基本情况!D20&amp;"。","")</f>
        <v>本次评估设定估价对象剩余土地使用年限为住宅69.4年、商业39.4年、地下车库49.4年。</v>
      </c>
    </row>
    <row r="24" spans="1:1" ht="18.75">
      <c r="A24" s="1790" t="s">
        <v>2078</v>
      </c>
    </row>
    <row r="25" spans="1:1" ht="93.75">
      <c r="A25" s="1790" t="str">
        <f>定义!C53</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住宅、商业、地下车库，剩余土地使用年限为住宅69.4年、商业39.4年、地下车库49.4年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2" sqref="S2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2306</v>
      </c>
      <c r="C1" s="3810" t="s">
        <v>2307</v>
      </c>
      <c r="D1" s="3811"/>
      <c r="E1" s="3811"/>
      <c r="F1" s="3811"/>
      <c r="G1" s="3811"/>
      <c r="H1" s="3811"/>
      <c r="I1" s="3811"/>
      <c r="J1" s="3811"/>
      <c r="K1" s="3811"/>
      <c r="L1" s="3811"/>
      <c r="M1" s="3811"/>
      <c r="N1" s="3811"/>
      <c r="O1" s="3811"/>
      <c r="P1" s="3811"/>
      <c r="Q1" s="3811"/>
      <c r="R1" s="3811"/>
      <c r="S1" s="3812"/>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38.25">
      <c r="A2" s="2234"/>
      <c r="B2" s="948" t="s">
        <v>2309</v>
      </c>
      <c r="C2" s="949" t="str">
        <f t="shared" ref="C2:L2" si="0">C3&amp;"(含)"&amp;"-"&amp;D3</f>
        <v>0(含)-500</v>
      </c>
      <c r="D2" s="950" t="str">
        <f t="shared" si="0"/>
        <v>500(含)-1000</v>
      </c>
      <c r="E2" s="950" t="str">
        <f t="shared" si="0"/>
        <v>1000(含)-1500</v>
      </c>
      <c r="F2" s="950" t="str">
        <f t="shared" si="0"/>
        <v>1500(含)-2000</v>
      </c>
      <c r="G2" s="950" t="str">
        <f t="shared" si="0"/>
        <v>2000(含)-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ht="14.25">
      <c r="A3" s="2237"/>
      <c r="B3" s="952"/>
      <c r="C3" s="729">
        <v>0</v>
      </c>
      <c r="D3" s="729">
        <v>500</v>
      </c>
      <c r="E3" s="729">
        <v>1000</v>
      </c>
      <c r="F3" s="729">
        <v>1500</v>
      </c>
      <c r="G3" s="729">
        <v>2000</v>
      </c>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5" thickBot="1">
      <c r="A4" s="2242"/>
      <c r="B4" s="2243"/>
      <c r="C4" s="691">
        <v>100</v>
      </c>
      <c r="D4" s="670">
        <v>99</v>
      </c>
      <c r="E4" s="691">
        <v>98</v>
      </c>
      <c r="F4" s="670">
        <v>97</v>
      </c>
      <c r="G4" s="670">
        <v>96</v>
      </c>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ht="13.5" thickTop="1">
      <c r="A5" s="2250"/>
      <c r="B5" s="3111" t="s">
        <v>2932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2931</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2930</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2945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2929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2928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ht="42" thickTop="1">
      <c r="A17" s="2276" t="s">
        <v>2310</v>
      </c>
      <c r="B17" s="2277" t="s">
        <v>2311</v>
      </c>
      <c r="C17" s="687" t="s">
        <v>3400</v>
      </c>
      <c r="D17" s="687" t="s">
        <v>3401</v>
      </c>
      <c r="E17" s="687" t="s">
        <v>3402</v>
      </c>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6"/>
      <c r="AS17" s="2236"/>
    </row>
    <row r="18" spans="1:45" s="1969" customFormat="1" ht="15" thickBot="1">
      <c r="A18" s="2287"/>
      <c r="B18" s="2288"/>
      <c r="C18" s="670">
        <v>100</v>
      </c>
      <c r="D18" s="670">
        <v>70</v>
      </c>
      <c r="E18" s="670">
        <v>60</v>
      </c>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8" t="s">
        <v>829</v>
      </c>
      <c r="B20" s="774">
        <f>S22</f>
        <v>4930</v>
      </c>
      <c r="C20" s="1989"/>
      <c r="D20" s="1989"/>
      <c r="E20" s="1989"/>
      <c r="F20" s="1989"/>
      <c r="G20" s="1989"/>
      <c r="H20" s="1989"/>
      <c r="I20" s="1989"/>
      <c r="J20" s="1989"/>
      <c r="K20" s="1989"/>
      <c r="L20" s="1989"/>
      <c r="M20" s="1989"/>
      <c r="N20" s="1989"/>
      <c r="O20" s="1989"/>
      <c r="P20" s="1989"/>
      <c r="Q20" s="1989"/>
      <c r="R20" s="2224"/>
      <c r="S20" s="2027"/>
    </row>
    <row r="21" spans="1:45" ht="15.75">
      <c r="A21" s="958" t="s">
        <v>830</v>
      </c>
      <c r="B21" s="774">
        <f>R22</f>
        <v>19149</v>
      </c>
      <c r="C21" s="1989"/>
      <c r="D21" s="1989"/>
      <c r="E21" s="1989"/>
      <c r="F21" s="1989"/>
      <c r="G21" s="1989"/>
      <c r="H21" s="1989"/>
      <c r="I21" s="1989"/>
      <c r="J21" s="1989"/>
      <c r="K21" s="1989"/>
      <c r="L21" s="1989"/>
      <c r="M21" s="1989"/>
      <c r="N21" s="1989"/>
      <c r="O21" s="1989"/>
      <c r="P21" s="1989"/>
      <c r="Q21" s="1989"/>
      <c r="R21" s="2224"/>
      <c r="S21" s="2027"/>
    </row>
    <row r="22" spans="1:45">
      <c r="A22" s="798" t="s">
        <v>831</v>
      </c>
      <c r="B22" s="53">
        <f>SUM(B24:B10000)</f>
        <v>2574.56</v>
      </c>
      <c r="C22" s="3807" t="s">
        <v>20</v>
      </c>
      <c r="D22" s="3808"/>
      <c r="E22" s="3808"/>
      <c r="F22" s="3808"/>
      <c r="G22" s="3808"/>
      <c r="H22" s="3808"/>
      <c r="I22" s="3808"/>
      <c r="J22" s="3808"/>
      <c r="K22" s="3808"/>
      <c r="L22" s="3808"/>
      <c r="M22" s="3808"/>
      <c r="N22" s="3808"/>
      <c r="O22" s="3808"/>
      <c r="P22" s="3808"/>
      <c r="Q22" s="3809"/>
      <c r="R22" s="489">
        <f>ROUND(S22*10000/B22,0)</f>
        <v>19149</v>
      </c>
      <c r="S22" s="53">
        <f>SUM(S24:S10000)</f>
        <v>4930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4" customFormat="1">
      <c r="A24" s="959" t="s">
        <v>837</v>
      </c>
      <c r="B24" s="959">
        <f>'不动产比较法-商业'!C33</f>
        <v>1287.28</v>
      </c>
      <c r="C24" s="960">
        <v>1</v>
      </c>
      <c r="D24" s="961"/>
      <c r="E24" s="960">
        <v>1</v>
      </c>
      <c r="F24" s="961"/>
      <c r="G24" s="960">
        <v>1</v>
      </c>
      <c r="H24" s="961"/>
      <c r="I24" s="960">
        <v>1</v>
      </c>
      <c r="J24" s="961"/>
      <c r="K24" s="960">
        <v>1</v>
      </c>
      <c r="L24" s="961"/>
      <c r="M24" s="960">
        <v>1</v>
      </c>
      <c r="N24" s="961"/>
      <c r="O24" s="960">
        <v>1</v>
      </c>
      <c r="P24" s="961" t="s">
        <v>3430</v>
      </c>
      <c r="Q24" s="960">
        <v>1</v>
      </c>
      <c r="R24" s="962">
        <f>'不动产比较法-商业'!C49</f>
        <v>22527</v>
      </c>
      <c r="S24" s="960">
        <f t="shared" ref="S24:S54" si="11">ROUND(R24*B24/10000,0)</f>
        <v>2900</v>
      </c>
      <c r="T24" s="1972"/>
      <c r="U24" s="1972"/>
      <c r="V24" s="1972"/>
      <c r="W24" s="1972"/>
      <c r="X24" s="1972"/>
      <c r="Y24" s="1972"/>
      <c r="Z24" s="1972"/>
      <c r="AA24" s="1972"/>
      <c r="AB24" s="1972"/>
      <c r="AC24" s="1972"/>
      <c r="AD24" s="1972"/>
      <c r="AE24" s="1972"/>
      <c r="AF24" s="1972"/>
      <c r="AG24" s="1972"/>
      <c r="AH24" s="1972"/>
      <c r="AI24" s="1972"/>
    </row>
    <row r="25" spans="1:45">
      <c r="A25" s="963"/>
      <c r="B25" s="137">
        <f>B24</f>
        <v>1287.28</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t="s">
        <v>3443</v>
      </c>
      <c r="Q25" s="53">
        <f>(SUMIF($17:$17,P25,$18:$18)-SUMIF($17:$17,$P$24,$18:$18)+100)/100</f>
        <v>0.7</v>
      </c>
      <c r="R25" s="489">
        <f>IF(B25="",0,ROUND($R$24*C25*E25*G25*I25*K25*M25*O25*Q25,0))</f>
        <v>15769</v>
      </c>
      <c r="S25" s="798">
        <f t="shared" si="11"/>
        <v>2030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0</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0</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2794</v>
      </c>
      <c r="C1" s="3025">
        <f>项目基本情况!D3</f>
        <v>43206</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2825</v>
      </c>
      <c r="C2" s="3026">
        <f>'数据-取费表'!B22</f>
        <v>2.5</v>
      </c>
      <c r="D2" s="3021" t="s">
        <v>2795</v>
      </c>
      <c r="E2" s="3024">
        <f ca="1">INDIRECT("I"&amp;$I$1)/100</f>
        <v>4.7500000000000001E-2</v>
      </c>
      <c r="G2" s="2961"/>
      <c r="H2" s="2961"/>
      <c r="I2" s="2961" t="s">
        <v>2796</v>
      </c>
      <c r="K2" s="2961"/>
      <c r="L2" s="2961"/>
      <c r="M2" s="2961"/>
      <c r="N2" s="2961" t="s">
        <v>2797</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2827</v>
      </c>
      <c r="C3" s="3023">
        <f>'数据-取费表'!B19</f>
        <v>0</v>
      </c>
      <c r="D3" s="3021" t="s">
        <v>2795</v>
      </c>
      <c r="E3" s="3024">
        <f ca="1">INDIRECT("J"&amp;$J$1)/100</f>
        <v>0</v>
      </c>
      <c r="G3" s="2963" t="s">
        <v>2798</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2826</v>
      </c>
      <c r="C4" s="3024">
        <f ca="1">N4/100</f>
        <v>1.4999999999999999E-2</v>
      </c>
      <c r="G4" s="2969" t="s">
        <v>2799</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2800</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2801</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2802</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2803</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2804</v>
      </c>
      <c r="C10" s="2988"/>
      <c r="D10" s="2988"/>
      <c r="E10" s="2988"/>
      <c r="F10" s="2988"/>
      <c r="G10" s="2988"/>
      <c r="H10" s="2988"/>
      <c r="I10" s="2962"/>
      <c r="J10" s="2962"/>
      <c r="K10" s="2988"/>
      <c r="L10" s="2989" t="s">
        <v>2805</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2806</v>
      </c>
      <c r="C11" s="2993" t="s">
        <v>2807</v>
      </c>
      <c r="D11" s="2994" t="s">
        <v>2808</v>
      </c>
      <c r="E11" s="2995"/>
      <c r="F11" s="2994" t="s">
        <v>2809</v>
      </c>
      <c r="G11" s="2996"/>
      <c r="H11" s="2995"/>
      <c r="I11" s="2994" t="s">
        <v>2810</v>
      </c>
      <c r="J11" s="2995"/>
      <c r="K11" s="2991"/>
      <c r="L11" s="2992" t="s">
        <v>2806</v>
      </c>
      <c r="M11" s="2993" t="s">
        <v>2807</v>
      </c>
      <c r="N11" s="2992" t="s">
        <v>2811</v>
      </c>
      <c r="O11" s="2994" t="s">
        <v>2812</v>
      </c>
      <c r="P11" s="2996"/>
      <c r="Q11" s="2996"/>
      <c r="R11" s="2996"/>
      <c r="S11" s="2996"/>
      <c r="T11" s="2995"/>
      <c r="U11" s="2994" t="s">
        <v>2813</v>
      </c>
      <c r="V11" s="2996"/>
      <c r="W11" s="2995"/>
      <c r="X11" s="2992" t="s">
        <v>2814</v>
      </c>
      <c r="Y11" s="2992" t="s">
        <v>2815</v>
      </c>
      <c r="Z11" s="2992" t="s">
        <v>2816</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2817</v>
      </c>
      <c r="E12" s="3001" t="s">
        <v>2818</v>
      </c>
      <c r="F12" s="3001" t="s">
        <v>2819</v>
      </c>
      <c r="G12" s="3001" t="s">
        <v>2820</v>
      </c>
      <c r="H12" s="3001" t="s">
        <v>2802</v>
      </c>
      <c r="I12" s="3002" t="s">
        <v>2821</v>
      </c>
      <c r="J12" s="3002" t="s">
        <v>2821</v>
      </c>
      <c r="K12" s="2998"/>
      <c r="L12" s="2999"/>
      <c r="M12" s="3000"/>
      <c r="N12" s="2999"/>
      <c r="O12" s="3002" t="s">
        <v>2822</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2823</v>
      </c>
      <c r="C13" s="3006">
        <v>42301</v>
      </c>
      <c r="D13" s="3007">
        <v>4.3499999999999996</v>
      </c>
      <c r="E13" s="3007">
        <v>4.3499999999999996</v>
      </c>
      <c r="F13" s="3007">
        <v>4.75</v>
      </c>
      <c r="G13" s="3007">
        <v>4.75</v>
      </c>
      <c r="H13" s="3007">
        <v>4.9000000000000004</v>
      </c>
      <c r="I13" s="3007">
        <v>2.75</v>
      </c>
      <c r="J13" s="3007">
        <v>3.25</v>
      </c>
      <c r="K13" s="3004"/>
      <c r="L13" s="3005" t="s">
        <v>2823</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2824</v>
      </c>
      <c r="Y42" s="3011" t="s">
        <v>2824</v>
      </c>
      <c r="Z42" s="3011" t="s">
        <v>2824</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2824</v>
      </c>
      <c r="Y43" s="3011" t="s">
        <v>2824</v>
      </c>
      <c r="Z43" s="3011" t="s">
        <v>2824</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2824</v>
      </c>
      <c r="Y44" s="3011" t="s">
        <v>2824</v>
      </c>
      <c r="Z44" s="3011" t="s">
        <v>2824</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2824</v>
      </c>
      <c r="Y45" s="3011" t="s">
        <v>2824</v>
      </c>
      <c r="Z45" s="3011" t="s">
        <v>2824</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2824</v>
      </c>
      <c r="Y46" s="3011" t="s">
        <v>2824</v>
      </c>
      <c r="Z46" s="3011" t="s">
        <v>2824</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2824</v>
      </c>
      <c r="Y47" s="3011" t="s">
        <v>2824</v>
      </c>
      <c r="Z47" s="3011" t="s">
        <v>2824</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2824</v>
      </c>
      <c r="Y48" s="3011" t="s">
        <v>2824</v>
      </c>
      <c r="Z48" s="3011" t="s">
        <v>2824</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2824</v>
      </c>
      <c r="Y49" s="3011" t="s">
        <v>2824</v>
      </c>
      <c r="Z49" s="3011" t="s">
        <v>2824</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2824</v>
      </c>
      <c r="Y50" s="3011" t="s">
        <v>2824</v>
      </c>
      <c r="Z50" s="3011" t="s">
        <v>2824</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2824</v>
      </c>
      <c r="V51" s="3011" t="s">
        <v>2824</v>
      </c>
      <c r="W51" s="3011" t="s">
        <v>2824</v>
      </c>
      <c r="X51" s="3011" t="s">
        <v>2824</v>
      </c>
      <c r="Y51" s="3011" t="s">
        <v>2824</v>
      </c>
      <c r="Z51" s="3011" t="s">
        <v>2824</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2824</v>
      </c>
      <c r="J55" s="3011" t="s">
        <v>2824</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topLeftCell="A94" workbookViewId="0">
      <selection activeCell="E39" sqref="E39"/>
    </sheetView>
  </sheetViews>
  <sheetFormatPr defaultRowHeight="13.5"/>
  <cols>
    <col min="1" max="1" width="35.875" style="2960" customWidth="1"/>
    <col min="2" max="2" width="17.625" style="2960" customWidth="1"/>
    <col min="3" max="3" width="13.875" style="2960" customWidth="1"/>
    <col min="4" max="4" width="21.875" style="2960" customWidth="1"/>
    <col min="5" max="5" width="25.25" style="2960" customWidth="1"/>
    <col min="6" max="6" width="15.75" style="2960" customWidth="1"/>
    <col min="7" max="7" width="44.125" style="2960" customWidth="1"/>
    <col min="8" max="8" width="9" style="2960" customWidth="1"/>
    <col min="9" max="9" width="18.5" style="2960" customWidth="1"/>
    <col min="10" max="11" width="10.625" style="2960" customWidth="1"/>
    <col min="12" max="12" width="16" style="2960" customWidth="1"/>
    <col min="13" max="13" width="14.375" style="2960" customWidth="1"/>
    <col min="14" max="14" width="6.25" style="2960" customWidth="1"/>
    <col min="15" max="256" width="9" style="2960"/>
    <col min="257" max="257" width="35.875" style="2960" customWidth="1"/>
    <col min="258" max="258" width="13" style="2960" customWidth="1"/>
    <col min="259" max="259" width="13.875" style="2960" customWidth="1"/>
    <col min="260" max="260" width="11.75" style="2960" customWidth="1"/>
    <col min="261" max="261" width="13.875" style="2960" customWidth="1"/>
    <col min="262" max="262" width="42.75" style="2960" customWidth="1"/>
    <col min="263" max="263" width="19.125" style="2960" customWidth="1"/>
    <col min="264" max="264" width="9" style="2960" customWidth="1"/>
    <col min="265" max="265" width="43.625" style="2960" customWidth="1"/>
    <col min="266" max="267" width="10.625" style="2960" customWidth="1"/>
    <col min="268" max="268" width="16" style="2960" customWidth="1"/>
    <col min="269" max="269" width="14.375" style="2960" customWidth="1"/>
    <col min="270" max="270" width="6.25" style="2960" customWidth="1"/>
    <col min="271" max="512" width="9" style="2960"/>
    <col min="513" max="513" width="35.875" style="2960" customWidth="1"/>
    <col min="514" max="514" width="13" style="2960" customWidth="1"/>
    <col min="515" max="515" width="13.875" style="2960" customWidth="1"/>
    <col min="516" max="516" width="11.75" style="2960" customWidth="1"/>
    <col min="517" max="517" width="13.875" style="2960" customWidth="1"/>
    <col min="518" max="518" width="42.75" style="2960" customWidth="1"/>
    <col min="519" max="519" width="19.125" style="2960" customWidth="1"/>
    <col min="520" max="520" width="9" style="2960" customWidth="1"/>
    <col min="521" max="521" width="43.625" style="2960" customWidth="1"/>
    <col min="522" max="523" width="10.625" style="2960" customWidth="1"/>
    <col min="524" max="524" width="16" style="2960" customWidth="1"/>
    <col min="525" max="525" width="14.375" style="2960" customWidth="1"/>
    <col min="526" max="526" width="6.25" style="2960" customWidth="1"/>
    <col min="527" max="768" width="9" style="2960"/>
    <col min="769" max="769" width="35.875" style="2960" customWidth="1"/>
    <col min="770" max="770" width="13" style="2960" customWidth="1"/>
    <col min="771" max="771" width="13.875" style="2960" customWidth="1"/>
    <col min="772" max="772" width="11.75" style="2960" customWidth="1"/>
    <col min="773" max="773" width="13.875" style="2960" customWidth="1"/>
    <col min="774" max="774" width="42.75" style="2960" customWidth="1"/>
    <col min="775" max="775" width="19.125" style="2960" customWidth="1"/>
    <col min="776" max="776" width="9" style="2960" customWidth="1"/>
    <col min="777" max="777" width="43.625" style="2960" customWidth="1"/>
    <col min="778" max="779" width="10.625" style="2960" customWidth="1"/>
    <col min="780" max="780" width="16" style="2960" customWidth="1"/>
    <col min="781" max="781" width="14.375" style="2960" customWidth="1"/>
    <col min="782" max="782" width="6.25" style="2960" customWidth="1"/>
    <col min="783" max="1024" width="9" style="2960"/>
    <col min="1025" max="1025" width="35.875" style="2960" customWidth="1"/>
    <col min="1026" max="1026" width="13" style="2960" customWidth="1"/>
    <col min="1027" max="1027" width="13.875" style="2960" customWidth="1"/>
    <col min="1028" max="1028" width="11.75" style="2960" customWidth="1"/>
    <col min="1029" max="1029" width="13.875" style="2960" customWidth="1"/>
    <col min="1030" max="1030" width="42.75" style="2960" customWidth="1"/>
    <col min="1031" max="1031" width="19.125" style="2960" customWidth="1"/>
    <col min="1032" max="1032" width="9" style="2960" customWidth="1"/>
    <col min="1033" max="1033" width="43.625" style="2960" customWidth="1"/>
    <col min="1034" max="1035" width="10.625" style="2960" customWidth="1"/>
    <col min="1036" max="1036" width="16" style="2960" customWidth="1"/>
    <col min="1037" max="1037" width="14.375" style="2960" customWidth="1"/>
    <col min="1038" max="1038" width="6.25" style="2960" customWidth="1"/>
    <col min="1039" max="1280" width="9" style="2960"/>
    <col min="1281" max="1281" width="35.875" style="2960" customWidth="1"/>
    <col min="1282" max="1282" width="13" style="2960" customWidth="1"/>
    <col min="1283" max="1283" width="13.875" style="2960" customWidth="1"/>
    <col min="1284" max="1284" width="11.75" style="2960" customWidth="1"/>
    <col min="1285" max="1285" width="13.875" style="2960" customWidth="1"/>
    <col min="1286" max="1286" width="42.75" style="2960" customWidth="1"/>
    <col min="1287" max="1287" width="19.125" style="2960" customWidth="1"/>
    <col min="1288" max="1288" width="9" style="2960" customWidth="1"/>
    <col min="1289" max="1289" width="43.625" style="2960" customWidth="1"/>
    <col min="1290" max="1291" width="10.625" style="2960" customWidth="1"/>
    <col min="1292" max="1292" width="16" style="2960" customWidth="1"/>
    <col min="1293" max="1293" width="14.375" style="2960" customWidth="1"/>
    <col min="1294" max="1294" width="6.25" style="2960" customWidth="1"/>
    <col min="1295" max="1536" width="9" style="2960"/>
    <col min="1537" max="1537" width="35.875" style="2960" customWidth="1"/>
    <col min="1538" max="1538" width="13" style="2960" customWidth="1"/>
    <col min="1539" max="1539" width="13.875" style="2960" customWidth="1"/>
    <col min="1540" max="1540" width="11.75" style="2960" customWidth="1"/>
    <col min="1541" max="1541" width="13.875" style="2960" customWidth="1"/>
    <col min="1542" max="1542" width="42.75" style="2960" customWidth="1"/>
    <col min="1543" max="1543" width="19.125" style="2960" customWidth="1"/>
    <col min="1544" max="1544" width="9" style="2960" customWidth="1"/>
    <col min="1545" max="1545" width="43.625" style="2960" customWidth="1"/>
    <col min="1546" max="1547" width="10.625" style="2960" customWidth="1"/>
    <col min="1548" max="1548" width="16" style="2960" customWidth="1"/>
    <col min="1549" max="1549" width="14.375" style="2960" customWidth="1"/>
    <col min="1550" max="1550" width="6.25" style="2960" customWidth="1"/>
    <col min="1551" max="1792" width="9" style="2960"/>
    <col min="1793" max="1793" width="35.875" style="2960" customWidth="1"/>
    <col min="1794" max="1794" width="13" style="2960" customWidth="1"/>
    <col min="1795" max="1795" width="13.875" style="2960" customWidth="1"/>
    <col min="1796" max="1796" width="11.75" style="2960" customWidth="1"/>
    <col min="1797" max="1797" width="13.875" style="2960" customWidth="1"/>
    <col min="1798" max="1798" width="42.75" style="2960" customWidth="1"/>
    <col min="1799" max="1799" width="19.125" style="2960" customWidth="1"/>
    <col min="1800" max="1800" width="9" style="2960" customWidth="1"/>
    <col min="1801" max="1801" width="43.625" style="2960" customWidth="1"/>
    <col min="1802" max="1803" width="10.625" style="2960" customWidth="1"/>
    <col min="1804" max="1804" width="16" style="2960" customWidth="1"/>
    <col min="1805" max="1805" width="14.375" style="2960" customWidth="1"/>
    <col min="1806" max="1806" width="6.25" style="2960" customWidth="1"/>
    <col min="1807" max="2048" width="9" style="2960"/>
    <col min="2049" max="2049" width="35.875" style="2960" customWidth="1"/>
    <col min="2050" max="2050" width="13" style="2960" customWidth="1"/>
    <col min="2051" max="2051" width="13.875" style="2960" customWidth="1"/>
    <col min="2052" max="2052" width="11.75" style="2960" customWidth="1"/>
    <col min="2053" max="2053" width="13.875" style="2960" customWidth="1"/>
    <col min="2054" max="2054" width="42.75" style="2960" customWidth="1"/>
    <col min="2055" max="2055" width="19.125" style="2960" customWidth="1"/>
    <col min="2056" max="2056" width="9" style="2960" customWidth="1"/>
    <col min="2057" max="2057" width="43.625" style="2960" customWidth="1"/>
    <col min="2058" max="2059" width="10.625" style="2960" customWidth="1"/>
    <col min="2060" max="2060" width="16" style="2960" customWidth="1"/>
    <col min="2061" max="2061" width="14.375" style="2960" customWidth="1"/>
    <col min="2062" max="2062" width="6.25" style="2960" customWidth="1"/>
    <col min="2063" max="2304" width="9" style="2960"/>
    <col min="2305" max="2305" width="35.875" style="2960" customWidth="1"/>
    <col min="2306" max="2306" width="13" style="2960" customWidth="1"/>
    <col min="2307" max="2307" width="13.875" style="2960" customWidth="1"/>
    <col min="2308" max="2308" width="11.75" style="2960" customWidth="1"/>
    <col min="2309" max="2309" width="13.875" style="2960" customWidth="1"/>
    <col min="2310" max="2310" width="42.75" style="2960" customWidth="1"/>
    <col min="2311" max="2311" width="19.125" style="2960" customWidth="1"/>
    <col min="2312" max="2312" width="9" style="2960" customWidth="1"/>
    <col min="2313" max="2313" width="43.625" style="2960" customWidth="1"/>
    <col min="2314" max="2315" width="10.625" style="2960" customWidth="1"/>
    <col min="2316" max="2316" width="16" style="2960" customWidth="1"/>
    <col min="2317" max="2317" width="14.375" style="2960" customWidth="1"/>
    <col min="2318" max="2318" width="6.25" style="2960" customWidth="1"/>
    <col min="2319" max="2560" width="9" style="2960"/>
    <col min="2561" max="2561" width="35.875" style="2960" customWidth="1"/>
    <col min="2562" max="2562" width="13" style="2960" customWidth="1"/>
    <col min="2563" max="2563" width="13.875" style="2960" customWidth="1"/>
    <col min="2564" max="2564" width="11.75" style="2960" customWidth="1"/>
    <col min="2565" max="2565" width="13.875" style="2960" customWidth="1"/>
    <col min="2566" max="2566" width="42.75" style="2960" customWidth="1"/>
    <col min="2567" max="2567" width="19.125" style="2960" customWidth="1"/>
    <col min="2568" max="2568" width="9" style="2960" customWidth="1"/>
    <col min="2569" max="2569" width="43.625" style="2960" customWidth="1"/>
    <col min="2570" max="2571" width="10.625" style="2960" customWidth="1"/>
    <col min="2572" max="2572" width="16" style="2960" customWidth="1"/>
    <col min="2573" max="2573" width="14.375" style="2960" customWidth="1"/>
    <col min="2574" max="2574" width="6.25" style="2960" customWidth="1"/>
    <col min="2575" max="2816" width="9" style="2960"/>
    <col min="2817" max="2817" width="35.875" style="2960" customWidth="1"/>
    <col min="2818" max="2818" width="13" style="2960" customWidth="1"/>
    <col min="2819" max="2819" width="13.875" style="2960" customWidth="1"/>
    <col min="2820" max="2820" width="11.75" style="2960" customWidth="1"/>
    <col min="2821" max="2821" width="13.875" style="2960" customWidth="1"/>
    <col min="2822" max="2822" width="42.75" style="2960" customWidth="1"/>
    <col min="2823" max="2823" width="19.125" style="2960" customWidth="1"/>
    <col min="2824" max="2824" width="9" style="2960" customWidth="1"/>
    <col min="2825" max="2825" width="43.625" style="2960" customWidth="1"/>
    <col min="2826" max="2827" width="10.625" style="2960" customWidth="1"/>
    <col min="2828" max="2828" width="16" style="2960" customWidth="1"/>
    <col min="2829" max="2829" width="14.375" style="2960" customWidth="1"/>
    <col min="2830" max="2830" width="6.25" style="2960" customWidth="1"/>
    <col min="2831" max="3072" width="9" style="2960"/>
    <col min="3073" max="3073" width="35.875" style="2960" customWidth="1"/>
    <col min="3074" max="3074" width="13" style="2960" customWidth="1"/>
    <col min="3075" max="3075" width="13.875" style="2960" customWidth="1"/>
    <col min="3076" max="3076" width="11.75" style="2960" customWidth="1"/>
    <col min="3077" max="3077" width="13.875" style="2960" customWidth="1"/>
    <col min="3078" max="3078" width="42.75" style="2960" customWidth="1"/>
    <col min="3079" max="3079" width="19.125" style="2960" customWidth="1"/>
    <col min="3080" max="3080" width="9" style="2960" customWidth="1"/>
    <col min="3081" max="3081" width="43.625" style="2960" customWidth="1"/>
    <col min="3082" max="3083" width="10.625" style="2960" customWidth="1"/>
    <col min="3084" max="3084" width="16" style="2960" customWidth="1"/>
    <col min="3085" max="3085" width="14.375" style="2960" customWidth="1"/>
    <col min="3086" max="3086" width="6.25" style="2960" customWidth="1"/>
    <col min="3087" max="3328" width="9" style="2960"/>
    <col min="3329" max="3329" width="35.875" style="2960" customWidth="1"/>
    <col min="3330" max="3330" width="13" style="2960" customWidth="1"/>
    <col min="3331" max="3331" width="13.875" style="2960" customWidth="1"/>
    <col min="3332" max="3332" width="11.75" style="2960" customWidth="1"/>
    <col min="3333" max="3333" width="13.875" style="2960" customWidth="1"/>
    <col min="3334" max="3334" width="42.75" style="2960" customWidth="1"/>
    <col min="3335" max="3335" width="19.125" style="2960" customWidth="1"/>
    <col min="3336" max="3336" width="9" style="2960" customWidth="1"/>
    <col min="3337" max="3337" width="43.625" style="2960" customWidth="1"/>
    <col min="3338" max="3339" width="10.625" style="2960" customWidth="1"/>
    <col min="3340" max="3340" width="16" style="2960" customWidth="1"/>
    <col min="3341" max="3341" width="14.375" style="2960" customWidth="1"/>
    <col min="3342" max="3342" width="6.25" style="2960" customWidth="1"/>
    <col min="3343" max="3584" width="9" style="2960"/>
    <col min="3585" max="3585" width="35.875" style="2960" customWidth="1"/>
    <col min="3586" max="3586" width="13" style="2960" customWidth="1"/>
    <col min="3587" max="3587" width="13.875" style="2960" customWidth="1"/>
    <col min="3588" max="3588" width="11.75" style="2960" customWidth="1"/>
    <col min="3589" max="3589" width="13.875" style="2960" customWidth="1"/>
    <col min="3590" max="3590" width="42.75" style="2960" customWidth="1"/>
    <col min="3591" max="3591" width="19.125" style="2960" customWidth="1"/>
    <col min="3592" max="3592" width="9" style="2960" customWidth="1"/>
    <col min="3593" max="3593" width="43.625" style="2960" customWidth="1"/>
    <col min="3594" max="3595" width="10.625" style="2960" customWidth="1"/>
    <col min="3596" max="3596" width="16" style="2960" customWidth="1"/>
    <col min="3597" max="3597" width="14.375" style="2960" customWidth="1"/>
    <col min="3598" max="3598" width="6.25" style="2960" customWidth="1"/>
    <col min="3599" max="3840" width="9" style="2960"/>
    <col min="3841" max="3841" width="35.875" style="2960" customWidth="1"/>
    <col min="3842" max="3842" width="13" style="2960" customWidth="1"/>
    <col min="3843" max="3843" width="13.875" style="2960" customWidth="1"/>
    <col min="3844" max="3844" width="11.75" style="2960" customWidth="1"/>
    <col min="3845" max="3845" width="13.875" style="2960" customWidth="1"/>
    <col min="3846" max="3846" width="42.75" style="2960" customWidth="1"/>
    <col min="3847" max="3847" width="19.125" style="2960" customWidth="1"/>
    <col min="3848" max="3848" width="9" style="2960" customWidth="1"/>
    <col min="3849" max="3849" width="43.625" style="2960" customWidth="1"/>
    <col min="3850" max="3851" width="10.625" style="2960" customWidth="1"/>
    <col min="3852" max="3852" width="16" style="2960" customWidth="1"/>
    <col min="3853" max="3853" width="14.375" style="2960" customWidth="1"/>
    <col min="3854" max="3854" width="6.25" style="2960" customWidth="1"/>
    <col min="3855" max="4096" width="9" style="2960"/>
    <col min="4097" max="4097" width="35.875" style="2960" customWidth="1"/>
    <col min="4098" max="4098" width="13" style="2960" customWidth="1"/>
    <col min="4099" max="4099" width="13.875" style="2960" customWidth="1"/>
    <col min="4100" max="4100" width="11.75" style="2960" customWidth="1"/>
    <col min="4101" max="4101" width="13.875" style="2960" customWidth="1"/>
    <col min="4102" max="4102" width="42.75" style="2960" customWidth="1"/>
    <col min="4103" max="4103" width="19.125" style="2960" customWidth="1"/>
    <col min="4104" max="4104" width="9" style="2960" customWidth="1"/>
    <col min="4105" max="4105" width="43.625" style="2960" customWidth="1"/>
    <col min="4106" max="4107" width="10.625" style="2960" customWidth="1"/>
    <col min="4108" max="4108" width="16" style="2960" customWidth="1"/>
    <col min="4109" max="4109" width="14.375" style="2960" customWidth="1"/>
    <col min="4110" max="4110" width="6.25" style="2960" customWidth="1"/>
    <col min="4111" max="4352" width="9" style="2960"/>
    <col min="4353" max="4353" width="35.875" style="2960" customWidth="1"/>
    <col min="4354" max="4354" width="13" style="2960" customWidth="1"/>
    <col min="4355" max="4355" width="13.875" style="2960" customWidth="1"/>
    <col min="4356" max="4356" width="11.75" style="2960" customWidth="1"/>
    <col min="4357" max="4357" width="13.875" style="2960" customWidth="1"/>
    <col min="4358" max="4358" width="42.75" style="2960" customWidth="1"/>
    <col min="4359" max="4359" width="19.125" style="2960" customWidth="1"/>
    <col min="4360" max="4360" width="9" style="2960" customWidth="1"/>
    <col min="4361" max="4361" width="43.625" style="2960" customWidth="1"/>
    <col min="4362" max="4363" width="10.625" style="2960" customWidth="1"/>
    <col min="4364" max="4364" width="16" style="2960" customWidth="1"/>
    <col min="4365" max="4365" width="14.375" style="2960" customWidth="1"/>
    <col min="4366" max="4366" width="6.25" style="2960" customWidth="1"/>
    <col min="4367" max="4608" width="9" style="2960"/>
    <col min="4609" max="4609" width="35.875" style="2960" customWidth="1"/>
    <col min="4610" max="4610" width="13" style="2960" customWidth="1"/>
    <col min="4611" max="4611" width="13.875" style="2960" customWidth="1"/>
    <col min="4612" max="4612" width="11.75" style="2960" customWidth="1"/>
    <col min="4613" max="4613" width="13.875" style="2960" customWidth="1"/>
    <col min="4614" max="4614" width="42.75" style="2960" customWidth="1"/>
    <col min="4615" max="4615" width="19.125" style="2960" customWidth="1"/>
    <col min="4616" max="4616" width="9" style="2960" customWidth="1"/>
    <col min="4617" max="4617" width="43.625" style="2960" customWidth="1"/>
    <col min="4618" max="4619" width="10.625" style="2960" customWidth="1"/>
    <col min="4620" max="4620" width="16" style="2960" customWidth="1"/>
    <col min="4621" max="4621" width="14.375" style="2960" customWidth="1"/>
    <col min="4622" max="4622" width="6.25" style="2960" customWidth="1"/>
    <col min="4623" max="4864" width="9" style="2960"/>
    <col min="4865" max="4865" width="35.875" style="2960" customWidth="1"/>
    <col min="4866" max="4866" width="13" style="2960" customWidth="1"/>
    <col min="4867" max="4867" width="13.875" style="2960" customWidth="1"/>
    <col min="4868" max="4868" width="11.75" style="2960" customWidth="1"/>
    <col min="4869" max="4869" width="13.875" style="2960" customWidth="1"/>
    <col min="4870" max="4870" width="42.75" style="2960" customWidth="1"/>
    <col min="4871" max="4871" width="19.125" style="2960" customWidth="1"/>
    <col min="4872" max="4872" width="9" style="2960" customWidth="1"/>
    <col min="4873" max="4873" width="43.625" style="2960" customWidth="1"/>
    <col min="4874" max="4875" width="10.625" style="2960" customWidth="1"/>
    <col min="4876" max="4876" width="16" style="2960" customWidth="1"/>
    <col min="4877" max="4877" width="14.375" style="2960" customWidth="1"/>
    <col min="4878" max="4878" width="6.25" style="2960" customWidth="1"/>
    <col min="4879" max="5120" width="9" style="2960"/>
    <col min="5121" max="5121" width="35.875" style="2960" customWidth="1"/>
    <col min="5122" max="5122" width="13" style="2960" customWidth="1"/>
    <col min="5123" max="5123" width="13.875" style="2960" customWidth="1"/>
    <col min="5124" max="5124" width="11.75" style="2960" customWidth="1"/>
    <col min="5125" max="5125" width="13.875" style="2960" customWidth="1"/>
    <col min="5126" max="5126" width="42.75" style="2960" customWidth="1"/>
    <col min="5127" max="5127" width="19.125" style="2960" customWidth="1"/>
    <col min="5128" max="5128" width="9" style="2960" customWidth="1"/>
    <col min="5129" max="5129" width="43.625" style="2960" customWidth="1"/>
    <col min="5130" max="5131" width="10.625" style="2960" customWidth="1"/>
    <col min="5132" max="5132" width="16" style="2960" customWidth="1"/>
    <col min="5133" max="5133" width="14.375" style="2960" customWidth="1"/>
    <col min="5134" max="5134" width="6.25" style="2960" customWidth="1"/>
    <col min="5135" max="5376" width="9" style="2960"/>
    <col min="5377" max="5377" width="35.875" style="2960" customWidth="1"/>
    <col min="5378" max="5378" width="13" style="2960" customWidth="1"/>
    <col min="5379" max="5379" width="13.875" style="2960" customWidth="1"/>
    <col min="5380" max="5380" width="11.75" style="2960" customWidth="1"/>
    <col min="5381" max="5381" width="13.875" style="2960" customWidth="1"/>
    <col min="5382" max="5382" width="42.75" style="2960" customWidth="1"/>
    <col min="5383" max="5383" width="19.125" style="2960" customWidth="1"/>
    <col min="5384" max="5384" width="9" style="2960" customWidth="1"/>
    <col min="5385" max="5385" width="43.625" style="2960" customWidth="1"/>
    <col min="5386" max="5387" width="10.625" style="2960" customWidth="1"/>
    <col min="5388" max="5388" width="16" style="2960" customWidth="1"/>
    <col min="5389" max="5389" width="14.375" style="2960" customWidth="1"/>
    <col min="5390" max="5390" width="6.25" style="2960" customWidth="1"/>
    <col min="5391" max="5632" width="9" style="2960"/>
    <col min="5633" max="5633" width="35.875" style="2960" customWidth="1"/>
    <col min="5634" max="5634" width="13" style="2960" customWidth="1"/>
    <col min="5635" max="5635" width="13.875" style="2960" customWidth="1"/>
    <col min="5636" max="5636" width="11.75" style="2960" customWidth="1"/>
    <col min="5637" max="5637" width="13.875" style="2960" customWidth="1"/>
    <col min="5638" max="5638" width="42.75" style="2960" customWidth="1"/>
    <col min="5639" max="5639" width="19.125" style="2960" customWidth="1"/>
    <col min="5640" max="5640" width="9" style="2960" customWidth="1"/>
    <col min="5641" max="5641" width="43.625" style="2960" customWidth="1"/>
    <col min="5642" max="5643" width="10.625" style="2960" customWidth="1"/>
    <col min="5644" max="5644" width="16" style="2960" customWidth="1"/>
    <col min="5645" max="5645" width="14.375" style="2960" customWidth="1"/>
    <col min="5646" max="5646" width="6.25" style="2960" customWidth="1"/>
    <col min="5647" max="5888" width="9" style="2960"/>
    <col min="5889" max="5889" width="35.875" style="2960" customWidth="1"/>
    <col min="5890" max="5890" width="13" style="2960" customWidth="1"/>
    <col min="5891" max="5891" width="13.875" style="2960" customWidth="1"/>
    <col min="5892" max="5892" width="11.75" style="2960" customWidth="1"/>
    <col min="5893" max="5893" width="13.875" style="2960" customWidth="1"/>
    <col min="5894" max="5894" width="42.75" style="2960" customWidth="1"/>
    <col min="5895" max="5895" width="19.125" style="2960" customWidth="1"/>
    <col min="5896" max="5896" width="9" style="2960" customWidth="1"/>
    <col min="5897" max="5897" width="43.625" style="2960" customWidth="1"/>
    <col min="5898" max="5899" width="10.625" style="2960" customWidth="1"/>
    <col min="5900" max="5900" width="16" style="2960" customWidth="1"/>
    <col min="5901" max="5901" width="14.375" style="2960" customWidth="1"/>
    <col min="5902" max="5902" width="6.25" style="2960" customWidth="1"/>
    <col min="5903" max="6144" width="9" style="2960"/>
    <col min="6145" max="6145" width="35.875" style="2960" customWidth="1"/>
    <col min="6146" max="6146" width="13" style="2960" customWidth="1"/>
    <col min="6147" max="6147" width="13.875" style="2960" customWidth="1"/>
    <col min="6148" max="6148" width="11.75" style="2960" customWidth="1"/>
    <col min="6149" max="6149" width="13.875" style="2960" customWidth="1"/>
    <col min="6150" max="6150" width="42.75" style="2960" customWidth="1"/>
    <col min="6151" max="6151" width="19.125" style="2960" customWidth="1"/>
    <col min="6152" max="6152" width="9" style="2960" customWidth="1"/>
    <col min="6153" max="6153" width="43.625" style="2960" customWidth="1"/>
    <col min="6154" max="6155" width="10.625" style="2960" customWidth="1"/>
    <col min="6156" max="6156" width="16" style="2960" customWidth="1"/>
    <col min="6157" max="6157" width="14.375" style="2960" customWidth="1"/>
    <col min="6158" max="6158" width="6.25" style="2960" customWidth="1"/>
    <col min="6159" max="6400" width="9" style="2960"/>
    <col min="6401" max="6401" width="35.875" style="2960" customWidth="1"/>
    <col min="6402" max="6402" width="13" style="2960" customWidth="1"/>
    <col min="6403" max="6403" width="13.875" style="2960" customWidth="1"/>
    <col min="6404" max="6404" width="11.75" style="2960" customWidth="1"/>
    <col min="6405" max="6405" width="13.875" style="2960" customWidth="1"/>
    <col min="6406" max="6406" width="42.75" style="2960" customWidth="1"/>
    <col min="6407" max="6407" width="19.125" style="2960" customWidth="1"/>
    <col min="6408" max="6408" width="9" style="2960" customWidth="1"/>
    <col min="6409" max="6409" width="43.625" style="2960" customWidth="1"/>
    <col min="6410" max="6411" width="10.625" style="2960" customWidth="1"/>
    <col min="6412" max="6412" width="16" style="2960" customWidth="1"/>
    <col min="6413" max="6413" width="14.375" style="2960" customWidth="1"/>
    <col min="6414" max="6414" width="6.25" style="2960" customWidth="1"/>
    <col min="6415" max="6656" width="9" style="2960"/>
    <col min="6657" max="6657" width="35.875" style="2960" customWidth="1"/>
    <col min="6658" max="6658" width="13" style="2960" customWidth="1"/>
    <col min="6659" max="6659" width="13.875" style="2960" customWidth="1"/>
    <col min="6660" max="6660" width="11.75" style="2960" customWidth="1"/>
    <col min="6661" max="6661" width="13.875" style="2960" customWidth="1"/>
    <col min="6662" max="6662" width="42.75" style="2960" customWidth="1"/>
    <col min="6663" max="6663" width="19.125" style="2960" customWidth="1"/>
    <col min="6664" max="6664" width="9" style="2960" customWidth="1"/>
    <col min="6665" max="6665" width="43.625" style="2960" customWidth="1"/>
    <col min="6666" max="6667" width="10.625" style="2960" customWidth="1"/>
    <col min="6668" max="6668" width="16" style="2960" customWidth="1"/>
    <col min="6669" max="6669" width="14.375" style="2960" customWidth="1"/>
    <col min="6670" max="6670" width="6.25" style="2960" customWidth="1"/>
    <col min="6671" max="6912" width="9" style="2960"/>
    <col min="6913" max="6913" width="35.875" style="2960" customWidth="1"/>
    <col min="6914" max="6914" width="13" style="2960" customWidth="1"/>
    <col min="6915" max="6915" width="13.875" style="2960" customWidth="1"/>
    <col min="6916" max="6916" width="11.75" style="2960" customWidth="1"/>
    <col min="6917" max="6917" width="13.875" style="2960" customWidth="1"/>
    <col min="6918" max="6918" width="42.75" style="2960" customWidth="1"/>
    <col min="6919" max="6919" width="19.125" style="2960" customWidth="1"/>
    <col min="6920" max="6920" width="9" style="2960" customWidth="1"/>
    <col min="6921" max="6921" width="43.625" style="2960" customWidth="1"/>
    <col min="6922" max="6923" width="10.625" style="2960" customWidth="1"/>
    <col min="6924" max="6924" width="16" style="2960" customWidth="1"/>
    <col min="6925" max="6925" width="14.375" style="2960" customWidth="1"/>
    <col min="6926" max="6926" width="6.25" style="2960" customWidth="1"/>
    <col min="6927" max="7168" width="9" style="2960"/>
    <col min="7169" max="7169" width="35.875" style="2960" customWidth="1"/>
    <col min="7170" max="7170" width="13" style="2960" customWidth="1"/>
    <col min="7171" max="7171" width="13.875" style="2960" customWidth="1"/>
    <col min="7172" max="7172" width="11.75" style="2960" customWidth="1"/>
    <col min="7173" max="7173" width="13.875" style="2960" customWidth="1"/>
    <col min="7174" max="7174" width="42.75" style="2960" customWidth="1"/>
    <col min="7175" max="7175" width="19.125" style="2960" customWidth="1"/>
    <col min="7176" max="7176" width="9" style="2960" customWidth="1"/>
    <col min="7177" max="7177" width="43.625" style="2960" customWidth="1"/>
    <col min="7178" max="7179" width="10.625" style="2960" customWidth="1"/>
    <col min="7180" max="7180" width="16" style="2960" customWidth="1"/>
    <col min="7181" max="7181" width="14.375" style="2960" customWidth="1"/>
    <col min="7182" max="7182" width="6.25" style="2960" customWidth="1"/>
    <col min="7183" max="7424" width="9" style="2960"/>
    <col min="7425" max="7425" width="35.875" style="2960" customWidth="1"/>
    <col min="7426" max="7426" width="13" style="2960" customWidth="1"/>
    <col min="7427" max="7427" width="13.875" style="2960" customWidth="1"/>
    <col min="7428" max="7428" width="11.75" style="2960" customWidth="1"/>
    <col min="7429" max="7429" width="13.875" style="2960" customWidth="1"/>
    <col min="7430" max="7430" width="42.75" style="2960" customWidth="1"/>
    <col min="7431" max="7431" width="19.125" style="2960" customWidth="1"/>
    <col min="7432" max="7432" width="9" style="2960" customWidth="1"/>
    <col min="7433" max="7433" width="43.625" style="2960" customWidth="1"/>
    <col min="7434" max="7435" width="10.625" style="2960" customWidth="1"/>
    <col min="7436" max="7436" width="16" style="2960" customWidth="1"/>
    <col min="7437" max="7437" width="14.375" style="2960" customWidth="1"/>
    <col min="7438" max="7438" width="6.25" style="2960" customWidth="1"/>
    <col min="7439" max="7680" width="9" style="2960"/>
    <col min="7681" max="7681" width="35.875" style="2960" customWidth="1"/>
    <col min="7682" max="7682" width="13" style="2960" customWidth="1"/>
    <col min="7683" max="7683" width="13.875" style="2960" customWidth="1"/>
    <col min="7684" max="7684" width="11.75" style="2960" customWidth="1"/>
    <col min="7685" max="7685" width="13.875" style="2960" customWidth="1"/>
    <col min="7686" max="7686" width="42.75" style="2960" customWidth="1"/>
    <col min="7687" max="7687" width="19.125" style="2960" customWidth="1"/>
    <col min="7688" max="7688" width="9" style="2960" customWidth="1"/>
    <col min="7689" max="7689" width="43.625" style="2960" customWidth="1"/>
    <col min="7690" max="7691" width="10.625" style="2960" customWidth="1"/>
    <col min="7692" max="7692" width="16" style="2960" customWidth="1"/>
    <col min="7693" max="7693" width="14.375" style="2960" customWidth="1"/>
    <col min="7694" max="7694" width="6.25" style="2960" customWidth="1"/>
    <col min="7695" max="7936" width="9" style="2960"/>
    <col min="7937" max="7937" width="35.875" style="2960" customWidth="1"/>
    <col min="7938" max="7938" width="13" style="2960" customWidth="1"/>
    <col min="7939" max="7939" width="13.875" style="2960" customWidth="1"/>
    <col min="7940" max="7940" width="11.75" style="2960" customWidth="1"/>
    <col min="7941" max="7941" width="13.875" style="2960" customWidth="1"/>
    <col min="7942" max="7942" width="42.75" style="2960" customWidth="1"/>
    <col min="7943" max="7943" width="19.125" style="2960" customWidth="1"/>
    <col min="7944" max="7944" width="9" style="2960" customWidth="1"/>
    <col min="7945" max="7945" width="43.625" style="2960" customWidth="1"/>
    <col min="7946" max="7947" width="10.625" style="2960" customWidth="1"/>
    <col min="7948" max="7948" width="16" style="2960" customWidth="1"/>
    <col min="7949" max="7949" width="14.375" style="2960" customWidth="1"/>
    <col min="7950" max="7950" width="6.25" style="2960" customWidth="1"/>
    <col min="7951" max="8192" width="9" style="2960"/>
    <col min="8193" max="8193" width="35.875" style="2960" customWidth="1"/>
    <col min="8194" max="8194" width="13" style="2960" customWidth="1"/>
    <col min="8195" max="8195" width="13.875" style="2960" customWidth="1"/>
    <col min="8196" max="8196" width="11.75" style="2960" customWidth="1"/>
    <col min="8197" max="8197" width="13.875" style="2960" customWidth="1"/>
    <col min="8198" max="8198" width="42.75" style="2960" customWidth="1"/>
    <col min="8199" max="8199" width="19.125" style="2960" customWidth="1"/>
    <col min="8200" max="8200" width="9" style="2960" customWidth="1"/>
    <col min="8201" max="8201" width="43.625" style="2960" customWidth="1"/>
    <col min="8202" max="8203" width="10.625" style="2960" customWidth="1"/>
    <col min="8204" max="8204" width="16" style="2960" customWidth="1"/>
    <col min="8205" max="8205" width="14.375" style="2960" customWidth="1"/>
    <col min="8206" max="8206" width="6.25" style="2960" customWidth="1"/>
    <col min="8207" max="8448" width="9" style="2960"/>
    <col min="8449" max="8449" width="35.875" style="2960" customWidth="1"/>
    <col min="8450" max="8450" width="13" style="2960" customWidth="1"/>
    <col min="8451" max="8451" width="13.875" style="2960" customWidth="1"/>
    <col min="8452" max="8452" width="11.75" style="2960" customWidth="1"/>
    <col min="8453" max="8453" width="13.875" style="2960" customWidth="1"/>
    <col min="8454" max="8454" width="42.75" style="2960" customWidth="1"/>
    <col min="8455" max="8455" width="19.125" style="2960" customWidth="1"/>
    <col min="8456" max="8456" width="9" style="2960" customWidth="1"/>
    <col min="8457" max="8457" width="43.625" style="2960" customWidth="1"/>
    <col min="8458" max="8459" width="10.625" style="2960" customWidth="1"/>
    <col min="8460" max="8460" width="16" style="2960" customWidth="1"/>
    <col min="8461" max="8461" width="14.375" style="2960" customWidth="1"/>
    <col min="8462" max="8462" width="6.25" style="2960" customWidth="1"/>
    <col min="8463" max="8704" width="9" style="2960"/>
    <col min="8705" max="8705" width="35.875" style="2960" customWidth="1"/>
    <col min="8706" max="8706" width="13" style="2960" customWidth="1"/>
    <col min="8707" max="8707" width="13.875" style="2960" customWidth="1"/>
    <col min="8708" max="8708" width="11.75" style="2960" customWidth="1"/>
    <col min="8709" max="8709" width="13.875" style="2960" customWidth="1"/>
    <col min="8710" max="8710" width="42.75" style="2960" customWidth="1"/>
    <col min="8711" max="8711" width="19.125" style="2960" customWidth="1"/>
    <col min="8712" max="8712" width="9" style="2960" customWidth="1"/>
    <col min="8713" max="8713" width="43.625" style="2960" customWidth="1"/>
    <col min="8714" max="8715" width="10.625" style="2960" customWidth="1"/>
    <col min="8716" max="8716" width="16" style="2960" customWidth="1"/>
    <col min="8717" max="8717" width="14.375" style="2960" customWidth="1"/>
    <col min="8718" max="8718" width="6.25" style="2960" customWidth="1"/>
    <col min="8719" max="8960" width="9" style="2960"/>
    <col min="8961" max="8961" width="35.875" style="2960" customWidth="1"/>
    <col min="8962" max="8962" width="13" style="2960" customWidth="1"/>
    <col min="8963" max="8963" width="13.875" style="2960" customWidth="1"/>
    <col min="8964" max="8964" width="11.75" style="2960" customWidth="1"/>
    <col min="8965" max="8965" width="13.875" style="2960" customWidth="1"/>
    <col min="8966" max="8966" width="42.75" style="2960" customWidth="1"/>
    <col min="8967" max="8967" width="19.125" style="2960" customWidth="1"/>
    <col min="8968" max="8968" width="9" style="2960" customWidth="1"/>
    <col min="8969" max="8969" width="43.625" style="2960" customWidth="1"/>
    <col min="8970" max="8971" width="10.625" style="2960" customWidth="1"/>
    <col min="8972" max="8972" width="16" style="2960" customWidth="1"/>
    <col min="8973" max="8973" width="14.375" style="2960" customWidth="1"/>
    <col min="8974" max="8974" width="6.25" style="2960" customWidth="1"/>
    <col min="8975" max="9216" width="9" style="2960"/>
    <col min="9217" max="9217" width="35.875" style="2960" customWidth="1"/>
    <col min="9218" max="9218" width="13" style="2960" customWidth="1"/>
    <col min="9219" max="9219" width="13.875" style="2960" customWidth="1"/>
    <col min="9220" max="9220" width="11.75" style="2960" customWidth="1"/>
    <col min="9221" max="9221" width="13.875" style="2960" customWidth="1"/>
    <col min="9222" max="9222" width="42.75" style="2960" customWidth="1"/>
    <col min="9223" max="9223" width="19.125" style="2960" customWidth="1"/>
    <col min="9224" max="9224" width="9" style="2960" customWidth="1"/>
    <col min="9225" max="9225" width="43.625" style="2960" customWidth="1"/>
    <col min="9226" max="9227" width="10.625" style="2960" customWidth="1"/>
    <col min="9228" max="9228" width="16" style="2960" customWidth="1"/>
    <col min="9229" max="9229" width="14.375" style="2960" customWidth="1"/>
    <col min="9230" max="9230" width="6.25" style="2960" customWidth="1"/>
    <col min="9231" max="9472" width="9" style="2960"/>
    <col min="9473" max="9473" width="35.875" style="2960" customWidth="1"/>
    <col min="9474" max="9474" width="13" style="2960" customWidth="1"/>
    <col min="9475" max="9475" width="13.875" style="2960" customWidth="1"/>
    <col min="9476" max="9476" width="11.75" style="2960" customWidth="1"/>
    <col min="9477" max="9477" width="13.875" style="2960" customWidth="1"/>
    <col min="9478" max="9478" width="42.75" style="2960" customWidth="1"/>
    <col min="9479" max="9479" width="19.125" style="2960" customWidth="1"/>
    <col min="9480" max="9480" width="9" style="2960" customWidth="1"/>
    <col min="9481" max="9481" width="43.625" style="2960" customWidth="1"/>
    <col min="9482" max="9483" width="10.625" style="2960" customWidth="1"/>
    <col min="9484" max="9484" width="16" style="2960" customWidth="1"/>
    <col min="9485" max="9485" width="14.375" style="2960" customWidth="1"/>
    <col min="9486" max="9486" width="6.25" style="2960" customWidth="1"/>
    <col min="9487" max="9728" width="9" style="2960"/>
    <col min="9729" max="9729" width="35.875" style="2960" customWidth="1"/>
    <col min="9730" max="9730" width="13" style="2960" customWidth="1"/>
    <col min="9731" max="9731" width="13.875" style="2960" customWidth="1"/>
    <col min="9732" max="9732" width="11.75" style="2960" customWidth="1"/>
    <col min="9733" max="9733" width="13.875" style="2960" customWidth="1"/>
    <col min="9734" max="9734" width="42.75" style="2960" customWidth="1"/>
    <col min="9735" max="9735" width="19.125" style="2960" customWidth="1"/>
    <col min="9736" max="9736" width="9" style="2960" customWidth="1"/>
    <col min="9737" max="9737" width="43.625" style="2960" customWidth="1"/>
    <col min="9738" max="9739" width="10.625" style="2960" customWidth="1"/>
    <col min="9740" max="9740" width="16" style="2960" customWidth="1"/>
    <col min="9741" max="9741" width="14.375" style="2960" customWidth="1"/>
    <col min="9742" max="9742" width="6.25" style="2960" customWidth="1"/>
    <col min="9743" max="9984" width="9" style="2960"/>
    <col min="9985" max="9985" width="35.875" style="2960" customWidth="1"/>
    <col min="9986" max="9986" width="13" style="2960" customWidth="1"/>
    <col min="9987" max="9987" width="13.875" style="2960" customWidth="1"/>
    <col min="9988" max="9988" width="11.75" style="2960" customWidth="1"/>
    <col min="9989" max="9989" width="13.875" style="2960" customWidth="1"/>
    <col min="9990" max="9990" width="42.75" style="2960" customWidth="1"/>
    <col min="9991" max="9991" width="19.125" style="2960" customWidth="1"/>
    <col min="9992" max="9992" width="9" style="2960" customWidth="1"/>
    <col min="9993" max="9993" width="43.625" style="2960" customWidth="1"/>
    <col min="9994" max="9995" width="10.625" style="2960" customWidth="1"/>
    <col min="9996" max="9996" width="16" style="2960" customWidth="1"/>
    <col min="9997" max="9997" width="14.375" style="2960" customWidth="1"/>
    <col min="9998" max="9998" width="6.25" style="2960" customWidth="1"/>
    <col min="9999" max="10240" width="9" style="2960"/>
    <col min="10241" max="10241" width="35.875" style="2960" customWidth="1"/>
    <col min="10242" max="10242" width="13" style="2960" customWidth="1"/>
    <col min="10243" max="10243" width="13.875" style="2960" customWidth="1"/>
    <col min="10244" max="10244" width="11.75" style="2960" customWidth="1"/>
    <col min="10245" max="10245" width="13.875" style="2960" customWidth="1"/>
    <col min="10246" max="10246" width="42.75" style="2960" customWidth="1"/>
    <col min="10247" max="10247" width="19.125" style="2960" customWidth="1"/>
    <col min="10248" max="10248" width="9" style="2960" customWidth="1"/>
    <col min="10249" max="10249" width="43.625" style="2960" customWidth="1"/>
    <col min="10250" max="10251" width="10.625" style="2960" customWidth="1"/>
    <col min="10252" max="10252" width="16" style="2960" customWidth="1"/>
    <col min="10253" max="10253" width="14.375" style="2960" customWidth="1"/>
    <col min="10254" max="10254" width="6.25" style="2960" customWidth="1"/>
    <col min="10255" max="10496" width="9" style="2960"/>
    <col min="10497" max="10497" width="35.875" style="2960" customWidth="1"/>
    <col min="10498" max="10498" width="13" style="2960" customWidth="1"/>
    <col min="10499" max="10499" width="13.875" style="2960" customWidth="1"/>
    <col min="10500" max="10500" width="11.75" style="2960" customWidth="1"/>
    <col min="10501" max="10501" width="13.875" style="2960" customWidth="1"/>
    <col min="10502" max="10502" width="42.75" style="2960" customWidth="1"/>
    <col min="10503" max="10503" width="19.125" style="2960" customWidth="1"/>
    <col min="10504" max="10504" width="9" style="2960" customWidth="1"/>
    <col min="10505" max="10505" width="43.625" style="2960" customWidth="1"/>
    <col min="10506" max="10507" width="10.625" style="2960" customWidth="1"/>
    <col min="10508" max="10508" width="16" style="2960" customWidth="1"/>
    <col min="10509" max="10509" width="14.375" style="2960" customWidth="1"/>
    <col min="10510" max="10510" width="6.25" style="2960" customWidth="1"/>
    <col min="10511" max="10752" width="9" style="2960"/>
    <col min="10753" max="10753" width="35.875" style="2960" customWidth="1"/>
    <col min="10754" max="10754" width="13" style="2960" customWidth="1"/>
    <col min="10755" max="10755" width="13.875" style="2960" customWidth="1"/>
    <col min="10756" max="10756" width="11.75" style="2960" customWidth="1"/>
    <col min="10757" max="10757" width="13.875" style="2960" customWidth="1"/>
    <col min="10758" max="10758" width="42.75" style="2960" customWidth="1"/>
    <col min="10759" max="10759" width="19.125" style="2960" customWidth="1"/>
    <col min="10760" max="10760" width="9" style="2960" customWidth="1"/>
    <col min="10761" max="10761" width="43.625" style="2960" customWidth="1"/>
    <col min="10762" max="10763" width="10.625" style="2960" customWidth="1"/>
    <col min="10764" max="10764" width="16" style="2960" customWidth="1"/>
    <col min="10765" max="10765" width="14.375" style="2960" customWidth="1"/>
    <col min="10766" max="10766" width="6.25" style="2960" customWidth="1"/>
    <col min="10767" max="11008" width="9" style="2960"/>
    <col min="11009" max="11009" width="35.875" style="2960" customWidth="1"/>
    <col min="11010" max="11010" width="13" style="2960" customWidth="1"/>
    <col min="11011" max="11011" width="13.875" style="2960" customWidth="1"/>
    <col min="11012" max="11012" width="11.75" style="2960" customWidth="1"/>
    <col min="11013" max="11013" width="13.875" style="2960" customWidth="1"/>
    <col min="11014" max="11014" width="42.75" style="2960" customWidth="1"/>
    <col min="11015" max="11015" width="19.125" style="2960" customWidth="1"/>
    <col min="11016" max="11016" width="9" style="2960" customWidth="1"/>
    <col min="11017" max="11017" width="43.625" style="2960" customWidth="1"/>
    <col min="11018" max="11019" width="10.625" style="2960" customWidth="1"/>
    <col min="11020" max="11020" width="16" style="2960" customWidth="1"/>
    <col min="11021" max="11021" width="14.375" style="2960" customWidth="1"/>
    <col min="11022" max="11022" width="6.25" style="2960" customWidth="1"/>
    <col min="11023" max="11264" width="9" style="2960"/>
    <col min="11265" max="11265" width="35.875" style="2960" customWidth="1"/>
    <col min="11266" max="11266" width="13" style="2960" customWidth="1"/>
    <col min="11267" max="11267" width="13.875" style="2960" customWidth="1"/>
    <col min="11268" max="11268" width="11.75" style="2960" customWidth="1"/>
    <col min="11269" max="11269" width="13.875" style="2960" customWidth="1"/>
    <col min="11270" max="11270" width="42.75" style="2960" customWidth="1"/>
    <col min="11271" max="11271" width="19.125" style="2960" customWidth="1"/>
    <col min="11272" max="11272" width="9" style="2960" customWidth="1"/>
    <col min="11273" max="11273" width="43.625" style="2960" customWidth="1"/>
    <col min="11274" max="11275" width="10.625" style="2960" customWidth="1"/>
    <col min="11276" max="11276" width="16" style="2960" customWidth="1"/>
    <col min="11277" max="11277" width="14.375" style="2960" customWidth="1"/>
    <col min="11278" max="11278" width="6.25" style="2960" customWidth="1"/>
    <col min="11279" max="11520" width="9" style="2960"/>
    <col min="11521" max="11521" width="35.875" style="2960" customWidth="1"/>
    <col min="11522" max="11522" width="13" style="2960" customWidth="1"/>
    <col min="11523" max="11523" width="13.875" style="2960" customWidth="1"/>
    <col min="11524" max="11524" width="11.75" style="2960" customWidth="1"/>
    <col min="11525" max="11525" width="13.875" style="2960" customWidth="1"/>
    <col min="11526" max="11526" width="42.75" style="2960" customWidth="1"/>
    <col min="11527" max="11527" width="19.125" style="2960" customWidth="1"/>
    <col min="11528" max="11528" width="9" style="2960" customWidth="1"/>
    <col min="11529" max="11529" width="43.625" style="2960" customWidth="1"/>
    <col min="11530" max="11531" width="10.625" style="2960" customWidth="1"/>
    <col min="11532" max="11532" width="16" style="2960" customWidth="1"/>
    <col min="11533" max="11533" width="14.375" style="2960" customWidth="1"/>
    <col min="11534" max="11534" width="6.25" style="2960" customWidth="1"/>
    <col min="11535" max="11776" width="9" style="2960"/>
    <col min="11777" max="11777" width="35.875" style="2960" customWidth="1"/>
    <col min="11778" max="11778" width="13" style="2960" customWidth="1"/>
    <col min="11779" max="11779" width="13.875" style="2960" customWidth="1"/>
    <col min="11780" max="11780" width="11.75" style="2960" customWidth="1"/>
    <col min="11781" max="11781" width="13.875" style="2960" customWidth="1"/>
    <col min="11782" max="11782" width="42.75" style="2960" customWidth="1"/>
    <col min="11783" max="11783" width="19.125" style="2960" customWidth="1"/>
    <col min="11784" max="11784" width="9" style="2960" customWidth="1"/>
    <col min="11785" max="11785" width="43.625" style="2960" customWidth="1"/>
    <col min="11786" max="11787" width="10.625" style="2960" customWidth="1"/>
    <col min="11788" max="11788" width="16" style="2960" customWidth="1"/>
    <col min="11789" max="11789" width="14.375" style="2960" customWidth="1"/>
    <col min="11790" max="11790" width="6.25" style="2960" customWidth="1"/>
    <col min="11791" max="12032" width="9" style="2960"/>
    <col min="12033" max="12033" width="35.875" style="2960" customWidth="1"/>
    <col min="12034" max="12034" width="13" style="2960" customWidth="1"/>
    <col min="12035" max="12035" width="13.875" style="2960" customWidth="1"/>
    <col min="12036" max="12036" width="11.75" style="2960" customWidth="1"/>
    <col min="12037" max="12037" width="13.875" style="2960" customWidth="1"/>
    <col min="12038" max="12038" width="42.75" style="2960" customWidth="1"/>
    <col min="12039" max="12039" width="19.125" style="2960" customWidth="1"/>
    <col min="12040" max="12040" width="9" style="2960" customWidth="1"/>
    <col min="12041" max="12041" width="43.625" style="2960" customWidth="1"/>
    <col min="12042" max="12043" width="10.625" style="2960" customWidth="1"/>
    <col min="12044" max="12044" width="16" style="2960" customWidth="1"/>
    <col min="12045" max="12045" width="14.375" style="2960" customWidth="1"/>
    <col min="12046" max="12046" width="6.25" style="2960" customWidth="1"/>
    <col min="12047" max="12288" width="9" style="2960"/>
    <col min="12289" max="12289" width="35.875" style="2960" customWidth="1"/>
    <col min="12290" max="12290" width="13" style="2960" customWidth="1"/>
    <col min="12291" max="12291" width="13.875" style="2960" customWidth="1"/>
    <col min="12292" max="12292" width="11.75" style="2960" customWidth="1"/>
    <col min="12293" max="12293" width="13.875" style="2960" customWidth="1"/>
    <col min="12294" max="12294" width="42.75" style="2960" customWidth="1"/>
    <col min="12295" max="12295" width="19.125" style="2960" customWidth="1"/>
    <col min="12296" max="12296" width="9" style="2960" customWidth="1"/>
    <col min="12297" max="12297" width="43.625" style="2960" customWidth="1"/>
    <col min="12298" max="12299" width="10.625" style="2960" customWidth="1"/>
    <col min="12300" max="12300" width="16" style="2960" customWidth="1"/>
    <col min="12301" max="12301" width="14.375" style="2960" customWidth="1"/>
    <col min="12302" max="12302" width="6.25" style="2960" customWidth="1"/>
    <col min="12303" max="12544" width="9" style="2960"/>
    <col min="12545" max="12545" width="35.875" style="2960" customWidth="1"/>
    <col min="12546" max="12546" width="13" style="2960" customWidth="1"/>
    <col min="12547" max="12547" width="13.875" style="2960" customWidth="1"/>
    <col min="12548" max="12548" width="11.75" style="2960" customWidth="1"/>
    <col min="12549" max="12549" width="13.875" style="2960" customWidth="1"/>
    <col min="12550" max="12550" width="42.75" style="2960" customWidth="1"/>
    <col min="12551" max="12551" width="19.125" style="2960" customWidth="1"/>
    <col min="12552" max="12552" width="9" style="2960" customWidth="1"/>
    <col min="12553" max="12553" width="43.625" style="2960" customWidth="1"/>
    <col min="12554" max="12555" width="10.625" style="2960" customWidth="1"/>
    <col min="12556" max="12556" width="16" style="2960" customWidth="1"/>
    <col min="12557" max="12557" width="14.375" style="2960" customWidth="1"/>
    <col min="12558" max="12558" width="6.25" style="2960" customWidth="1"/>
    <col min="12559" max="12800" width="9" style="2960"/>
    <col min="12801" max="12801" width="35.875" style="2960" customWidth="1"/>
    <col min="12802" max="12802" width="13" style="2960" customWidth="1"/>
    <col min="12803" max="12803" width="13.875" style="2960" customWidth="1"/>
    <col min="12804" max="12804" width="11.75" style="2960" customWidth="1"/>
    <col min="12805" max="12805" width="13.875" style="2960" customWidth="1"/>
    <col min="12806" max="12806" width="42.75" style="2960" customWidth="1"/>
    <col min="12807" max="12807" width="19.125" style="2960" customWidth="1"/>
    <col min="12808" max="12808" width="9" style="2960" customWidth="1"/>
    <col min="12809" max="12809" width="43.625" style="2960" customWidth="1"/>
    <col min="12810" max="12811" width="10.625" style="2960" customWidth="1"/>
    <col min="12812" max="12812" width="16" style="2960" customWidth="1"/>
    <col min="12813" max="12813" width="14.375" style="2960" customWidth="1"/>
    <col min="12814" max="12814" width="6.25" style="2960" customWidth="1"/>
    <col min="12815" max="13056" width="9" style="2960"/>
    <col min="13057" max="13057" width="35.875" style="2960" customWidth="1"/>
    <col min="13058" max="13058" width="13" style="2960" customWidth="1"/>
    <col min="13059" max="13059" width="13.875" style="2960" customWidth="1"/>
    <col min="13060" max="13060" width="11.75" style="2960" customWidth="1"/>
    <col min="13061" max="13061" width="13.875" style="2960" customWidth="1"/>
    <col min="13062" max="13062" width="42.75" style="2960" customWidth="1"/>
    <col min="13063" max="13063" width="19.125" style="2960" customWidth="1"/>
    <col min="13064" max="13064" width="9" style="2960" customWidth="1"/>
    <col min="13065" max="13065" width="43.625" style="2960" customWidth="1"/>
    <col min="13066" max="13067" width="10.625" style="2960" customWidth="1"/>
    <col min="13068" max="13068" width="16" style="2960" customWidth="1"/>
    <col min="13069" max="13069" width="14.375" style="2960" customWidth="1"/>
    <col min="13070" max="13070" width="6.25" style="2960" customWidth="1"/>
    <col min="13071" max="13312" width="9" style="2960"/>
    <col min="13313" max="13313" width="35.875" style="2960" customWidth="1"/>
    <col min="13314" max="13314" width="13" style="2960" customWidth="1"/>
    <col min="13315" max="13315" width="13.875" style="2960" customWidth="1"/>
    <col min="13316" max="13316" width="11.75" style="2960" customWidth="1"/>
    <col min="13317" max="13317" width="13.875" style="2960" customWidth="1"/>
    <col min="13318" max="13318" width="42.75" style="2960" customWidth="1"/>
    <col min="13319" max="13319" width="19.125" style="2960" customWidth="1"/>
    <col min="13320" max="13320" width="9" style="2960" customWidth="1"/>
    <col min="13321" max="13321" width="43.625" style="2960" customWidth="1"/>
    <col min="13322" max="13323" width="10.625" style="2960" customWidth="1"/>
    <col min="13324" max="13324" width="16" style="2960" customWidth="1"/>
    <col min="13325" max="13325" width="14.375" style="2960" customWidth="1"/>
    <col min="13326" max="13326" width="6.25" style="2960" customWidth="1"/>
    <col min="13327" max="13568" width="9" style="2960"/>
    <col min="13569" max="13569" width="35.875" style="2960" customWidth="1"/>
    <col min="13570" max="13570" width="13" style="2960" customWidth="1"/>
    <col min="13571" max="13571" width="13.875" style="2960" customWidth="1"/>
    <col min="13572" max="13572" width="11.75" style="2960" customWidth="1"/>
    <col min="13573" max="13573" width="13.875" style="2960" customWidth="1"/>
    <col min="13574" max="13574" width="42.75" style="2960" customWidth="1"/>
    <col min="13575" max="13575" width="19.125" style="2960" customWidth="1"/>
    <col min="13576" max="13576" width="9" style="2960" customWidth="1"/>
    <col min="13577" max="13577" width="43.625" style="2960" customWidth="1"/>
    <col min="13578" max="13579" width="10.625" style="2960" customWidth="1"/>
    <col min="13580" max="13580" width="16" style="2960" customWidth="1"/>
    <col min="13581" max="13581" width="14.375" style="2960" customWidth="1"/>
    <col min="13582" max="13582" width="6.25" style="2960" customWidth="1"/>
    <col min="13583" max="13824" width="9" style="2960"/>
    <col min="13825" max="13825" width="35.875" style="2960" customWidth="1"/>
    <col min="13826" max="13826" width="13" style="2960" customWidth="1"/>
    <col min="13827" max="13827" width="13.875" style="2960" customWidth="1"/>
    <col min="13828" max="13828" width="11.75" style="2960" customWidth="1"/>
    <col min="13829" max="13829" width="13.875" style="2960" customWidth="1"/>
    <col min="13830" max="13830" width="42.75" style="2960" customWidth="1"/>
    <col min="13831" max="13831" width="19.125" style="2960" customWidth="1"/>
    <col min="13832" max="13832" width="9" style="2960" customWidth="1"/>
    <col min="13833" max="13833" width="43.625" style="2960" customWidth="1"/>
    <col min="13834" max="13835" width="10.625" style="2960" customWidth="1"/>
    <col min="13836" max="13836" width="16" style="2960" customWidth="1"/>
    <col min="13837" max="13837" width="14.375" style="2960" customWidth="1"/>
    <col min="13838" max="13838" width="6.25" style="2960" customWidth="1"/>
    <col min="13839" max="14080" width="9" style="2960"/>
    <col min="14081" max="14081" width="35.875" style="2960" customWidth="1"/>
    <col min="14082" max="14082" width="13" style="2960" customWidth="1"/>
    <col min="14083" max="14083" width="13.875" style="2960" customWidth="1"/>
    <col min="14084" max="14084" width="11.75" style="2960" customWidth="1"/>
    <col min="14085" max="14085" width="13.875" style="2960" customWidth="1"/>
    <col min="14086" max="14086" width="42.75" style="2960" customWidth="1"/>
    <col min="14087" max="14087" width="19.125" style="2960" customWidth="1"/>
    <col min="14088" max="14088" width="9" style="2960" customWidth="1"/>
    <col min="14089" max="14089" width="43.625" style="2960" customWidth="1"/>
    <col min="14090" max="14091" width="10.625" style="2960" customWidth="1"/>
    <col min="14092" max="14092" width="16" style="2960" customWidth="1"/>
    <col min="14093" max="14093" width="14.375" style="2960" customWidth="1"/>
    <col min="14094" max="14094" width="6.25" style="2960" customWidth="1"/>
    <col min="14095" max="14336" width="9" style="2960"/>
    <col min="14337" max="14337" width="35.875" style="2960" customWidth="1"/>
    <col min="14338" max="14338" width="13" style="2960" customWidth="1"/>
    <col min="14339" max="14339" width="13.875" style="2960" customWidth="1"/>
    <col min="14340" max="14340" width="11.75" style="2960" customWidth="1"/>
    <col min="14341" max="14341" width="13.875" style="2960" customWidth="1"/>
    <col min="14342" max="14342" width="42.75" style="2960" customWidth="1"/>
    <col min="14343" max="14343" width="19.125" style="2960" customWidth="1"/>
    <col min="14344" max="14344" width="9" style="2960" customWidth="1"/>
    <col min="14345" max="14345" width="43.625" style="2960" customWidth="1"/>
    <col min="14346" max="14347" width="10.625" style="2960" customWidth="1"/>
    <col min="14348" max="14348" width="16" style="2960" customWidth="1"/>
    <col min="14349" max="14349" width="14.375" style="2960" customWidth="1"/>
    <col min="14350" max="14350" width="6.25" style="2960" customWidth="1"/>
    <col min="14351" max="14592" width="9" style="2960"/>
    <col min="14593" max="14593" width="35.875" style="2960" customWidth="1"/>
    <col min="14594" max="14594" width="13" style="2960" customWidth="1"/>
    <col min="14595" max="14595" width="13.875" style="2960" customWidth="1"/>
    <col min="14596" max="14596" width="11.75" style="2960" customWidth="1"/>
    <col min="14597" max="14597" width="13.875" style="2960" customWidth="1"/>
    <col min="14598" max="14598" width="42.75" style="2960" customWidth="1"/>
    <col min="14599" max="14599" width="19.125" style="2960" customWidth="1"/>
    <col min="14600" max="14600" width="9" style="2960" customWidth="1"/>
    <col min="14601" max="14601" width="43.625" style="2960" customWidth="1"/>
    <col min="14602" max="14603" width="10.625" style="2960" customWidth="1"/>
    <col min="14604" max="14604" width="16" style="2960" customWidth="1"/>
    <col min="14605" max="14605" width="14.375" style="2960" customWidth="1"/>
    <col min="14606" max="14606" width="6.25" style="2960" customWidth="1"/>
    <col min="14607" max="14848" width="9" style="2960"/>
    <col min="14849" max="14849" width="35.875" style="2960" customWidth="1"/>
    <col min="14850" max="14850" width="13" style="2960" customWidth="1"/>
    <col min="14851" max="14851" width="13.875" style="2960" customWidth="1"/>
    <col min="14852" max="14852" width="11.75" style="2960" customWidth="1"/>
    <col min="14853" max="14853" width="13.875" style="2960" customWidth="1"/>
    <col min="14854" max="14854" width="42.75" style="2960" customWidth="1"/>
    <col min="14855" max="14855" width="19.125" style="2960" customWidth="1"/>
    <col min="14856" max="14856" width="9" style="2960" customWidth="1"/>
    <col min="14857" max="14857" width="43.625" style="2960" customWidth="1"/>
    <col min="14858" max="14859" width="10.625" style="2960" customWidth="1"/>
    <col min="14860" max="14860" width="16" style="2960" customWidth="1"/>
    <col min="14861" max="14861" width="14.375" style="2960" customWidth="1"/>
    <col min="14862" max="14862" width="6.25" style="2960" customWidth="1"/>
    <col min="14863" max="15104" width="9" style="2960"/>
    <col min="15105" max="15105" width="35.875" style="2960" customWidth="1"/>
    <col min="15106" max="15106" width="13" style="2960" customWidth="1"/>
    <col min="15107" max="15107" width="13.875" style="2960" customWidth="1"/>
    <col min="15108" max="15108" width="11.75" style="2960" customWidth="1"/>
    <col min="15109" max="15109" width="13.875" style="2960" customWidth="1"/>
    <col min="15110" max="15110" width="42.75" style="2960" customWidth="1"/>
    <col min="15111" max="15111" width="19.125" style="2960" customWidth="1"/>
    <col min="15112" max="15112" width="9" style="2960" customWidth="1"/>
    <col min="15113" max="15113" width="43.625" style="2960" customWidth="1"/>
    <col min="15114" max="15115" width="10.625" style="2960" customWidth="1"/>
    <col min="15116" max="15116" width="16" style="2960" customWidth="1"/>
    <col min="15117" max="15117" width="14.375" style="2960" customWidth="1"/>
    <col min="15118" max="15118" width="6.25" style="2960" customWidth="1"/>
    <col min="15119" max="15360" width="9" style="2960"/>
    <col min="15361" max="15361" width="35.875" style="2960" customWidth="1"/>
    <col min="15362" max="15362" width="13" style="2960" customWidth="1"/>
    <col min="15363" max="15363" width="13.875" style="2960" customWidth="1"/>
    <col min="15364" max="15364" width="11.75" style="2960" customWidth="1"/>
    <col min="15365" max="15365" width="13.875" style="2960" customWidth="1"/>
    <col min="15366" max="15366" width="42.75" style="2960" customWidth="1"/>
    <col min="15367" max="15367" width="19.125" style="2960" customWidth="1"/>
    <col min="15368" max="15368" width="9" style="2960" customWidth="1"/>
    <col min="15369" max="15369" width="43.625" style="2960" customWidth="1"/>
    <col min="15370" max="15371" width="10.625" style="2960" customWidth="1"/>
    <col min="15372" max="15372" width="16" style="2960" customWidth="1"/>
    <col min="15373" max="15373" width="14.375" style="2960" customWidth="1"/>
    <col min="15374" max="15374" width="6.25" style="2960" customWidth="1"/>
    <col min="15375" max="15616" width="9" style="2960"/>
    <col min="15617" max="15617" width="35.875" style="2960" customWidth="1"/>
    <col min="15618" max="15618" width="13" style="2960" customWidth="1"/>
    <col min="15619" max="15619" width="13.875" style="2960" customWidth="1"/>
    <col min="15620" max="15620" width="11.75" style="2960" customWidth="1"/>
    <col min="15621" max="15621" width="13.875" style="2960" customWidth="1"/>
    <col min="15622" max="15622" width="42.75" style="2960" customWidth="1"/>
    <col min="15623" max="15623" width="19.125" style="2960" customWidth="1"/>
    <col min="15624" max="15624" width="9" style="2960" customWidth="1"/>
    <col min="15625" max="15625" width="43.625" style="2960" customWidth="1"/>
    <col min="15626" max="15627" width="10.625" style="2960" customWidth="1"/>
    <col min="15628" max="15628" width="16" style="2960" customWidth="1"/>
    <col min="15629" max="15629" width="14.375" style="2960" customWidth="1"/>
    <col min="15630" max="15630" width="6.25" style="2960" customWidth="1"/>
    <col min="15631" max="15872" width="9" style="2960"/>
    <col min="15873" max="15873" width="35.875" style="2960" customWidth="1"/>
    <col min="15874" max="15874" width="13" style="2960" customWidth="1"/>
    <col min="15875" max="15875" width="13.875" style="2960" customWidth="1"/>
    <col min="15876" max="15876" width="11.75" style="2960" customWidth="1"/>
    <col min="15877" max="15877" width="13.875" style="2960" customWidth="1"/>
    <col min="15878" max="15878" width="42.75" style="2960" customWidth="1"/>
    <col min="15879" max="15879" width="19.125" style="2960" customWidth="1"/>
    <col min="15880" max="15880" width="9" style="2960" customWidth="1"/>
    <col min="15881" max="15881" width="43.625" style="2960" customWidth="1"/>
    <col min="15882" max="15883" width="10.625" style="2960" customWidth="1"/>
    <col min="15884" max="15884" width="16" style="2960" customWidth="1"/>
    <col min="15885" max="15885" width="14.375" style="2960" customWidth="1"/>
    <col min="15886" max="15886" width="6.25" style="2960" customWidth="1"/>
    <col min="15887" max="16128" width="9" style="2960"/>
    <col min="16129" max="16129" width="35.875" style="2960" customWidth="1"/>
    <col min="16130" max="16130" width="13" style="2960" customWidth="1"/>
    <col min="16131" max="16131" width="13.875" style="2960" customWidth="1"/>
    <col min="16132" max="16132" width="11.75" style="2960" customWidth="1"/>
    <col min="16133" max="16133" width="13.875" style="2960" customWidth="1"/>
    <col min="16134" max="16134" width="42.75" style="2960" customWidth="1"/>
    <col min="16135" max="16135" width="19.125" style="2960" customWidth="1"/>
    <col min="16136" max="16136" width="9" style="2960" customWidth="1"/>
    <col min="16137" max="16137" width="43.625" style="2960" customWidth="1"/>
    <col min="16138" max="16139" width="10.625" style="2960" customWidth="1"/>
    <col min="16140" max="16140" width="16" style="2960" customWidth="1"/>
    <col min="16141" max="16141" width="14.375" style="2960" customWidth="1"/>
    <col min="16142" max="16142" width="6.25" style="2960" customWidth="1"/>
    <col min="16143" max="16384" width="9" style="2960"/>
  </cols>
  <sheetData>
    <row r="1" spans="1:13">
      <c r="A1" s="2960" t="s">
        <v>3279</v>
      </c>
      <c r="B1" s="2960" t="s">
        <v>3349</v>
      </c>
      <c r="C1" s="2960" t="s">
        <v>3280</v>
      </c>
      <c r="D1" s="2960" t="s">
        <v>3281</v>
      </c>
      <c r="E1" s="2960" t="s">
        <v>2035</v>
      </c>
      <c r="F1" s="2960" t="s">
        <v>3282</v>
      </c>
      <c r="G1" s="2960" t="s">
        <v>3283</v>
      </c>
      <c r="H1" s="2960" t="s">
        <v>3284</v>
      </c>
      <c r="I1" s="2960" t="s">
        <v>3285</v>
      </c>
      <c r="J1" s="2960" t="s">
        <v>3286</v>
      </c>
      <c r="K1" s="2960" t="s">
        <v>3287</v>
      </c>
      <c r="L1" s="2960" t="s">
        <v>3288</v>
      </c>
      <c r="M1" s="3483" t="s">
        <v>3348</v>
      </c>
    </row>
    <row r="2" spans="1:13">
      <c r="A2" s="3484" t="s">
        <v>3381</v>
      </c>
      <c r="B2" s="3482" t="s">
        <v>3350</v>
      </c>
      <c r="C2" s="3482">
        <v>24559</v>
      </c>
      <c r="D2" s="3482">
        <v>49118</v>
      </c>
      <c r="E2" s="3482" t="s">
        <v>3289</v>
      </c>
      <c r="F2" s="3482" t="s">
        <v>3290</v>
      </c>
      <c r="G2" s="3482" t="s">
        <v>3291</v>
      </c>
      <c r="H2" s="3482">
        <v>15472.17</v>
      </c>
      <c r="I2" s="3482">
        <v>23466.11</v>
      </c>
      <c r="J2" s="3482">
        <v>637</v>
      </c>
      <c r="K2" s="3482">
        <v>4777.5</v>
      </c>
      <c r="L2" s="3482">
        <v>51.67</v>
      </c>
      <c r="M2" s="3482">
        <f>ROUND(I2*10000/C2,0)</f>
        <v>9555</v>
      </c>
    </row>
    <row r="3" spans="1:13">
      <c r="A3" s="2960" t="s">
        <v>3292</v>
      </c>
      <c r="B3" s="2960" t="s">
        <v>3350</v>
      </c>
      <c r="C3" s="2960">
        <v>12433</v>
      </c>
      <c r="D3" s="2960">
        <v>31082.5</v>
      </c>
      <c r="E3" s="2960" t="s">
        <v>3293</v>
      </c>
      <c r="F3" s="2960" t="s">
        <v>3290</v>
      </c>
      <c r="G3" s="2960" t="s">
        <v>3294</v>
      </c>
      <c r="H3" s="2960">
        <v>4699.67</v>
      </c>
      <c r="I3" s="2960">
        <v>4699.67</v>
      </c>
      <c r="J3" s="2960">
        <v>252</v>
      </c>
      <c r="K3" s="2960">
        <v>1512</v>
      </c>
      <c r="L3" s="2960">
        <v>0</v>
      </c>
      <c r="M3" s="2960">
        <f t="shared" ref="M3:M22" si="0">ROUND(I3*10000/C3,0)</f>
        <v>3780</v>
      </c>
    </row>
    <row r="4" spans="1:13">
      <c r="A4" s="3484" t="s">
        <v>3445</v>
      </c>
      <c r="B4" s="3482" t="s">
        <v>3350</v>
      </c>
      <c r="C4" s="3482">
        <v>158977.4</v>
      </c>
      <c r="D4" s="3482">
        <v>381545.8</v>
      </c>
      <c r="E4" s="3482" t="s">
        <v>3295</v>
      </c>
      <c r="F4" s="3482" t="s">
        <v>3296</v>
      </c>
      <c r="G4" s="3482" t="s">
        <v>3297</v>
      </c>
      <c r="H4" s="3482" t="s">
        <v>2824</v>
      </c>
      <c r="I4" s="3482">
        <v>143079.70000000001</v>
      </c>
      <c r="J4" s="3482">
        <v>600</v>
      </c>
      <c r="K4" s="3482">
        <v>3750</v>
      </c>
      <c r="L4" s="3482" t="s">
        <v>2824</v>
      </c>
      <c r="M4" s="3482">
        <f t="shared" si="0"/>
        <v>9000</v>
      </c>
    </row>
    <row r="5" spans="1:13" s="3481" customFormat="1">
      <c r="A5" s="3481" t="s">
        <v>3298</v>
      </c>
      <c r="B5" s="3481" t="s">
        <v>3350</v>
      </c>
      <c r="C5" s="3481">
        <v>153875</v>
      </c>
      <c r="D5" s="3481">
        <v>369300</v>
      </c>
      <c r="E5" s="3481" t="s">
        <v>3295</v>
      </c>
      <c r="F5" s="3481" t="s">
        <v>3299</v>
      </c>
      <c r="G5" s="3481" t="s">
        <v>3300</v>
      </c>
      <c r="H5" s="3481">
        <v>64858.3</v>
      </c>
      <c r="I5" s="3481">
        <v>122099.8</v>
      </c>
      <c r="J5" s="3481">
        <v>529</v>
      </c>
      <c r="K5" s="3481">
        <v>3306.25</v>
      </c>
      <c r="L5" s="3481">
        <v>88.26</v>
      </c>
      <c r="M5" s="2960">
        <f t="shared" si="0"/>
        <v>7935</v>
      </c>
    </row>
    <row r="6" spans="1:13">
      <c r="A6" s="2960" t="s">
        <v>3301</v>
      </c>
      <c r="B6" s="2960" t="s">
        <v>3351</v>
      </c>
      <c r="C6" s="2960">
        <v>134777</v>
      </c>
      <c r="D6" s="2960">
        <v>323464.8</v>
      </c>
      <c r="E6" s="2960" t="s">
        <v>3295</v>
      </c>
      <c r="F6" s="2960" t="s">
        <v>3302</v>
      </c>
      <c r="G6" s="2960" t="s">
        <v>3303</v>
      </c>
      <c r="H6" s="2960">
        <v>72779.58</v>
      </c>
      <c r="I6" s="2960">
        <v>116851.69</v>
      </c>
      <c r="J6" s="2960">
        <v>578</v>
      </c>
      <c r="K6" s="2960">
        <v>3612.5</v>
      </c>
      <c r="L6" s="2960">
        <v>60.56</v>
      </c>
      <c r="M6" s="2960">
        <f t="shared" si="0"/>
        <v>8670</v>
      </c>
    </row>
    <row r="7" spans="1:13">
      <c r="A7" s="3484" t="s">
        <v>3446</v>
      </c>
      <c r="B7" s="3482" t="s">
        <v>3351</v>
      </c>
      <c r="C7" s="3482">
        <v>43569</v>
      </c>
      <c r="D7" s="3482">
        <v>108922.5</v>
      </c>
      <c r="E7" s="3482" t="s">
        <v>3304</v>
      </c>
      <c r="F7" s="3482" t="s">
        <v>3305</v>
      </c>
      <c r="G7" s="3482" t="s">
        <v>3306</v>
      </c>
      <c r="H7" s="3482">
        <v>20978.47</v>
      </c>
      <c r="I7" s="3482">
        <v>49400</v>
      </c>
      <c r="J7" s="3482">
        <v>755.89</v>
      </c>
      <c r="K7" s="3482">
        <v>4535.32</v>
      </c>
      <c r="L7" s="3482">
        <v>135.47999999999999</v>
      </c>
      <c r="M7" s="3482">
        <f t="shared" si="0"/>
        <v>11338</v>
      </c>
    </row>
    <row r="8" spans="1:13">
      <c r="A8" s="2960" t="s">
        <v>3307</v>
      </c>
      <c r="B8" s="2960" t="s">
        <v>3350</v>
      </c>
      <c r="C8" s="2960">
        <v>147.9</v>
      </c>
      <c r="D8" s="2960">
        <v>532.44000000000005</v>
      </c>
      <c r="E8" s="2960" t="s">
        <v>3308</v>
      </c>
      <c r="F8" s="2960" t="s">
        <v>3309</v>
      </c>
      <c r="G8" s="2960" t="s">
        <v>3310</v>
      </c>
      <c r="H8" s="2960">
        <v>35</v>
      </c>
      <c r="I8" s="2960">
        <v>96</v>
      </c>
      <c r="J8" s="2960">
        <v>432.72</v>
      </c>
      <c r="K8" s="2960">
        <v>1803.01</v>
      </c>
      <c r="L8" s="2960">
        <v>174.29</v>
      </c>
      <c r="M8" s="2960">
        <f t="shared" si="0"/>
        <v>6491</v>
      </c>
    </row>
    <row r="9" spans="1:13">
      <c r="A9" s="2960" t="s">
        <v>3311</v>
      </c>
      <c r="B9" s="2960" t="s">
        <v>3350</v>
      </c>
      <c r="C9" s="2960">
        <v>96</v>
      </c>
      <c r="D9" s="2960">
        <v>432</v>
      </c>
      <c r="E9" s="2960" t="s">
        <v>3312</v>
      </c>
      <c r="F9" s="2960" t="s">
        <v>3313</v>
      </c>
      <c r="G9" s="2960" t="s">
        <v>3314</v>
      </c>
      <c r="H9" s="2960">
        <v>20</v>
      </c>
      <c r="I9" s="2960">
        <v>20</v>
      </c>
      <c r="J9" s="2960">
        <v>138.88999999999999</v>
      </c>
      <c r="K9" s="2960">
        <v>462.95</v>
      </c>
      <c r="L9" s="2960">
        <v>0</v>
      </c>
      <c r="M9" s="2960">
        <f t="shared" si="0"/>
        <v>2083</v>
      </c>
    </row>
    <row r="10" spans="1:13">
      <c r="A10" s="2960" t="s">
        <v>3315</v>
      </c>
      <c r="B10" s="2960" t="s">
        <v>3350</v>
      </c>
      <c r="C10" s="2960">
        <v>96</v>
      </c>
      <c r="D10" s="2960">
        <v>432</v>
      </c>
      <c r="E10" s="2960" t="s">
        <v>3312</v>
      </c>
      <c r="F10" s="2960" t="s">
        <v>3313</v>
      </c>
      <c r="G10" s="2960" t="s">
        <v>3316</v>
      </c>
      <c r="H10" s="2960">
        <v>20</v>
      </c>
      <c r="I10" s="2960">
        <v>53</v>
      </c>
      <c r="J10" s="2960">
        <v>368.06</v>
      </c>
      <c r="K10" s="2960">
        <v>1226.8399999999999</v>
      </c>
      <c r="L10" s="2960">
        <v>165</v>
      </c>
      <c r="M10" s="2960">
        <f t="shared" si="0"/>
        <v>5521</v>
      </c>
    </row>
    <row r="11" spans="1:13">
      <c r="A11" s="2960" t="s">
        <v>3317</v>
      </c>
      <c r="B11" s="2960" t="s">
        <v>3350</v>
      </c>
      <c r="C11" s="2960">
        <v>60</v>
      </c>
      <c r="D11" s="2960">
        <v>270</v>
      </c>
      <c r="E11" s="2960" t="s">
        <v>3312</v>
      </c>
      <c r="F11" s="2960" t="s">
        <v>3313</v>
      </c>
      <c r="G11" s="2960" t="s">
        <v>3318</v>
      </c>
      <c r="H11" s="2960">
        <v>13</v>
      </c>
      <c r="I11" s="2960">
        <v>13</v>
      </c>
      <c r="J11" s="2960">
        <v>144.44</v>
      </c>
      <c r="K11" s="2960">
        <v>481.48</v>
      </c>
      <c r="L11" s="2960">
        <v>0</v>
      </c>
      <c r="M11" s="2960">
        <f t="shared" si="0"/>
        <v>2167</v>
      </c>
    </row>
    <row r="12" spans="1:13">
      <c r="A12" s="2960" t="s">
        <v>3319</v>
      </c>
      <c r="B12" s="2960" t="s">
        <v>3350</v>
      </c>
      <c r="C12" s="2960">
        <v>96</v>
      </c>
      <c r="D12" s="2960">
        <v>432</v>
      </c>
      <c r="E12" s="2960" t="s">
        <v>3312</v>
      </c>
      <c r="F12" s="2960" t="s">
        <v>3313</v>
      </c>
      <c r="G12" s="2960" t="s">
        <v>3318</v>
      </c>
      <c r="H12" s="2960">
        <v>20</v>
      </c>
      <c r="I12" s="2960">
        <v>29</v>
      </c>
      <c r="J12" s="2960">
        <v>201.39</v>
      </c>
      <c r="K12" s="2960">
        <v>671.29</v>
      </c>
      <c r="L12" s="2960">
        <v>45</v>
      </c>
      <c r="M12" s="2960">
        <f t="shared" si="0"/>
        <v>3021</v>
      </c>
    </row>
    <row r="13" spans="1:13">
      <c r="A13" s="2960" t="s">
        <v>3320</v>
      </c>
      <c r="B13" s="2960" t="s">
        <v>3350</v>
      </c>
      <c r="C13" s="2960">
        <v>96</v>
      </c>
      <c r="D13" s="2960">
        <v>432</v>
      </c>
      <c r="E13" s="2960" t="s">
        <v>3312</v>
      </c>
      <c r="F13" s="2960" t="s">
        <v>3313</v>
      </c>
      <c r="G13" s="2960" t="s">
        <v>3321</v>
      </c>
      <c r="H13" s="2960">
        <v>20</v>
      </c>
      <c r="I13" s="2960">
        <v>21</v>
      </c>
      <c r="J13" s="2960">
        <v>145.83000000000001</v>
      </c>
      <c r="K13" s="2960">
        <v>486.11</v>
      </c>
      <c r="L13" s="2960">
        <v>5</v>
      </c>
      <c r="M13" s="2960">
        <f t="shared" si="0"/>
        <v>2188</v>
      </c>
    </row>
    <row r="14" spans="1:13">
      <c r="A14" s="2960" t="s">
        <v>3322</v>
      </c>
      <c r="B14" s="2960" t="s">
        <v>3350</v>
      </c>
      <c r="C14" s="2960">
        <v>96</v>
      </c>
      <c r="D14" s="2960">
        <v>432</v>
      </c>
      <c r="E14" s="2960" t="s">
        <v>3312</v>
      </c>
      <c r="F14" s="2960" t="s">
        <v>3313</v>
      </c>
      <c r="G14" s="2960" t="s">
        <v>3323</v>
      </c>
      <c r="H14" s="2960">
        <v>20</v>
      </c>
      <c r="I14" s="2960">
        <v>58</v>
      </c>
      <c r="J14" s="2960">
        <v>402.78</v>
      </c>
      <c r="K14" s="2960">
        <v>1342.58</v>
      </c>
      <c r="L14" s="2960">
        <v>190</v>
      </c>
      <c r="M14" s="2960">
        <f t="shared" si="0"/>
        <v>6042</v>
      </c>
    </row>
    <row r="15" spans="1:13">
      <c r="A15" s="2960" t="s">
        <v>3324</v>
      </c>
      <c r="B15" s="2960" t="s">
        <v>3350</v>
      </c>
      <c r="C15" s="2960">
        <v>96</v>
      </c>
      <c r="D15" s="2960">
        <v>432</v>
      </c>
      <c r="E15" s="2960" t="s">
        <v>3312</v>
      </c>
      <c r="F15" s="2960" t="s">
        <v>3313</v>
      </c>
      <c r="G15" s="2960" t="s">
        <v>3325</v>
      </c>
      <c r="H15" s="2960">
        <v>20</v>
      </c>
      <c r="I15" s="2960">
        <v>50</v>
      </c>
      <c r="J15" s="2960">
        <v>347.22</v>
      </c>
      <c r="K15" s="2960">
        <v>1157.4100000000001</v>
      </c>
      <c r="L15" s="2960">
        <v>150</v>
      </c>
      <c r="M15" s="2960">
        <f t="shared" si="0"/>
        <v>5208</v>
      </c>
    </row>
    <row r="16" spans="1:13">
      <c r="A16" s="2960" t="s">
        <v>3326</v>
      </c>
      <c r="B16" s="2960" t="s">
        <v>3350</v>
      </c>
      <c r="C16" s="2960">
        <v>25238</v>
      </c>
      <c r="D16" s="2960">
        <v>65618.8</v>
      </c>
      <c r="E16" s="2960" t="s">
        <v>3327</v>
      </c>
      <c r="F16" s="2960" t="s">
        <v>3328</v>
      </c>
      <c r="G16" s="2960" t="s">
        <v>3329</v>
      </c>
      <c r="H16" s="2960">
        <v>11887.1</v>
      </c>
      <c r="I16" s="2960">
        <v>18587.79</v>
      </c>
      <c r="J16" s="2960">
        <v>491</v>
      </c>
      <c r="K16" s="2960">
        <v>2832.69</v>
      </c>
      <c r="L16" s="2960">
        <v>56.37</v>
      </c>
      <c r="M16" s="2960">
        <f t="shared" si="0"/>
        <v>7365</v>
      </c>
    </row>
    <row r="17" spans="1:13">
      <c r="A17" s="2960" t="s">
        <v>3330</v>
      </c>
      <c r="B17" s="2960" t="s">
        <v>3350</v>
      </c>
      <c r="C17" s="2960">
        <v>13328.9</v>
      </c>
      <c r="D17" s="2960">
        <v>23992.02</v>
      </c>
      <c r="E17" s="2960" t="s">
        <v>3331</v>
      </c>
      <c r="F17" s="2960" t="s">
        <v>3332</v>
      </c>
      <c r="G17" s="2960" t="s">
        <v>3333</v>
      </c>
      <c r="H17" s="2960">
        <v>50</v>
      </c>
      <c r="I17" s="2960">
        <v>50</v>
      </c>
      <c r="J17" s="2960">
        <v>2.5</v>
      </c>
      <c r="K17" s="2960">
        <v>20.83</v>
      </c>
      <c r="L17" s="2960">
        <v>0</v>
      </c>
      <c r="M17" s="2960">
        <f t="shared" si="0"/>
        <v>38</v>
      </c>
    </row>
    <row r="18" spans="1:13">
      <c r="A18" s="2960" t="s">
        <v>3334</v>
      </c>
      <c r="B18" s="2960" t="s">
        <v>3350</v>
      </c>
      <c r="C18" s="2960">
        <v>17332</v>
      </c>
      <c r="D18" s="2960">
        <v>38130.400000000001</v>
      </c>
      <c r="E18" s="2960" t="s">
        <v>3335</v>
      </c>
      <c r="F18" s="2960" t="s">
        <v>3336</v>
      </c>
      <c r="G18" s="2960" t="s">
        <v>3333</v>
      </c>
      <c r="H18" s="2960">
        <v>1221.9100000000001</v>
      </c>
      <c r="I18" s="2960">
        <v>1221.9100000000001</v>
      </c>
      <c r="J18" s="2960">
        <v>47</v>
      </c>
      <c r="K18" s="2960">
        <v>320.45</v>
      </c>
      <c r="L18" s="2960">
        <v>0</v>
      </c>
      <c r="M18" s="2960">
        <f t="shared" si="0"/>
        <v>705</v>
      </c>
    </row>
    <row r="19" spans="1:13">
      <c r="A19" s="2960" t="s">
        <v>3337</v>
      </c>
      <c r="B19" s="2960" t="s">
        <v>3350</v>
      </c>
      <c r="C19" s="2960">
        <v>12701.48</v>
      </c>
      <c r="D19" s="2960">
        <v>27943.26</v>
      </c>
      <c r="E19" s="2960" t="s">
        <v>3335</v>
      </c>
      <c r="F19" s="2960" t="s">
        <v>3338</v>
      </c>
      <c r="G19" s="2960" t="s">
        <v>3339</v>
      </c>
      <c r="H19" s="2960">
        <v>99</v>
      </c>
      <c r="I19" s="2960">
        <v>99</v>
      </c>
      <c r="J19" s="2960">
        <v>5.2</v>
      </c>
      <c r="K19" s="2960">
        <v>35.42</v>
      </c>
      <c r="L19" s="2960">
        <v>0</v>
      </c>
      <c r="M19" s="2960">
        <f t="shared" si="0"/>
        <v>78</v>
      </c>
    </row>
    <row r="20" spans="1:13">
      <c r="A20" s="2960" t="s">
        <v>3340</v>
      </c>
      <c r="B20" s="2960" t="s">
        <v>3350</v>
      </c>
      <c r="C20" s="2960">
        <v>19151</v>
      </c>
      <c r="D20" s="2960">
        <v>42132.2</v>
      </c>
      <c r="E20" s="2960" t="s">
        <v>3335</v>
      </c>
      <c r="F20" s="2960" t="s">
        <v>3341</v>
      </c>
      <c r="G20" s="2960" t="s">
        <v>3342</v>
      </c>
      <c r="H20" s="2960">
        <v>67</v>
      </c>
      <c r="I20" s="2960">
        <v>67</v>
      </c>
      <c r="J20" s="2960">
        <v>2.33</v>
      </c>
      <c r="K20" s="2960">
        <v>15.9</v>
      </c>
      <c r="L20" s="2960">
        <v>0</v>
      </c>
      <c r="M20" s="2960">
        <f t="shared" si="0"/>
        <v>35</v>
      </c>
    </row>
    <row r="21" spans="1:13">
      <c r="A21" s="2960" t="s">
        <v>3343</v>
      </c>
      <c r="B21" s="2960" t="s">
        <v>3351</v>
      </c>
      <c r="C21" s="2960">
        <v>20514.47</v>
      </c>
      <c r="D21" s="2960">
        <v>51286.18</v>
      </c>
      <c r="E21" s="2960" t="s">
        <v>3293</v>
      </c>
      <c r="F21" s="2960" t="s">
        <v>3344</v>
      </c>
      <c r="G21" s="2960" t="s">
        <v>3345</v>
      </c>
      <c r="H21" s="2960">
        <v>1169.31</v>
      </c>
      <c r="I21" s="2960">
        <v>1169.31</v>
      </c>
      <c r="J21" s="2960">
        <v>38</v>
      </c>
      <c r="K21" s="2960">
        <v>228</v>
      </c>
      <c r="L21" s="2960">
        <v>0</v>
      </c>
      <c r="M21" s="2960">
        <f t="shared" si="0"/>
        <v>570</v>
      </c>
    </row>
    <row r="22" spans="1:13">
      <c r="A22" s="2960" t="s">
        <v>3346</v>
      </c>
      <c r="B22" s="2960" t="s">
        <v>3351</v>
      </c>
      <c r="C22" s="2960">
        <v>14890</v>
      </c>
      <c r="D22" s="2960">
        <v>37225</v>
      </c>
      <c r="E22" s="2960" t="s">
        <v>3293</v>
      </c>
      <c r="F22" s="2960" t="s">
        <v>3344</v>
      </c>
      <c r="G22" s="2960" t="s">
        <v>3347</v>
      </c>
      <c r="H22" s="2960">
        <v>2635.53</v>
      </c>
      <c r="I22" s="2960">
        <v>2635.53</v>
      </c>
      <c r="J22" s="2960">
        <v>118</v>
      </c>
      <c r="K22" s="2960">
        <v>708</v>
      </c>
      <c r="L22" s="2960">
        <v>0</v>
      </c>
      <c r="M22" s="2960">
        <f t="shared" si="0"/>
        <v>1770</v>
      </c>
    </row>
    <row r="23" spans="1:13">
      <c r="A23"/>
    </row>
    <row r="59" spans="1:1">
      <c r="A59"/>
    </row>
    <row r="94" spans="1:1">
      <c r="A94"/>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赣州市恒臣置业有限公司：</v>
      </c>
    </row>
    <row r="4" spans="1:4" ht="37.5">
      <c r="A4" s="1790" t="str">
        <f>"受贵公司委托，我公司对"&amp;项目基本情况!K2&amp;项目基本情况!B9&amp;"进行了预评估。"</f>
        <v>受贵公司委托，我公司对江西省赣州市赣南大道南侧（原灯饰市场）地块出让国有建设用地使用权市场价格进行了预评估。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赣州市恒臣置业有限公司使用的、位于江西省赣州市赣南大道南侧（原灯饰市场）地块出让国有建设用地使用权。根据《国有建设用地使用权出让合同》及附件[电子监管号：3607822017B00480号]，估价对象（分摊）出让国有建设用地使用权面积为153875平方米。根据《赣州恒大城E-1&amp;E-2经济技术指标》，估价对象规划建筑面积为493630.89平方米。</v>
      </c>
    </row>
    <row r="7" spans="1:4" ht="93.75">
      <c r="A7" s="2895" t="s">
        <v>2754</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2018年4月16日</v>
      </c>
    </row>
    <row r="12" spans="1:4" ht="18.75">
      <c r="A12" s="1796" t="s">
        <v>2028</v>
      </c>
    </row>
    <row r="13" spans="1:4" ht="18.75">
      <c r="A13" s="1790" t="s">
        <v>2074</v>
      </c>
    </row>
    <row r="14" spans="1:4" ht="56.25">
      <c r="A14" s="1790" t="str">
        <f>"根据"&amp;项目基本情况!F12&amp;"，本次评估估价对象证载（地类）用途为"&amp;项目基本情况!B12&amp;"。"</f>
        <v>根据《国有建设用地使用权出让合同》及附件[电子监管号：3607822017B00480号]，本次评估估价对象证载（地类）用途为其他普通商品住房用地。</v>
      </c>
      <c r="C14" s="1780"/>
      <c r="D14" s="1781"/>
    </row>
    <row r="15" spans="1:4" ht="56.2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根据《赣州恒大城E-1&amp;E-2经济技术指标》，估价对象土地规划用途为住宅、商业、地下车库，上述用途符合《国有土地使用证》证载地类范围。本次评估设定用途为住宅、商业、地下车库。</v>
      </c>
      <c r="C15" s="1780"/>
      <c r="D15" s="1781"/>
    </row>
    <row r="16" spans="1:4" ht="18.75">
      <c r="A16" s="1790" t="s">
        <v>2075</v>
      </c>
    </row>
    <row r="17" spans="1:1" ht="93.7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估价委托方尚未取得《建筑工程施工许可证》，但已开始土方工程建设及建筑物建设，并建有数幢临时工程用房。。</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电子监管号：3607822017B00480号]，估价对象（分摊）出让国有建设用地使用权面积为153875平方米。根据《赣州恒大城E-1&amp;E-2经济技术指标》，估价对象规划建筑面积为493630.89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7" t="s">
        <v>2755</v>
      </c>
    </row>
    <row r="24" spans="1:1" ht="18.75">
      <c r="A24" s="1790" t="s">
        <v>2078</v>
      </c>
    </row>
    <row r="25" spans="1:1" ht="93.75">
      <c r="A25" s="1790" t="str">
        <f>定义!C53</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住宅、商业、地下车库，剩余土地使用年限为住宅69.4年、商业39.4年、地下车库49.4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8" t="s">
        <v>2041</v>
      </c>
      <c r="B1" s="3518"/>
      <c r="C1" s="3518"/>
      <c r="D1" s="3518"/>
      <c r="E1" s="3518"/>
      <c r="F1" s="3518"/>
      <c r="G1" s="3518"/>
      <c r="H1" s="3518"/>
      <c r="I1" s="3518"/>
      <c r="J1" s="3518"/>
      <c r="K1" s="3518"/>
      <c r="L1" s="3518"/>
      <c r="M1" s="3518"/>
      <c r="N1" s="3518"/>
      <c r="O1" s="3518"/>
      <c r="P1" s="3518"/>
      <c r="Q1" s="3518"/>
      <c r="R1" s="3518"/>
    </row>
    <row r="2" spans="1:18">
      <c r="A2" s="1806" t="s">
        <v>2043</v>
      </c>
      <c r="B2" s="1806"/>
      <c r="C2" s="1806"/>
      <c r="D2" s="1806"/>
      <c r="E2" s="1806"/>
      <c r="F2" s="1806"/>
      <c r="G2" s="1806"/>
      <c r="H2" s="1806"/>
      <c r="I2" s="1807"/>
      <c r="J2" s="1807"/>
      <c r="K2" s="1808" t="str">
        <f>"估价期日："&amp;TEXT(项目基本情况!D3,"yyyy年m月d日;;")</f>
        <v>估价期日：2018年4月16日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19" t="s">
        <v>2032</v>
      </c>
      <c r="B3" s="3519" t="s">
        <v>2737</v>
      </c>
      <c r="C3" s="3520" t="s">
        <v>2033</v>
      </c>
      <c r="D3" s="3519" t="s">
        <v>2741</v>
      </c>
      <c r="E3" s="3522" t="s">
        <v>2034</v>
      </c>
      <c r="F3" s="3522"/>
      <c r="G3" s="3522"/>
      <c r="H3" s="3522" t="s">
        <v>2035</v>
      </c>
      <c r="I3" s="3522"/>
      <c r="J3" s="3522"/>
      <c r="K3" s="3520" t="s">
        <v>2036</v>
      </c>
      <c r="L3" s="3520" t="s">
        <v>2037</v>
      </c>
      <c r="M3" s="3519" t="s">
        <v>2738</v>
      </c>
      <c r="N3" s="3521" t="str">
        <f>"（分摊）"&amp;项目基本情况!B16&amp;"国有建设用地使用权面积/㎡"</f>
        <v>（分摊）出让国有建设用地使用权面积/㎡</v>
      </c>
      <c r="O3" s="3519" t="s">
        <v>2066</v>
      </c>
      <c r="P3" s="3520" t="s">
        <v>2046</v>
      </c>
      <c r="Q3" s="3520" t="s">
        <v>2067</v>
      </c>
      <c r="R3" s="3520" t="s">
        <v>2038</v>
      </c>
    </row>
    <row r="4" spans="1:18" ht="36.75" customHeight="1">
      <c r="A4" s="3519"/>
      <c r="B4" s="3519"/>
      <c r="C4" s="3520"/>
      <c r="D4" s="3519"/>
      <c r="E4" s="2671" t="s">
        <v>2045</v>
      </c>
      <c r="F4" s="2671" t="s">
        <v>2750</v>
      </c>
      <c r="G4" s="2671" t="s">
        <v>2039</v>
      </c>
      <c r="H4" s="2671" t="s">
        <v>2040</v>
      </c>
      <c r="I4" s="2671" t="s">
        <v>2751</v>
      </c>
      <c r="J4" s="2671" t="s">
        <v>2039</v>
      </c>
      <c r="K4" s="3520"/>
      <c r="L4" s="3520"/>
      <c r="M4" s="3519"/>
      <c r="N4" s="3521"/>
      <c r="O4" s="3519"/>
      <c r="P4" s="3520"/>
      <c r="Q4" s="3520"/>
      <c r="R4" s="3520"/>
    </row>
    <row r="5" spans="1:18" ht="135" customHeight="1">
      <c r="A5" s="1942" t="s">
        <v>2661</v>
      </c>
      <c r="B5" s="2889" t="s">
        <v>2659</v>
      </c>
      <c r="C5" s="2670">
        <v>22</v>
      </c>
      <c r="D5" s="2669" t="s">
        <v>2660</v>
      </c>
      <c r="E5" s="1809" t="str">
        <f>项目基本情况!B12</f>
        <v>其他普通商品住房用地</v>
      </c>
      <c r="F5" s="2669">
        <v>258</v>
      </c>
      <c r="G5" s="1809" t="str">
        <f>项目基本情况!B13</f>
        <v>住宅、商业、地下车库</v>
      </c>
      <c r="H5" s="2669">
        <v>1.5</v>
      </c>
      <c r="I5" s="2669">
        <v>1.5</v>
      </c>
      <c r="J5" s="2669">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红线外七通、宗地红线内场地平整</v>
      </c>
      <c r="M5" s="1809" t="str">
        <f>IF(项目基本情况!B16="出让",项目基本情况!D20,"——")</f>
        <v>住宅69.4年、商业39.4年、地下车库49.4年</v>
      </c>
      <c r="N5" s="1809">
        <f>项目基本情况!C22</f>
        <v>153875</v>
      </c>
      <c r="O5" s="1809">
        <f>项目基本情况!C21</f>
        <v>493630.89</v>
      </c>
      <c r="P5" s="1809">
        <f ca="1">结果表!E42</f>
        <v>10040</v>
      </c>
      <c r="Q5" s="1809">
        <f ca="1">结果表!D42</f>
        <v>3130</v>
      </c>
      <c r="R5" s="1810">
        <f ca="1">结果表!C42</f>
        <v>154493</v>
      </c>
    </row>
    <row r="6" spans="1:18">
      <c r="A6" s="3515" t="str">
        <f>IF(项目基本情况!B9="市场价格","——","抵押价格")</f>
        <v>——</v>
      </c>
      <c r="B6" s="3516"/>
      <c r="C6" s="3516"/>
      <c r="D6" s="3516"/>
      <c r="E6" s="3516"/>
      <c r="F6" s="3516"/>
      <c r="G6" s="3516"/>
      <c r="H6" s="3516"/>
      <c r="I6" s="3516"/>
      <c r="J6" s="3516"/>
      <c r="K6" s="3516"/>
      <c r="L6" s="3516"/>
      <c r="M6" s="3516"/>
      <c r="N6" s="3516"/>
      <c r="O6" s="3516"/>
      <c r="P6" s="3516"/>
      <c r="Q6" s="3517"/>
      <c r="R6" s="1811">
        <f ca="1">结果表!O39</f>
        <v>154493</v>
      </c>
    </row>
    <row r="7" spans="1:18">
      <c r="A7" s="3515" t="str">
        <f>IF(项目基本情况!B9="市场价格","——",IF(项目基本情况!E8="已注销及未注销","抵押担保权已注销时的抵押价格","——"))</f>
        <v>——</v>
      </c>
      <c r="B7" s="3516"/>
      <c r="C7" s="3516"/>
      <c r="D7" s="3516"/>
      <c r="E7" s="3516"/>
      <c r="F7" s="3516"/>
      <c r="G7" s="3516"/>
      <c r="H7" s="3516"/>
      <c r="I7" s="3516"/>
      <c r="J7" s="3516"/>
      <c r="K7" s="3516"/>
      <c r="L7" s="3516"/>
      <c r="M7" s="3516"/>
      <c r="N7" s="3516"/>
      <c r="O7" s="3516"/>
      <c r="P7" s="3516"/>
      <c r="Q7" s="3517"/>
      <c r="R7" s="1811" t="str">
        <f>结果表!O40</f>
        <v>——</v>
      </c>
    </row>
    <row r="8" spans="1:18">
      <c r="A8" s="3515" t="str">
        <f>IF(项目基本情况!B9="市场价格","——",项目基本情况!E9)</f>
        <v>——</v>
      </c>
      <c r="B8" s="3516"/>
      <c r="C8" s="3516"/>
      <c r="D8" s="3516"/>
      <c r="E8" s="3516"/>
      <c r="F8" s="3516"/>
      <c r="G8" s="3516"/>
      <c r="H8" s="3516"/>
      <c r="I8" s="3516"/>
      <c r="J8" s="3516"/>
      <c r="K8" s="3516"/>
      <c r="L8" s="3516"/>
      <c r="M8" s="3516"/>
      <c r="N8" s="3516"/>
      <c r="O8" s="3516"/>
      <c r="P8" s="3516"/>
      <c r="Q8" s="3517"/>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23" t="s">
        <v>2068</v>
      </c>
      <c r="B1" s="3523"/>
      <c r="C1" s="3523"/>
      <c r="D1" s="3523"/>
    </row>
    <row r="2" spans="1:4" ht="47.25" customHeight="1">
      <c r="A2" s="3527" t="str">
        <f>"1.权利限制："&amp;项目基本情况!L24&amp;"未设定租赁等其他他项权利。"</f>
        <v>1.权利限制：根据估价对象《不动产权证书》原件、《国有土地使用权》复印件，截至估价期日，估价对象抵押权未见登记。未设定租赁等其他他项权利。</v>
      </c>
      <c r="B2" s="3527"/>
      <c r="C2" s="3527"/>
      <c r="D2" s="3527"/>
    </row>
    <row r="3" spans="1:4" ht="48" customHeight="1">
      <c r="A3" s="352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523"/>
      <c r="C3" s="3523"/>
      <c r="D3" s="3523"/>
    </row>
    <row r="4" spans="1:4" ht="36.75" customHeight="1">
      <c r="A4" s="3523" t="str">
        <f>"3.估价规划限制条件：详见"&amp;项目基本情况!E21&amp;"。"</f>
        <v>3.估价规划限制条件：详见《赣州恒大城E-1&amp;E-2经济技术指标》。</v>
      </c>
      <c r="B4" s="3523"/>
      <c r="C4" s="3523"/>
      <c r="D4" s="3523"/>
    </row>
    <row r="5" spans="1:4">
      <c r="A5" s="3526" t="s">
        <v>2069</v>
      </c>
      <c r="B5" s="3526"/>
      <c r="C5" s="3526"/>
      <c r="D5" s="3526"/>
    </row>
    <row r="6" spans="1:4">
      <c r="A6" s="3523" t="s">
        <v>2047</v>
      </c>
      <c r="B6" s="3523"/>
      <c r="C6" s="3523"/>
      <c r="D6" s="3523"/>
    </row>
    <row r="7" spans="1:4" ht="33" customHeight="1">
      <c r="A7" s="3523" t="s">
        <v>2581</v>
      </c>
      <c r="B7" s="3523"/>
      <c r="C7" s="3523"/>
      <c r="D7" s="3523"/>
    </row>
    <row r="8" spans="1:4" ht="32.25" customHeight="1">
      <c r="A8" s="35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23"/>
      <c r="C8" s="3523"/>
      <c r="D8" s="3523"/>
    </row>
    <row r="9" spans="1:4" ht="33.75" customHeight="1">
      <c r="A9" s="3523" t="str">
        <f>IF(项目基本情况!B8="抵押","3.抵押双方在办理抵押登记手续时，应使用本公司出具的正式《土地估价报告》，特提请报告使用者注意。","——")</f>
        <v>——</v>
      </c>
      <c r="B9" s="3523"/>
      <c r="C9" s="3523"/>
      <c r="D9" s="3523"/>
    </row>
    <row r="10" spans="1:4">
      <c r="A10" s="3523" t="str">
        <f>IF(项目基本情况!B8="抵押","4.估价师所知悉的法定优先受偿款情况为：","——")</f>
        <v>——</v>
      </c>
      <c r="B10" s="3523"/>
      <c r="C10" s="3523"/>
      <c r="D10" s="3523"/>
    </row>
    <row r="11" spans="1:4" ht="37.5" customHeight="1">
      <c r="A11" s="3525" t="str">
        <f>IF(项目基本情况!B8="抵押","（1）"&amp;CONCATENATE(项目基本情况!L24,项目基本情况!L25,项目基本情况!L26),"——")</f>
        <v>——</v>
      </c>
      <c r="B11" s="3525"/>
      <c r="C11" s="3525"/>
      <c r="D11" s="3525"/>
    </row>
    <row r="12" spans="1:4" ht="168" customHeight="1">
      <c r="A12" s="3526" t="s">
        <v>2071</v>
      </c>
      <c r="B12" s="3526"/>
      <c r="C12" s="3526"/>
      <c r="D12" s="3526"/>
    </row>
    <row r="13" spans="1:4">
      <c r="A13" s="3524" t="s">
        <v>2752</v>
      </c>
      <c r="B13" s="3524"/>
      <c r="C13" s="3524"/>
      <c r="D13" s="3524"/>
    </row>
    <row r="14" spans="1:4">
      <c r="A14" s="3525" t="str">
        <f>IF(项目基本情况!B8="抵押","综上，"&amp;结果表!K47,"——")</f>
        <v>——</v>
      </c>
      <c r="B14" s="3525"/>
      <c r="C14" s="3525"/>
      <c r="D14" s="3525"/>
    </row>
    <row r="15" spans="1:4" ht="58.5" customHeight="1">
      <c r="A15" s="35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3"/>
      <c r="C15" s="3523"/>
      <c r="D15" s="3523"/>
    </row>
    <row r="16" spans="1:4" ht="70.5" customHeight="1">
      <c r="A16" s="35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3"/>
      <c r="C16" s="3523"/>
      <c r="D16" s="3523"/>
    </row>
    <row r="17" spans="1:4">
      <c r="A17" s="3523" t="s">
        <v>2708</v>
      </c>
      <c r="B17" s="3523"/>
      <c r="C17" s="3523"/>
      <c r="D17" s="3523"/>
    </row>
    <row r="18" spans="1:4">
      <c r="A18" s="3523" t="s">
        <v>2700</v>
      </c>
      <c r="B18" s="3523"/>
      <c r="C18" s="3523"/>
      <c r="D18" s="3523"/>
    </row>
    <row r="19" spans="1:4">
      <c r="A19" s="2890" t="s">
        <v>2701</v>
      </c>
      <c r="B19" s="2890" t="s">
        <v>2702</v>
      </c>
      <c r="C19" s="2890" t="s">
        <v>2703</v>
      </c>
      <c r="D19" s="2890" t="s">
        <v>2704</v>
      </c>
    </row>
    <row r="20" spans="1:4">
      <c r="A20" s="2890" t="str">
        <f>项目基本情况!B4</f>
        <v>刘梅</v>
      </c>
      <c r="B20" s="2890">
        <f ca="1">项目基本情况!C4</f>
        <v>2008110059</v>
      </c>
      <c r="C20" s="2892"/>
      <c r="D20" s="1799" t="s">
        <v>2709</v>
      </c>
    </row>
    <row r="21" spans="1:4">
      <c r="A21" s="2890" t="str">
        <f>项目基本情况!D4</f>
        <v>吴薇</v>
      </c>
      <c r="B21" s="2890">
        <f ca="1">项目基本情况!E4</f>
        <v>2002110125</v>
      </c>
      <c r="C21" s="2892"/>
      <c r="D21" s="1799" t="s">
        <v>2710</v>
      </c>
    </row>
    <row r="23" spans="1:4">
      <c r="A23" s="3523" t="s">
        <v>2705</v>
      </c>
      <c r="B23" s="3523"/>
      <c r="C23" s="3523"/>
      <c r="D23" s="3523"/>
    </row>
    <row r="24" spans="1:4">
      <c r="A24" s="2890" t="s">
        <v>2701</v>
      </c>
      <c r="B24" s="2890" t="s">
        <v>2706</v>
      </c>
      <c r="C24" s="2890" t="s">
        <v>2703</v>
      </c>
      <c r="D24" s="2890" t="s">
        <v>2704</v>
      </c>
    </row>
    <row r="25" spans="1:4">
      <c r="A25" s="2893" t="s">
        <v>2707</v>
      </c>
      <c r="B25" s="2890" t="s">
        <v>953</v>
      </c>
      <c r="C25" s="2892"/>
      <c r="D25" s="1799" t="s">
        <v>2710</v>
      </c>
    </row>
    <row r="29" spans="1:4">
      <c r="D29" s="2891" t="s">
        <v>2042</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535" t="s">
        <v>53</v>
      </c>
      <c r="B15" s="3536" t="s">
        <v>847</v>
      </c>
      <c r="C15" s="3532"/>
    </row>
    <row r="16" spans="1:7" ht="14.25">
      <c r="A16" s="3535"/>
      <c r="B16" s="3533" t="s">
        <v>54</v>
      </c>
      <c r="C16" s="1170" t="s">
        <v>53</v>
      </c>
    </row>
    <row r="17" spans="1:3" ht="14.25">
      <c r="A17" s="3535"/>
      <c r="B17" s="3533"/>
      <c r="C17" s="1170" t="s">
        <v>55</v>
      </c>
    </row>
    <row r="18" spans="1:3" ht="14.25">
      <c r="A18" s="3535"/>
      <c r="B18" s="3533"/>
      <c r="C18" s="1170" t="s">
        <v>56</v>
      </c>
    </row>
    <row r="19" spans="1:3" ht="14.25">
      <c r="A19" s="3535"/>
      <c r="B19" s="3531" t="s">
        <v>57</v>
      </c>
      <c r="C19" s="3532"/>
    </row>
    <row r="20" spans="1:3" ht="14.25">
      <c r="A20" s="1171" t="s">
        <v>58</v>
      </c>
      <c r="B20" s="1172"/>
      <c r="C20" s="1173"/>
    </row>
    <row r="21" spans="1:3" ht="14.25">
      <c r="A21" s="3534" t="s">
        <v>59</v>
      </c>
      <c r="B21" s="3531" t="s">
        <v>60</v>
      </c>
      <c r="C21" s="3532"/>
    </row>
    <row r="22" spans="1:3" ht="14.25">
      <c r="A22" s="3534"/>
      <c r="B22" s="3531" t="s">
        <v>61</v>
      </c>
      <c r="C22" s="3532"/>
    </row>
    <row r="23" spans="1:3" ht="14.25">
      <c r="A23" s="3534"/>
      <c r="B23" s="3531" t="s">
        <v>62</v>
      </c>
      <c r="C23" s="3532"/>
    </row>
    <row r="24" spans="1:3" ht="14.25">
      <c r="A24" s="3534"/>
      <c r="B24" s="3537" t="s">
        <v>63</v>
      </c>
      <c r="C24" s="1174" t="s">
        <v>838</v>
      </c>
    </row>
    <row r="25" spans="1:3" ht="14.25">
      <c r="A25" s="3534"/>
      <c r="B25" s="3538"/>
      <c r="C25" s="1174" t="s">
        <v>839</v>
      </c>
    </row>
    <row r="26" spans="1:3" ht="14.25">
      <c r="A26" s="3534"/>
      <c r="B26" s="3538"/>
      <c r="C26" s="1174" t="s">
        <v>840</v>
      </c>
    </row>
    <row r="27" spans="1:3" ht="14.25">
      <c r="A27" s="3534"/>
      <c r="B27" s="3538"/>
      <c r="C27" s="1174" t="s">
        <v>841</v>
      </c>
    </row>
    <row r="28" spans="1:3" ht="14.25">
      <c r="A28" s="3534"/>
      <c r="B28" s="3538"/>
      <c r="C28" s="1174" t="s">
        <v>842</v>
      </c>
    </row>
    <row r="29" spans="1:3" ht="14.25">
      <c r="A29" s="3534"/>
      <c r="B29" s="3538"/>
      <c r="C29" s="1174" t="s">
        <v>843</v>
      </c>
    </row>
    <row r="30" spans="1:3" ht="14.25">
      <c r="A30" s="3534"/>
      <c r="B30" s="3538"/>
      <c r="C30" s="1174" t="s">
        <v>844</v>
      </c>
    </row>
    <row r="31" spans="1:3" ht="14.25">
      <c r="A31" s="3534"/>
      <c r="B31" s="3538"/>
      <c r="C31" s="1174" t="s">
        <v>845</v>
      </c>
    </row>
    <row r="32" spans="1:3" ht="14.25">
      <c r="A32" s="3534"/>
      <c r="B32" s="3538"/>
      <c r="C32" s="1174" t="s">
        <v>1648</v>
      </c>
    </row>
    <row r="33" spans="1:3" ht="14.25">
      <c r="A33" s="3534"/>
      <c r="B33" s="3528" t="s">
        <v>1654</v>
      </c>
      <c r="C33" s="1174" t="s">
        <v>1649</v>
      </c>
    </row>
    <row r="34" spans="1:3" ht="14.25">
      <c r="A34" s="3534"/>
      <c r="B34" s="3529"/>
      <c r="C34" s="1179" t="s">
        <v>1650</v>
      </c>
    </row>
    <row r="35" spans="1:3" ht="14.25">
      <c r="A35" s="3534"/>
      <c r="B35" s="3529"/>
      <c r="C35" s="1180" t="s">
        <v>1651</v>
      </c>
    </row>
    <row r="36" spans="1:3" ht="14.25">
      <c r="A36" s="3534"/>
      <c r="B36" s="3529"/>
      <c r="C36" s="1180" t="s">
        <v>1652</v>
      </c>
    </row>
    <row r="37" spans="1:3" ht="14.25">
      <c r="A37" s="3534"/>
      <c r="B37" s="3530"/>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6">
        <f ca="1">TODAY()</f>
        <v>43231</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7">
        <v>43849</v>
      </c>
      <c r="D4" s="2340" t="s">
        <v>1916</v>
      </c>
      <c r="E4" s="2340">
        <f ca="1">IF(F4&lt;B2,"已过期",96010014)</f>
        <v>96010014</v>
      </c>
      <c r="F4" s="3028">
        <v>47118</v>
      </c>
    </row>
    <row r="5" spans="1:6" ht="20.25" customHeight="1">
      <c r="A5" s="2340" t="s">
        <v>1917</v>
      </c>
      <c r="B5" s="2340">
        <f ca="1">IF(C5&lt;B2,"已过期",1119970074)</f>
        <v>1119970074</v>
      </c>
      <c r="C5" s="3027">
        <v>43849</v>
      </c>
      <c r="D5" s="2340" t="s">
        <v>1917</v>
      </c>
      <c r="E5" s="2340">
        <f ca="1">IF(F5&lt;B2,"已过期",2002110027)</f>
        <v>2002110027</v>
      </c>
      <c r="F5" s="3028">
        <v>46752</v>
      </c>
    </row>
    <row r="6" spans="1:6" ht="20.25" customHeight="1">
      <c r="A6" s="2340" t="s">
        <v>1918</v>
      </c>
      <c r="B6" s="2340">
        <f ca="1">IF(C6&lt;B2,"已过期",1119970111)</f>
        <v>1119970111</v>
      </c>
      <c r="C6" s="3027">
        <v>43849</v>
      </c>
      <c r="D6" s="2340" t="s">
        <v>1918</v>
      </c>
      <c r="E6" s="2340">
        <f ca="1">IF(F6&lt;B2,"已过期",94010078)</f>
        <v>94010078</v>
      </c>
      <c r="F6" s="3028">
        <v>46387</v>
      </c>
    </row>
    <row r="7" spans="1:6" ht="20.25" customHeight="1">
      <c r="A7" s="2340" t="s">
        <v>1919</v>
      </c>
      <c r="B7" s="2340">
        <f ca="1">IF(C7&lt;B2,"已过期",1120050019)</f>
        <v>1120050019</v>
      </c>
      <c r="C7" s="3027">
        <v>43359</v>
      </c>
      <c r="D7" s="2340" t="s">
        <v>1919</v>
      </c>
      <c r="E7" s="2340">
        <f ca="1">IF(F7&lt;B2,"已过期",2002110030)</f>
        <v>2002110030</v>
      </c>
      <c r="F7" s="3028">
        <v>46387</v>
      </c>
    </row>
    <row r="8" spans="1:6" ht="20.25" customHeight="1">
      <c r="A8" s="2340" t="s">
        <v>1920</v>
      </c>
      <c r="B8" s="2340">
        <f ca="1">IF(C8&lt;B2,"已过期",1120000080)</f>
        <v>1120000080</v>
      </c>
      <c r="C8" s="3027">
        <v>43849</v>
      </c>
      <c r="D8" s="2340" t="s">
        <v>1920</v>
      </c>
      <c r="E8" s="2340">
        <f ca="1">IF(F8&lt;B2,"已过期",2000110082)</f>
        <v>2000110082</v>
      </c>
      <c r="F8" s="3028">
        <v>46387</v>
      </c>
    </row>
    <row r="9" spans="1:6" ht="20.25" customHeight="1">
      <c r="A9" s="2340" t="s">
        <v>1921</v>
      </c>
      <c r="B9" s="2340">
        <f ca="1">IF(C9&lt;B2,"已过期",1419970001)</f>
        <v>1419970001</v>
      </c>
      <c r="C9" s="3027">
        <v>43867</v>
      </c>
      <c r="D9" s="2340" t="s">
        <v>1921</v>
      </c>
      <c r="E9" s="2340">
        <f ca="1">IF(F9&lt;B2,"已过期",2002110125)</f>
        <v>2002110125</v>
      </c>
      <c r="F9" s="3028">
        <v>47118</v>
      </c>
    </row>
    <row r="10" spans="1:6" ht="20.25" customHeight="1">
      <c r="A10" s="2340" t="s">
        <v>1922</v>
      </c>
      <c r="B10" s="2340">
        <f ca="1">IF(C10&lt;B2,"已过期",1120060040)</f>
        <v>1120060040</v>
      </c>
      <c r="C10" s="3027">
        <v>43483</v>
      </c>
      <c r="D10" s="2340" t="s">
        <v>1922</v>
      </c>
      <c r="E10" s="2340">
        <f ca="1">IF(F10&lt;B2,"已过期",2004110096)</f>
        <v>2004110096</v>
      </c>
      <c r="F10" s="3028">
        <v>47118</v>
      </c>
    </row>
    <row r="11" spans="1:6" ht="20.25" customHeight="1">
      <c r="A11" s="2340" t="s">
        <v>1923</v>
      </c>
      <c r="B11" s="2340">
        <f ca="1">IF(C11&lt;B2,"已过期",1120100036)</f>
        <v>1120100036</v>
      </c>
      <c r="C11" s="3027">
        <v>43622</v>
      </c>
      <c r="D11" s="2340" t="s">
        <v>1923</v>
      </c>
      <c r="E11" s="2340">
        <f ca="1">IF(F11&lt;B2,"已过期",2010110070)</f>
        <v>2010110070</v>
      </c>
      <c r="F11" s="3028">
        <v>47907</v>
      </c>
    </row>
    <row r="12" spans="1:6" ht="20.25" customHeight="1">
      <c r="A12" s="2340"/>
      <c r="B12" s="2340"/>
      <c r="C12" s="3027"/>
      <c r="D12" s="2340"/>
      <c r="E12" s="2340"/>
      <c r="F12" s="2340"/>
    </row>
    <row r="13" spans="1:6" ht="20.25" customHeight="1">
      <c r="A13" s="2340" t="s">
        <v>1924</v>
      </c>
      <c r="B13" s="2340">
        <f ca="1">IF(C13&lt;B2,"已过期",1120070131)</f>
        <v>1120070131</v>
      </c>
      <c r="C13" s="3027">
        <v>43814</v>
      </c>
      <c r="D13" s="2340" t="s">
        <v>1924</v>
      </c>
      <c r="E13" s="2340">
        <v>2014110011</v>
      </c>
      <c r="F13" s="3028">
        <v>49302</v>
      </c>
    </row>
    <row r="14" spans="1:6" ht="20.25" customHeight="1">
      <c r="A14" s="2340" t="s">
        <v>1925</v>
      </c>
      <c r="B14" s="2340">
        <f ca="1">IF(C14&lt;B2,"已过期",1120130020)</f>
        <v>1120130020</v>
      </c>
      <c r="C14" s="3027">
        <v>43622</v>
      </c>
      <c r="D14" s="2340"/>
      <c r="E14" s="2340"/>
      <c r="F14" s="2340"/>
    </row>
    <row r="15" spans="1:6" ht="20.25" customHeight="1">
      <c r="A15" s="2340" t="s">
        <v>2580</v>
      </c>
      <c r="B15" s="2340">
        <v>1120070085</v>
      </c>
      <c r="C15" s="3027">
        <v>43814</v>
      </c>
      <c r="D15" s="2340" t="s">
        <v>2580</v>
      </c>
      <c r="E15" s="2340">
        <v>2004110128</v>
      </c>
      <c r="F15" s="3028">
        <v>47118</v>
      </c>
    </row>
    <row r="16" spans="1:6" ht="20.25" customHeight="1">
      <c r="A16" s="2340" t="s">
        <v>1926</v>
      </c>
      <c r="B16" s="2340">
        <f ca="1">IF(C16&lt;B2,"已过期",1120140022)</f>
        <v>1120140022</v>
      </c>
      <c r="C16" s="3027">
        <v>44029</v>
      </c>
      <c r="D16" s="2340" t="s">
        <v>1926</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1927</v>
      </c>
      <c r="E21" s="2340">
        <f ca="1">IF(F21&lt;B2,"已过期",2011110090)</f>
        <v>2011110090</v>
      </c>
      <c r="F21" s="3028">
        <v>48302</v>
      </c>
    </row>
    <row r="22" spans="1:7" ht="20.25" customHeight="1">
      <c r="A22" s="2340" t="s">
        <v>1928</v>
      </c>
      <c r="B22" s="2340">
        <f ca="1">IF(C22&lt;B2,"已过期",1120020033)</f>
        <v>1120020033</v>
      </c>
      <c r="C22" s="3027">
        <v>43304</v>
      </c>
      <c r="D22" s="2340" t="s">
        <v>1928</v>
      </c>
      <c r="E22" s="2340">
        <f ca="1">IF(F22&lt;B2,"已过期",2000110137)</f>
        <v>2000110137</v>
      </c>
      <c r="F22" s="3028">
        <v>46387</v>
      </c>
    </row>
    <row r="23" spans="1:7" ht="20.25" customHeight="1">
      <c r="A23" s="2340" t="s">
        <v>1929</v>
      </c>
      <c r="B23" s="2340">
        <f ca="1">IF(C23&lt;B2,"已过期",1120130048)</f>
        <v>1120130048</v>
      </c>
      <c r="C23" s="3027">
        <v>43686</v>
      </c>
      <c r="D23" s="2340"/>
      <c r="E23" s="2340"/>
      <c r="F23" s="2340"/>
    </row>
    <row r="24" spans="1:7" s="2344" customFormat="1" ht="20.25" customHeight="1">
      <c r="A24" s="2342" t="s">
        <v>2056</v>
      </c>
      <c r="B24" s="2342" t="s">
        <v>2056</v>
      </c>
      <c r="C24" s="3027"/>
      <c r="D24" s="3029" t="s">
        <v>2056</v>
      </c>
      <c r="E24" s="2342" t="s">
        <v>2056</v>
      </c>
      <c r="F24" s="2343"/>
    </row>
    <row r="25" spans="1:7" ht="20.25" customHeight="1">
      <c r="A25" s="3539" t="s">
        <v>1930</v>
      </c>
      <c r="B25" s="3539"/>
      <c r="C25" s="3539"/>
      <c r="D25" s="3539"/>
      <c r="E25" s="3539"/>
      <c r="F25" s="3539"/>
      <c r="G25" s="3539"/>
    </row>
    <row r="26" spans="1:7" ht="20.25" customHeight="1">
      <c r="A26" s="3540" t="s">
        <v>1931</v>
      </c>
      <c r="B26" s="3540"/>
      <c r="C26" s="3540"/>
      <c r="D26" s="3540" t="s">
        <v>1932</v>
      </c>
      <c r="E26" s="3540"/>
      <c r="F26" s="3540"/>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不动产比较法-商业</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2018-05-11T02:24:27Z</dcterms:modified>
</cp:coreProperties>
</file>